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E:\CorpAcctg\MEEIA\Missouri West MEEIA DSIM Rider\20231201 Filing\"/>
    </mc:Choice>
  </mc:AlternateContent>
  <xr:revisionPtr revIDLastSave="0" documentId="13_ncr:1_{E2D9D5FC-1C54-479B-BCDD-B2DF938EF126}" xr6:coauthVersionLast="47" xr6:coauthVersionMax="47" xr10:uidLastSave="{00000000-0000-0000-0000-000000000000}"/>
  <bookViews>
    <workbookView xWindow="28680" yWindow="-120" windowWidth="29040" windowHeight="15840" tabRatio="866" activeTab="1" xr2:uid="{8690212B-B535-4FDF-9D1C-29C7613AE015}"/>
  </bookViews>
  <sheets>
    <sheet name="Index Table of Contents" sheetId="32" r:id="rId1"/>
    <sheet name="Tariff Tables" sheetId="5" r:id="rId2"/>
    <sheet name="DSIM Cycle Tables" sheetId="20" r:id="rId3"/>
    <sheet name="PPC Cycle 3" sheetId="18" r:id="rId4"/>
    <sheet name="PCR Cycle 2" sheetId="15" r:id="rId5"/>
    <sheet name="PCR Cycle 3" sheetId="22" r:id="rId6"/>
    <sheet name="PTD Cycle 2" sheetId="12" r:id="rId7"/>
    <sheet name="PTD Cycle 3" sheetId="19" r:id="rId8"/>
    <sheet name="TDR Cycle 2" sheetId="16" r:id="rId9"/>
    <sheet name="TDR Cycle 3" sheetId="24" r:id="rId10"/>
    <sheet name="EO Cycle 2" sheetId="8" r:id="rId11"/>
    <sheet name="EO Cycle 3" sheetId="28" r:id="rId12"/>
    <sheet name="EOR Cycle 2" sheetId="23" r:id="rId13"/>
    <sheet name="EOR Cycle 3" sheetId="29" r:id="rId14"/>
    <sheet name="OA Cycle 2" sheetId="10" r:id="rId15"/>
    <sheet name="OA Cycle 3" sheetId="30" r:id="rId16"/>
    <sheet name="OAR Cycle 2" sheetId="13" r:id="rId17"/>
    <sheet name="OAR Cycle 3" sheetId="31"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xlnm.Print_Area" localSheetId="4">'PCR Cycle 2'!$A$1:$N$64</definedName>
    <definedName name="_xlnm.Print_Area" localSheetId="5">'PCR Cycle 3'!$A$1:$O$64</definedName>
    <definedName name="solver_adj" localSheetId="4" hidden="1">'PCR Cycle 2'!$E$47</definedName>
    <definedName name="solver_adj" localSheetId="5" hidden="1">'PCR Cycle 3'!$F$45</definedName>
    <definedName name="solver_adj" localSheetId="8" hidden="1">'TDR Cycle 2'!#REF!</definedName>
    <definedName name="solver_adj" localSheetId="9" hidden="1">'TDR Cycle 3'!#REF!</definedName>
    <definedName name="solver_cvg" localSheetId="4" hidden="1">0.0001</definedName>
    <definedName name="solver_cvg" localSheetId="5" hidden="1">0.0001</definedName>
    <definedName name="solver_cvg" localSheetId="8" hidden="1">0.0001</definedName>
    <definedName name="solver_cvg" localSheetId="9" hidden="1">0.0001</definedName>
    <definedName name="solver_drv" localSheetId="4" hidden="1">1</definedName>
    <definedName name="solver_drv" localSheetId="5" hidden="1">1</definedName>
    <definedName name="solver_drv" localSheetId="8" hidden="1">2</definedName>
    <definedName name="solver_drv" localSheetId="9" hidden="1">2</definedName>
    <definedName name="solver_eng" localSheetId="4" hidden="1">1</definedName>
    <definedName name="solver_eng" localSheetId="5" hidden="1">1</definedName>
    <definedName name="solver_eng" localSheetId="8" hidden="1">1</definedName>
    <definedName name="solver_eng" localSheetId="9" hidden="1">1</definedName>
    <definedName name="solver_est" localSheetId="4" hidden="1">1</definedName>
    <definedName name="solver_est" localSheetId="5" hidden="1">1</definedName>
    <definedName name="solver_est" localSheetId="8" hidden="1">1</definedName>
    <definedName name="solver_est" localSheetId="9" hidden="1">1</definedName>
    <definedName name="solver_itr" localSheetId="4" hidden="1">2147483647</definedName>
    <definedName name="solver_itr" localSheetId="5" hidden="1">2147483647</definedName>
    <definedName name="solver_itr" localSheetId="8" hidden="1">2147483647</definedName>
    <definedName name="solver_itr" localSheetId="9" hidden="1">2147483647</definedName>
    <definedName name="solver_mip" localSheetId="4" hidden="1">2147483647</definedName>
    <definedName name="solver_mip" localSheetId="5" hidden="1">2147483647</definedName>
    <definedName name="solver_mip" localSheetId="8" hidden="1">2147483647</definedName>
    <definedName name="solver_mip" localSheetId="9" hidden="1">2147483647</definedName>
    <definedName name="solver_mni" localSheetId="4" hidden="1">30</definedName>
    <definedName name="solver_mni" localSheetId="5" hidden="1">30</definedName>
    <definedName name="solver_mni" localSheetId="8" hidden="1">30</definedName>
    <definedName name="solver_mni" localSheetId="9" hidden="1">30</definedName>
    <definedName name="solver_mrt" localSheetId="4" hidden="1">0.075</definedName>
    <definedName name="solver_mrt" localSheetId="5" hidden="1">0.075</definedName>
    <definedName name="solver_mrt" localSheetId="8" hidden="1">0.075</definedName>
    <definedName name="solver_mrt" localSheetId="9" hidden="1">0.075</definedName>
    <definedName name="solver_msl" localSheetId="4" hidden="1">2</definedName>
    <definedName name="solver_msl" localSheetId="5" hidden="1">2</definedName>
    <definedName name="solver_msl" localSheetId="8" hidden="1">2</definedName>
    <definedName name="solver_msl" localSheetId="9" hidden="1">2</definedName>
    <definedName name="solver_neg" localSheetId="4" hidden="1">1</definedName>
    <definedName name="solver_neg" localSheetId="5" hidden="1">1</definedName>
    <definedName name="solver_neg" localSheetId="8" hidden="1">1</definedName>
    <definedName name="solver_neg" localSheetId="9" hidden="1">1</definedName>
    <definedName name="solver_nod" localSheetId="4" hidden="1">2147483647</definedName>
    <definedName name="solver_nod" localSheetId="5" hidden="1">2147483647</definedName>
    <definedName name="solver_nod" localSheetId="8" hidden="1">2147483647</definedName>
    <definedName name="solver_nod" localSheetId="9" hidden="1">2147483647</definedName>
    <definedName name="solver_num" localSheetId="4" hidden="1">0</definedName>
    <definedName name="solver_num" localSheetId="5" hidden="1">0</definedName>
    <definedName name="solver_num" localSheetId="8" hidden="1">0</definedName>
    <definedName name="solver_num" localSheetId="9" hidden="1">0</definedName>
    <definedName name="solver_nwt" localSheetId="4" hidden="1">1</definedName>
    <definedName name="solver_nwt" localSheetId="5" hidden="1">1</definedName>
    <definedName name="solver_nwt" localSheetId="8" hidden="1">1</definedName>
    <definedName name="solver_nwt" localSheetId="9" hidden="1">1</definedName>
    <definedName name="solver_opt" localSheetId="4" hidden="1">'PCR Cycle 2'!$E$52</definedName>
    <definedName name="solver_opt" localSheetId="5" hidden="1">'PCR Cycle 3'!$F$52</definedName>
    <definedName name="solver_opt" localSheetId="8" hidden="1">'TDR Cycle 2'!#REF!</definedName>
    <definedName name="solver_opt" localSheetId="9" hidden="1">'TDR Cycle 3'!#REF!</definedName>
    <definedName name="solver_pre" localSheetId="4" hidden="1">0.000001</definedName>
    <definedName name="solver_pre" localSheetId="5" hidden="1">0.000001</definedName>
    <definedName name="solver_pre" localSheetId="8" hidden="1">0.000001</definedName>
    <definedName name="solver_pre" localSheetId="9" hidden="1">0.000001</definedName>
    <definedName name="solver_rbv" localSheetId="4" hidden="1">1</definedName>
    <definedName name="solver_rbv" localSheetId="5" hidden="1">1</definedName>
    <definedName name="solver_rbv" localSheetId="8" hidden="1">2</definedName>
    <definedName name="solver_rbv" localSheetId="9" hidden="1">2</definedName>
    <definedName name="solver_rlx" localSheetId="4" hidden="1">2</definedName>
    <definedName name="solver_rlx" localSheetId="5" hidden="1">2</definedName>
    <definedName name="solver_rlx" localSheetId="8" hidden="1">2</definedName>
    <definedName name="solver_rlx" localSheetId="9" hidden="1">2</definedName>
    <definedName name="solver_rsd" localSheetId="4" hidden="1">0</definedName>
    <definedName name="solver_rsd" localSheetId="5" hidden="1">0</definedName>
    <definedName name="solver_rsd" localSheetId="8" hidden="1">0</definedName>
    <definedName name="solver_rsd" localSheetId="9" hidden="1">0</definedName>
    <definedName name="solver_scl" localSheetId="4" hidden="1">1</definedName>
    <definedName name="solver_scl" localSheetId="5" hidden="1">1</definedName>
    <definedName name="solver_scl" localSheetId="8" hidden="1">2</definedName>
    <definedName name="solver_scl" localSheetId="9" hidden="1">2</definedName>
    <definedName name="solver_sho" localSheetId="4" hidden="1">2</definedName>
    <definedName name="solver_sho" localSheetId="5" hidden="1">2</definedName>
    <definedName name="solver_sho" localSheetId="8" hidden="1">2</definedName>
    <definedName name="solver_sho" localSheetId="9" hidden="1">2</definedName>
    <definedName name="solver_ssz" localSheetId="4" hidden="1">100</definedName>
    <definedName name="solver_ssz" localSheetId="5" hidden="1">100</definedName>
    <definedName name="solver_ssz" localSheetId="8" hidden="1">100</definedName>
    <definedName name="solver_ssz" localSheetId="9" hidden="1">100</definedName>
    <definedName name="solver_tim" localSheetId="4" hidden="1">2147483647</definedName>
    <definedName name="solver_tim" localSheetId="5" hidden="1">2147483647</definedName>
    <definedName name="solver_tim" localSheetId="8" hidden="1">2147483647</definedName>
    <definedName name="solver_tim" localSheetId="9" hidden="1">2147483647</definedName>
    <definedName name="solver_tol" localSheetId="4" hidden="1">0.01</definedName>
    <definedName name="solver_tol" localSheetId="5" hidden="1">0.01</definedName>
    <definedName name="solver_tol" localSheetId="8" hidden="1">0.01</definedName>
    <definedName name="solver_tol" localSheetId="9" hidden="1">0.01</definedName>
    <definedName name="solver_typ" localSheetId="4" hidden="1">3</definedName>
    <definedName name="solver_typ" localSheetId="5" hidden="1">3</definedName>
    <definedName name="solver_typ" localSheetId="8" hidden="1">3</definedName>
    <definedName name="solver_typ" localSheetId="9" hidden="1">3</definedName>
    <definedName name="solver_val" localSheetId="4" hidden="1">0</definedName>
    <definedName name="solver_val" localSheetId="5" hidden="1">0</definedName>
    <definedName name="solver_val" localSheetId="8" hidden="1">23888.44</definedName>
    <definedName name="solver_val" localSheetId="9" hidden="1">23888.44</definedName>
    <definedName name="solver_ver" localSheetId="4" hidden="1">3</definedName>
    <definedName name="solver_ver" localSheetId="5" hidden="1">3</definedName>
    <definedName name="solver_ver" localSheetId="8" hidden="1">3</definedName>
    <definedName name="solver_ver" localSheetId="9"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4" i="5" l="1"/>
  <c r="X12" i="5"/>
  <c r="J4" i="5"/>
  <c r="E8" i="18"/>
  <c r="E7" i="18"/>
  <c r="E6" i="18"/>
  <c r="E5" i="18"/>
  <c r="D8" i="18"/>
  <c r="D7" i="18"/>
  <c r="D6" i="18"/>
  <c r="D5" i="18"/>
  <c r="D9" i="18" s="1"/>
  <c r="D68" i="28" l="1"/>
  <c r="D67" i="28" l="1"/>
  <c r="D62" i="28" l="1"/>
  <c r="C68" i="28"/>
  <c r="C67" i="28" l="1"/>
  <c r="C62" i="28"/>
  <c r="D66" i="28" l="1"/>
  <c r="E68" i="28"/>
  <c r="C66" i="28" l="1"/>
  <c r="E62" i="28" l="1"/>
  <c r="E66" i="28" l="1"/>
  <c r="E67" i="28" l="1"/>
  <c r="B8" i="28" l="1"/>
  <c r="B13" i="28"/>
  <c r="B12" i="28"/>
  <c r="B11" i="28"/>
  <c r="B7" i="28"/>
  <c r="D18" i="28" l="1"/>
  <c r="D29" i="28" l="1"/>
  <c r="D33" i="28" l="1"/>
  <c r="D23" i="28"/>
  <c r="D24" i="28"/>
  <c r="D22" i="28"/>
  <c r="D34" i="28" l="1"/>
  <c r="D40" i="28" l="1"/>
  <c r="D35" i="28"/>
  <c r="D51" i="28" l="1"/>
  <c r="D55" i="28" l="1"/>
  <c r="D44" i="28"/>
  <c r="D45" i="28" l="1"/>
  <c r="D56" i="28" l="1"/>
  <c r="D46" i="28"/>
  <c r="C24" i="28"/>
  <c r="C23" i="28"/>
  <c r="C18" i="28"/>
  <c r="D57" i="28" l="1"/>
  <c r="C22" i="28" l="1"/>
  <c r="E24" i="28" l="1"/>
  <c r="E22" i="28"/>
  <c r="E18" i="28"/>
  <c r="C29" i="28" l="1"/>
  <c r="C34" i="28" l="1"/>
  <c r="C35" i="28" l="1"/>
  <c r="E23" i="28"/>
  <c r="C33" i="28" l="1"/>
  <c r="E29" i="28" l="1"/>
  <c r="E35" i="28" l="1"/>
  <c r="E33" i="28" l="1"/>
  <c r="C45" i="28" l="1"/>
  <c r="C46" i="28"/>
  <c r="E34" i="28"/>
  <c r="C56" i="28"/>
  <c r="C57" i="28"/>
  <c r="C51" i="28"/>
  <c r="C40" i="28" l="1"/>
  <c r="C44" i="28" l="1"/>
  <c r="E57" i="28"/>
  <c r="C55" i="28"/>
  <c r="E46" i="28" l="1"/>
  <c r="E40" i="28"/>
  <c r="E51" i="28"/>
  <c r="E44" i="28" l="1"/>
  <c r="E55" i="28"/>
  <c r="E45" i="28" l="1"/>
  <c r="E56" i="28"/>
  <c r="B68" i="28" l="1"/>
  <c r="B67" i="28"/>
  <c r="B66" i="28"/>
  <c r="B62" i="28"/>
  <c r="B24" i="28" l="1"/>
  <c r="B23" i="28"/>
  <c r="B22" i="28"/>
  <c r="B18" i="28"/>
  <c r="R7" i="5" l="1"/>
  <c r="R6" i="5"/>
  <c r="R5" i="5"/>
  <c r="K6" i="5"/>
  <c r="H23" i="31" l="1"/>
  <c r="H22" i="31"/>
  <c r="H21" i="31"/>
  <c r="H20" i="31"/>
  <c r="G23" i="31"/>
  <c r="G22" i="31"/>
  <c r="G21" i="31"/>
  <c r="G20" i="31"/>
  <c r="F23" i="31"/>
  <c r="F22" i="31"/>
  <c r="F21" i="31"/>
  <c r="F20" i="31"/>
  <c r="E23" i="31"/>
  <c r="E22" i="31"/>
  <c r="E21" i="31"/>
  <c r="E20" i="31"/>
  <c r="I23" i="31"/>
  <c r="I22" i="31"/>
  <c r="I21" i="31"/>
  <c r="I20" i="31"/>
  <c r="D23" i="31"/>
  <c r="D22" i="31"/>
  <c r="D21" i="31"/>
  <c r="D20" i="31"/>
  <c r="I19" i="13"/>
  <c r="I18" i="13"/>
  <c r="H19" i="13"/>
  <c r="H18" i="13"/>
  <c r="G19" i="13"/>
  <c r="G18" i="13"/>
  <c r="F19" i="13"/>
  <c r="F18" i="13"/>
  <c r="E19" i="13"/>
  <c r="E18" i="13"/>
  <c r="D19" i="13"/>
  <c r="D18" i="13"/>
  <c r="I18" i="29" l="1"/>
  <c r="I17" i="29"/>
  <c r="I16" i="29"/>
  <c r="I15" i="29"/>
  <c r="H18" i="29"/>
  <c r="H17" i="29"/>
  <c r="H16" i="29"/>
  <c r="H15" i="29"/>
  <c r="G18" i="29"/>
  <c r="G17" i="29"/>
  <c r="G16" i="29"/>
  <c r="G15" i="29"/>
  <c r="F18" i="29"/>
  <c r="F17" i="29"/>
  <c r="F16" i="29"/>
  <c r="F15" i="29"/>
  <c r="E18" i="29"/>
  <c r="E17" i="29"/>
  <c r="E16" i="29"/>
  <c r="E15" i="29"/>
  <c r="D18" i="29"/>
  <c r="D17" i="29"/>
  <c r="D16" i="29"/>
  <c r="D15" i="29"/>
  <c r="F27" i="23"/>
  <c r="F26" i="23"/>
  <c r="F25" i="23"/>
  <c r="F24" i="23"/>
  <c r="E27" i="23"/>
  <c r="E26" i="23"/>
  <c r="E25" i="23"/>
  <c r="E24" i="23"/>
  <c r="D27" i="23"/>
  <c r="D26" i="23"/>
  <c r="D25" i="23"/>
  <c r="D24" i="23"/>
  <c r="K27" i="23"/>
  <c r="K26" i="23"/>
  <c r="K25" i="23"/>
  <c r="K24" i="23"/>
  <c r="J27" i="23"/>
  <c r="J26" i="23"/>
  <c r="J25" i="23"/>
  <c r="J24" i="23"/>
  <c r="I27" i="23"/>
  <c r="I26" i="23"/>
  <c r="I25" i="23"/>
  <c r="I24" i="23"/>
  <c r="H27" i="23"/>
  <c r="H26" i="23"/>
  <c r="H25" i="23"/>
  <c r="H24" i="23"/>
  <c r="G27" i="23"/>
  <c r="G26" i="23"/>
  <c r="G25" i="23"/>
  <c r="G24" i="23"/>
  <c r="I21" i="23"/>
  <c r="I20" i="23"/>
  <c r="I19" i="23"/>
  <c r="I18" i="23"/>
  <c r="H21" i="23"/>
  <c r="H20" i="23"/>
  <c r="H19" i="23"/>
  <c r="H18" i="23"/>
  <c r="G21" i="23"/>
  <c r="G20" i="23"/>
  <c r="G19" i="23"/>
  <c r="G18" i="23"/>
  <c r="F21" i="23"/>
  <c r="F20" i="23"/>
  <c r="F19" i="23"/>
  <c r="F18" i="23"/>
  <c r="E21" i="23"/>
  <c r="E20" i="23"/>
  <c r="E19" i="23"/>
  <c r="E18" i="23"/>
  <c r="D21" i="23"/>
  <c r="D20" i="23"/>
  <c r="D19" i="23"/>
  <c r="D18" i="23"/>
  <c r="B79" i="28" l="1"/>
  <c r="B78" i="28"/>
  <c r="B77" i="28"/>
  <c r="B73" i="28"/>
  <c r="B14" i="28" l="1"/>
  <c r="B91" i="28"/>
  <c r="B85" i="28"/>
  <c r="B86" i="28" l="1"/>
  <c r="C73" i="28" l="1"/>
  <c r="C79" i="28" l="1"/>
  <c r="D73" i="28"/>
  <c r="C78" i="28"/>
  <c r="D79" i="28" l="1"/>
  <c r="D78" i="28"/>
  <c r="C85" i="28" l="1"/>
  <c r="C91" i="28"/>
  <c r="D85" i="28"/>
  <c r="D86" i="28" s="1"/>
  <c r="D91" i="28"/>
  <c r="D77" i="28"/>
  <c r="C77" i="28"/>
  <c r="C86" i="28" l="1"/>
  <c r="F84" i="28" l="1"/>
  <c r="E73" i="28"/>
  <c r="G84" i="28" l="1"/>
  <c r="F89" i="28" l="1"/>
  <c r="G89" i="28" s="1"/>
  <c r="E79" i="28" l="1"/>
  <c r="F90" i="28"/>
  <c r="G90" i="28" s="1"/>
  <c r="E78" i="28"/>
  <c r="E85" i="28" l="1"/>
  <c r="E91" i="28"/>
  <c r="F88" i="28"/>
  <c r="E77" i="28"/>
  <c r="F91" i="28" l="1"/>
  <c r="G88" i="28"/>
  <c r="G91" i="28" s="1"/>
  <c r="F85" i="28"/>
  <c r="E86" i="28"/>
  <c r="G85" i="28" l="1"/>
  <c r="G86" i="28" s="1"/>
  <c r="F86" i="28"/>
  <c r="E74" i="28" l="1"/>
  <c r="D74" i="28"/>
  <c r="C74" i="28"/>
  <c r="B74" i="28"/>
  <c r="D11" i="28" l="1"/>
  <c r="D7" i="28"/>
  <c r="D13" i="28" l="1"/>
  <c r="D12" i="28" l="1"/>
  <c r="D14" i="28" s="1"/>
  <c r="C13" i="28" l="1"/>
  <c r="C7" i="28" l="1"/>
  <c r="C11" i="28"/>
  <c r="C12" i="28"/>
  <c r="C14" i="28" l="1"/>
  <c r="E13" i="28"/>
  <c r="E11" i="28"/>
  <c r="E7" i="28" l="1"/>
  <c r="E12" i="28" l="1"/>
  <c r="E14" i="28" s="1"/>
  <c r="B58" i="28" l="1"/>
  <c r="F57" i="28"/>
  <c r="G57" i="28" s="1"/>
  <c r="C52" i="28"/>
  <c r="F55" i="28"/>
  <c r="G55" i="28" s="1"/>
  <c r="D58" i="28"/>
  <c r="C58" i="28"/>
  <c r="D52" i="28"/>
  <c r="B52" i="28"/>
  <c r="B53" i="28" s="1"/>
  <c r="D53" i="28" l="1"/>
  <c r="C53" i="28"/>
  <c r="E52" i="28"/>
  <c r="F56" i="28"/>
  <c r="G56" i="28" s="1"/>
  <c r="F51" i="28"/>
  <c r="G51" i="28" s="1"/>
  <c r="E58" i="28"/>
  <c r="E53" i="28" l="1"/>
  <c r="F52" i="28"/>
  <c r="G52" i="28" s="1"/>
  <c r="F58" i="28"/>
  <c r="G58" i="28"/>
  <c r="G53" i="28" l="1"/>
  <c r="F53" i="28"/>
  <c r="G66" i="8" l="1"/>
  <c r="G65" i="8"/>
  <c r="G64" i="8"/>
  <c r="G60" i="8"/>
  <c r="G56" i="8"/>
  <c r="G55" i="8"/>
  <c r="G54" i="8"/>
  <c r="G50" i="8"/>
  <c r="G46" i="8"/>
  <c r="G45" i="8"/>
  <c r="G44" i="8"/>
  <c r="G41" i="8"/>
  <c r="G40" i="8"/>
  <c r="E21" i="24" l="1"/>
  <c r="E24" i="24"/>
  <c r="E22" i="24"/>
  <c r="E29" i="24" l="1"/>
  <c r="F22" i="24"/>
  <c r="F21" i="24"/>
  <c r="F23" i="24"/>
  <c r="F24" i="24"/>
  <c r="E23" i="24"/>
  <c r="F27" i="24" l="1"/>
  <c r="F29" i="24"/>
  <c r="F30" i="24"/>
  <c r="E27" i="24"/>
  <c r="E30" i="24"/>
  <c r="E28" i="24"/>
  <c r="G24" i="24"/>
  <c r="G23" i="24"/>
  <c r="G22" i="24"/>
  <c r="G21" i="24"/>
  <c r="G27" i="24" l="1"/>
  <c r="G30" i="24"/>
  <c r="F28" i="24"/>
  <c r="H23" i="24"/>
  <c r="H22" i="24"/>
  <c r="H21" i="24"/>
  <c r="H24" i="24"/>
  <c r="H29" i="24" l="1"/>
  <c r="H30" i="24"/>
  <c r="H27" i="24"/>
  <c r="G28" i="24"/>
  <c r="G29" i="24"/>
  <c r="I21" i="24"/>
  <c r="I24" i="24"/>
  <c r="I23" i="24"/>
  <c r="I22" i="24"/>
  <c r="H28" i="24"/>
  <c r="I30" i="24" l="1"/>
  <c r="I29" i="24"/>
  <c r="J22" i="24"/>
  <c r="J24" i="24"/>
  <c r="J23" i="24"/>
  <c r="J21" i="24"/>
  <c r="I27" i="24"/>
  <c r="J27" i="24" l="1"/>
  <c r="J30" i="24"/>
  <c r="I28" i="24"/>
  <c r="J29" i="24"/>
  <c r="J28" i="24" l="1"/>
  <c r="J18" i="24" l="1"/>
  <c r="J17" i="24"/>
  <c r="J16" i="24"/>
  <c r="J15" i="24"/>
  <c r="I18" i="24"/>
  <c r="I17" i="24"/>
  <c r="I16" i="24"/>
  <c r="I15" i="24"/>
  <c r="H18" i="24"/>
  <c r="H17" i="24"/>
  <c r="H16" i="24"/>
  <c r="H15" i="24"/>
  <c r="G18" i="24"/>
  <c r="G17" i="24"/>
  <c r="G16" i="24"/>
  <c r="G15" i="24"/>
  <c r="F18" i="24"/>
  <c r="F17" i="24"/>
  <c r="F16" i="24"/>
  <c r="F15" i="24"/>
  <c r="E18" i="24"/>
  <c r="E17" i="24"/>
  <c r="E16" i="24"/>
  <c r="E15" i="24"/>
  <c r="K45" i="16"/>
  <c r="L45" i="16"/>
  <c r="J21" i="16"/>
  <c r="J20" i="16"/>
  <c r="J19" i="16"/>
  <c r="J18" i="16"/>
  <c r="I21" i="16"/>
  <c r="I20" i="16"/>
  <c r="I19" i="16"/>
  <c r="I18" i="16"/>
  <c r="H21" i="16"/>
  <c r="H20" i="16"/>
  <c r="H19" i="16"/>
  <c r="H18" i="16"/>
  <c r="G21" i="16"/>
  <c r="G20" i="16"/>
  <c r="G19" i="16"/>
  <c r="G18" i="16"/>
  <c r="F21" i="16"/>
  <c r="F20" i="16"/>
  <c r="F19" i="16"/>
  <c r="F18" i="16"/>
  <c r="E21" i="16"/>
  <c r="E20" i="16"/>
  <c r="E19" i="16"/>
  <c r="E18" i="16"/>
  <c r="P35" i="16"/>
  <c r="P33" i="16"/>
  <c r="P32" i="16"/>
  <c r="P31" i="16"/>
  <c r="P30" i="16"/>
  <c r="P27" i="16"/>
  <c r="P26" i="16"/>
  <c r="P25" i="16"/>
  <c r="P24" i="16"/>
  <c r="P15" i="16"/>
  <c r="O26" i="29"/>
  <c r="P32" i="24"/>
  <c r="O29" i="23"/>
  <c r="O25" i="13"/>
  <c r="O23" i="13"/>
  <c r="O22" i="13"/>
  <c r="O19" i="13"/>
  <c r="O15" i="13"/>
  <c r="O31" i="31"/>
  <c r="O29" i="31"/>
  <c r="O28" i="31"/>
  <c r="O27" i="31"/>
  <c r="O26" i="31"/>
  <c r="O17" i="31"/>
  <c r="P50" i="22"/>
  <c r="P49" i="22"/>
  <c r="P48" i="22"/>
  <c r="P47" i="22"/>
  <c r="P31" i="22"/>
  <c r="P29" i="22"/>
  <c r="P28" i="22"/>
  <c r="P27" i="22"/>
  <c r="P26" i="22"/>
  <c r="P23" i="22"/>
  <c r="P22" i="22"/>
  <c r="P21" i="22"/>
  <c r="P20" i="22"/>
  <c r="P17" i="22"/>
  <c r="P16" i="22"/>
  <c r="P15" i="22"/>
  <c r="P14" i="22"/>
  <c r="O50" i="15"/>
  <c r="O49" i="15"/>
  <c r="O37" i="15"/>
  <c r="O35" i="15"/>
  <c r="O34" i="15"/>
  <c r="O33" i="15"/>
  <c r="O32" i="15"/>
  <c r="O29" i="15"/>
  <c r="O28" i="15"/>
  <c r="O27" i="15"/>
  <c r="O26" i="15"/>
  <c r="O18" i="15"/>
  <c r="O17" i="15"/>
  <c r="O16" i="15"/>
  <c r="O15" i="15"/>
  <c r="C13" i="16"/>
  <c r="B13" i="16"/>
  <c r="D8" i="19" l="1"/>
  <c r="D7" i="19" l="1"/>
  <c r="D6" i="19" l="1"/>
  <c r="D9" i="19" l="1"/>
  <c r="K23" i="24" l="1"/>
  <c r="L29" i="24"/>
  <c r="L30" i="24"/>
  <c r="L23" i="24"/>
  <c r="L24" i="24"/>
  <c r="L21" i="24"/>
  <c r="K24" i="24"/>
  <c r="P24" i="24" l="1"/>
  <c r="K29" i="24"/>
  <c r="K30" i="24"/>
  <c r="P30" i="24" s="1"/>
  <c r="P23" i="24"/>
  <c r="K21" i="24"/>
  <c r="P21" i="24" s="1"/>
  <c r="B9" i="19" a="1"/>
  <c r="B9" i="19" s="1"/>
  <c r="B8" i="19" a="1"/>
  <c r="B8" i="19" s="1"/>
  <c r="B6" i="19" a="1"/>
  <c r="B6" i="19" s="1"/>
  <c r="P29" i="24"/>
  <c r="L27" i="24" l="1"/>
  <c r="K27" i="24"/>
  <c r="E9" i="19"/>
  <c r="E8" i="19"/>
  <c r="P27" i="24" l="1"/>
  <c r="E6" i="19"/>
  <c r="K22" i="24" l="1"/>
  <c r="L22" i="24" l="1"/>
  <c r="P22" i="24" s="1"/>
  <c r="K28" i="24" l="1"/>
  <c r="L28" i="24" l="1"/>
  <c r="P28" i="24" s="1"/>
  <c r="B7" i="19" l="1" a="1"/>
  <c r="B7" i="19" s="1"/>
  <c r="E7" i="19" l="1"/>
  <c r="J29" i="22" l="1"/>
  <c r="J28" i="22"/>
  <c r="J27" i="22"/>
  <c r="J26" i="22"/>
  <c r="I29" i="22"/>
  <c r="I28" i="22"/>
  <c r="I27" i="22"/>
  <c r="I26" i="22"/>
  <c r="H29" i="22"/>
  <c r="H28" i="22"/>
  <c r="H27" i="22"/>
  <c r="H26" i="22"/>
  <c r="G29" i="22"/>
  <c r="G28" i="22"/>
  <c r="G27" i="22"/>
  <c r="G26" i="22"/>
  <c r="F29" i="22"/>
  <c r="F28" i="22"/>
  <c r="F27" i="22"/>
  <c r="F26" i="22"/>
  <c r="E29" i="22"/>
  <c r="E28" i="22"/>
  <c r="E27" i="22"/>
  <c r="E26" i="22"/>
  <c r="L17" i="22"/>
  <c r="L16" i="22"/>
  <c r="L15" i="22"/>
  <c r="L14" i="22"/>
  <c r="K17" i="22"/>
  <c r="K16" i="22"/>
  <c r="K15" i="22"/>
  <c r="K14" i="22"/>
  <c r="J17" i="22"/>
  <c r="J16" i="22"/>
  <c r="J15" i="22"/>
  <c r="J14" i="22"/>
  <c r="I17" i="22" l="1"/>
  <c r="I16" i="22"/>
  <c r="I15" i="22"/>
  <c r="I14" i="22"/>
  <c r="H17" i="22" l="1"/>
  <c r="H16" i="22"/>
  <c r="H15" i="22"/>
  <c r="H14" i="22"/>
  <c r="J45" i="22" l="1"/>
  <c r="I45" i="22"/>
  <c r="H45" i="22"/>
  <c r="I35" i="15" l="1"/>
  <c r="I34" i="15"/>
  <c r="I33" i="15"/>
  <c r="I32" i="15"/>
  <c r="H35" i="15"/>
  <c r="H34" i="15"/>
  <c r="H33" i="15"/>
  <c r="H32" i="15"/>
  <c r="G35" i="15"/>
  <c r="G34" i="15"/>
  <c r="G33" i="15"/>
  <c r="G32" i="15"/>
  <c r="F35" i="15"/>
  <c r="F34" i="15"/>
  <c r="F33" i="15"/>
  <c r="F32" i="15"/>
  <c r="E35" i="15"/>
  <c r="E34" i="15"/>
  <c r="E33" i="15"/>
  <c r="E32" i="15"/>
  <c r="D35" i="15"/>
  <c r="D34" i="15"/>
  <c r="D33" i="15"/>
  <c r="D32" i="15"/>
  <c r="J23" i="22" l="1"/>
  <c r="J22" i="22"/>
  <c r="J21" i="22"/>
  <c r="J20" i="22"/>
  <c r="I23" i="22"/>
  <c r="I22" i="22"/>
  <c r="I21" i="22"/>
  <c r="I20" i="22"/>
  <c r="H23" i="22"/>
  <c r="H22" i="22"/>
  <c r="H21" i="22"/>
  <c r="H20" i="22"/>
  <c r="G23" i="22"/>
  <c r="G22" i="22"/>
  <c r="G21" i="22"/>
  <c r="G20" i="22"/>
  <c r="F23" i="22"/>
  <c r="F22" i="22"/>
  <c r="F21" i="22"/>
  <c r="F20" i="22"/>
  <c r="E23" i="22"/>
  <c r="E22" i="22"/>
  <c r="E21" i="22"/>
  <c r="E20" i="22"/>
  <c r="K10" i="15" l="1"/>
  <c r="K9" i="15"/>
  <c r="K8" i="15"/>
  <c r="O27" i="23" l="1"/>
  <c r="O25" i="23"/>
  <c r="O24" i="23"/>
  <c r="O26" i="23" l="1"/>
  <c r="C40" i="31"/>
  <c r="C34" i="31"/>
  <c r="E45" i="22"/>
  <c r="E46" i="24" s="1"/>
  <c r="F29" i="8"/>
  <c r="F45" i="22"/>
  <c r="F45" i="16" s="1"/>
  <c r="D41" i="15"/>
  <c r="J46" i="24"/>
  <c r="I46" i="24"/>
  <c r="H46" i="24"/>
  <c r="F46" i="24"/>
  <c r="I47" i="15"/>
  <c r="H47" i="15"/>
  <c r="G47" i="15"/>
  <c r="K45" i="22"/>
  <c r="E12" i="24"/>
  <c r="J45" i="16"/>
  <c r="I45" i="16"/>
  <c r="H45" i="16"/>
  <c r="L45" i="22"/>
  <c r="G45" i="22"/>
  <c r="G46" i="24" s="1"/>
  <c r="C15" i="16"/>
  <c r="D14" i="16"/>
  <c r="E14" i="16"/>
  <c r="L10" i="16"/>
  <c r="L9" i="16"/>
  <c r="L8" i="16"/>
  <c r="I6" i="16"/>
  <c r="N24" i="16"/>
  <c r="C41" i="15"/>
  <c r="C45" i="15" s="1"/>
  <c r="D23" i="15"/>
  <c r="F47" i="15" l="1"/>
  <c r="E47" i="15"/>
  <c r="G45" i="16"/>
  <c r="L11" i="16"/>
  <c r="E45" i="16"/>
  <c r="D47" i="15"/>
  <c r="D50" i="15" s="1"/>
  <c r="D45" i="15"/>
  <c r="M21" i="22" l="1"/>
  <c r="L27" i="15" s="1"/>
  <c r="M22" i="22"/>
  <c r="L28" i="15" s="1"/>
  <c r="M23" i="22"/>
  <c r="L29" i="15" s="1"/>
  <c r="M20" i="22"/>
  <c r="L26" i="15" s="1"/>
  <c r="L21" i="22"/>
  <c r="K27" i="15" s="1"/>
  <c r="L22" i="22"/>
  <c r="K28" i="15" s="1"/>
  <c r="L23" i="22"/>
  <c r="K29" i="15" s="1"/>
  <c r="L20" i="22"/>
  <c r="K26" i="15" s="1"/>
  <c r="K21" i="22"/>
  <c r="J27" i="15" s="1"/>
  <c r="K22" i="22"/>
  <c r="J28" i="15" s="1"/>
  <c r="K23" i="22"/>
  <c r="J29" i="15" s="1"/>
  <c r="K20" i="22"/>
  <c r="K26" i="22" s="1"/>
  <c r="G17" i="22"/>
  <c r="G16" i="22"/>
  <c r="G15" i="22"/>
  <c r="G14" i="22"/>
  <c r="J26" i="15" l="1"/>
  <c r="F17" i="22"/>
  <c r="F16" i="22"/>
  <c r="F15" i="22"/>
  <c r="F14" i="22"/>
  <c r="K18" i="16" l="1"/>
  <c r="K15" i="24"/>
  <c r="J18" i="13"/>
  <c r="E17" i="22"/>
  <c r="E16" i="22"/>
  <c r="E15" i="22"/>
  <c r="E14" i="22"/>
  <c r="B54" i="22" l="1"/>
  <c r="C54" i="22"/>
  <c r="C34" i="22"/>
  <c r="C40" i="22" s="1"/>
  <c r="C35" i="22"/>
  <c r="C41" i="22" s="1"/>
  <c r="C36" i="22"/>
  <c r="C42" i="22" s="1"/>
  <c r="C37" i="22"/>
  <c r="C43" i="22" s="1"/>
  <c r="K32" i="15" l="1"/>
  <c r="J32" i="15" l="1"/>
  <c r="D22" i="15"/>
  <c r="K11" i="15"/>
  <c r="C54" i="15" l="1"/>
  <c r="B54" i="15"/>
  <c r="C44" i="15" l="1"/>
  <c r="C40" i="15"/>
  <c r="B8" i="18" l="1"/>
  <c r="B7" i="18"/>
  <c r="B6" i="18"/>
  <c r="B5" i="18"/>
  <c r="E27" i="15" l="1"/>
  <c r="E26" i="15"/>
  <c r="E29" i="15"/>
  <c r="E28" i="15"/>
  <c r="F26" i="15" l="1"/>
  <c r="G26" i="15"/>
  <c r="I26" i="15"/>
  <c r="H26" i="15"/>
  <c r="I27" i="15"/>
  <c r="H27" i="15"/>
  <c r="G27" i="15"/>
  <c r="F27" i="15"/>
  <c r="I29" i="15"/>
  <c r="G29" i="15"/>
  <c r="H29" i="15"/>
  <c r="F29" i="15"/>
  <c r="G28" i="15"/>
  <c r="F28" i="15"/>
  <c r="I28" i="15"/>
  <c r="H28" i="15"/>
  <c r="D29" i="15"/>
  <c r="D28" i="15"/>
  <c r="D27" i="15"/>
  <c r="D26" i="15"/>
  <c r="E34" i="22" l="1"/>
  <c r="E47" i="22" s="1"/>
  <c r="A1" i="32" l="1"/>
  <c r="B63" i="28" l="1"/>
  <c r="D63" i="28" l="1"/>
  <c r="C63" i="28" l="1"/>
  <c r="E63" i="28" l="1"/>
  <c r="B13" i="8"/>
  <c r="B12" i="8"/>
  <c r="B11" i="8"/>
  <c r="B8" i="8"/>
  <c r="B7" i="8"/>
  <c r="B81" i="8" l="1"/>
  <c r="C7" i="8" l="1"/>
  <c r="C12" i="8"/>
  <c r="C13" i="8"/>
  <c r="D7" i="8" l="1"/>
  <c r="D13" i="8" l="1"/>
  <c r="D12" i="8"/>
  <c r="C81" i="8" l="1"/>
  <c r="C8" i="8" s="1"/>
  <c r="C11" i="8"/>
  <c r="D81" i="8"/>
  <c r="D8" i="8" s="1"/>
  <c r="D11" i="8"/>
  <c r="E11" i="8" l="1"/>
  <c r="E13" i="8" l="1"/>
  <c r="E12" i="8" l="1"/>
  <c r="E7" i="8" l="1"/>
  <c r="E81" i="8" l="1"/>
  <c r="E8" i="8" s="1"/>
  <c r="E87" i="8"/>
  <c r="D87" i="8"/>
  <c r="C87" i="8"/>
  <c r="B87" i="8"/>
  <c r="F86" i="8"/>
  <c r="G86" i="8" s="1"/>
  <c r="F85" i="8"/>
  <c r="G85" i="8" s="1"/>
  <c r="F84" i="8"/>
  <c r="G84" i="8" s="1"/>
  <c r="D82" i="8"/>
  <c r="C82" i="8"/>
  <c r="B82" i="8"/>
  <c r="F80" i="8"/>
  <c r="G80" i="8" s="1"/>
  <c r="G13" i="8" l="1"/>
  <c r="G12" i="8"/>
  <c r="E82" i="8"/>
  <c r="F81" i="8"/>
  <c r="F82" i="8" s="1"/>
  <c r="F87" i="8"/>
  <c r="G11" i="8"/>
  <c r="G87" i="8" l="1"/>
  <c r="G81" i="8"/>
  <c r="G82" i="8" l="1"/>
  <c r="F15" i="5" l="1"/>
  <c r="F14" i="5"/>
  <c r="F13" i="5"/>
  <c r="F12" i="5"/>
  <c r="G15" i="16" l="1"/>
  <c r="L16" i="24" l="1"/>
  <c r="K19" i="23"/>
  <c r="K21" i="31"/>
  <c r="L19" i="16"/>
  <c r="K16" i="29"/>
  <c r="K19" i="13"/>
  <c r="L20" i="16"/>
  <c r="K22" i="31"/>
  <c r="K20" i="23"/>
  <c r="K17" i="29"/>
  <c r="L17" i="24"/>
  <c r="L18" i="29"/>
  <c r="M18" i="24"/>
  <c r="L23" i="31"/>
  <c r="L21" i="23"/>
  <c r="M21" i="16"/>
  <c r="L19" i="23"/>
  <c r="M16" i="24"/>
  <c r="M19" i="16"/>
  <c r="L16" i="29"/>
  <c r="L21" i="31"/>
  <c r="L19" i="13"/>
  <c r="L17" i="29"/>
  <c r="L20" i="23"/>
  <c r="L22" i="31"/>
  <c r="M17" i="24"/>
  <c r="M20" i="16"/>
  <c r="K18" i="23"/>
  <c r="K20" i="31"/>
  <c r="K15" i="29"/>
  <c r="L15" i="24"/>
  <c r="L18" i="16"/>
  <c r="P18" i="16" s="1"/>
  <c r="K18" i="13"/>
  <c r="J23" i="31"/>
  <c r="K21" i="16"/>
  <c r="J18" i="29"/>
  <c r="O18" i="29" s="1"/>
  <c r="K18" i="24"/>
  <c r="P18" i="24" s="1"/>
  <c r="J21" i="23"/>
  <c r="O21" i="23" s="1"/>
  <c r="J16" i="29"/>
  <c r="O16" i="29" s="1"/>
  <c r="K16" i="24"/>
  <c r="P16" i="24" s="1"/>
  <c r="J19" i="13"/>
  <c r="J19" i="23"/>
  <c r="O19" i="23" s="1"/>
  <c r="J21" i="31"/>
  <c r="K19" i="16"/>
  <c r="K20" i="16"/>
  <c r="J22" i="31"/>
  <c r="J20" i="23"/>
  <c r="O20" i="23" s="1"/>
  <c r="J17" i="29"/>
  <c r="O17" i="29" s="1"/>
  <c r="K17" i="24"/>
  <c r="J15" i="29"/>
  <c r="J20" i="31"/>
  <c r="J18" i="23"/>
  <c r="O18" i="23" s="1"/>
  <c r="L18" i="13"/>
  <c r="L15" i="29"/>
  <c r="M15" i="24"/>
  <c r="L20" i="31"/>
  <c r="L18" i="23"/>
  <c r="M18" i="16"/>
  <c r="K18" i="29"/>
  <c r="L18" i="24"/>
  <c r="K23" i="31"/>
  <c r="K21" i="23"/>
  <c r="L21" i="16"/>
  <c r="O22" i="31" l="1"/>
  <c r="O21" i="31"/>
  <c r="O23" i="31"/>
  <c r="O20" i="31"/>
  <c r="O18" i="13"/>
  <c r="O15" i="29"/>
  <c r="P15" i="24"/>
  <c r="P17" i="24"/>
  <c r="P20" i="16"/>
  <c r="P19" i="16"/>
  <c r="P21" i="16"/>
  <c r="D41" i="28" l="1"/>
  <c r="D42" i="28" s="1"/>
  <c r="C41" i="28" l="1"/>
  <c r="C42" i="28" s="1"/>
  <c r="E41" i="28" l="1"/>
  <c r="E42" i="28" l="1"/>
  <c r="E80" i="28"/>
  <c r="D80" i="28"/>
  <c r="C80" i="28"/>
  <c r="B80" i="28"/>
  <c r="F79" i="28"/>
  <c r="G79" i="28" s="1"/>
  <c r="F78" i="28"/>
  <c r="G78" i="28" s="1"/>
  <c r="F77" i="28"/>
  <c r="G77" i="28" s="1"/>
  <c r="E75" i="28"/>
  <c r="D75" i="28"/>
  <c r="C75" i="28"/>
  <c r="B75" i="28"/>
  <c r="F74" i="28"/>
  <c r="G74" i="28" s="1"/>
  <c r="F73" i="28"/>
  <c r="E69" i="28"/>
  <c r="D69" i="28"/>
  <c r="C69" i="28"/>
  <c r="B69" i="28"/>
  <c r="F68" i="28"/>
  <c r="F67" i="28"/>
  <c r="F66" i="28"/>
  <c r="E64" i="28"/>
  <c r="D64" i="28"/>
  <c r="C64" i="28"/>
  <c r="B64" i="28"/>
  <c r="F63" i="28"/>
  <c r="G63" i="28" s="1"/>
  <c r="F62" i="28"/>
  <c r="G66" i="28" l="1"/>
  <c r="G67" i="28"/>
  <c r="G68" i="28"/>
  <c r="G62" i="28"/>
  <c r="G64" i="28" s="1"/>
  <c r="F75" i="28"/>
  <c r="G73" i="28"/>
  <c r="G80" i="28"/>
  <c r="F80" i="28"/>
  <c r="F64" i="28"/>
  <c r="F69" i="28"/>
  <c r="G69" i="28" l="1"/>
  <c r="G75" i="28"/>
  <c r="E6" i="31"/>
  <c r="E5" i="31"/>
  <c r="I36" i="31"/>
  <c r="H36" i="31"/>
  <c r="G36" i="31"/>
  <c r="F36" i="31"/>
  <c r="E36" i="31"/>
  <c r="D36" i="31"/>
  <c r="C36" i="31"/>
  <c r="I35" i="31"/>
  <c r="H35" i="31"/>
  <c r="G35" i="31"/>
  <c r="F35" i="31"/>
  <c r="E35" i="31"/>
  <c r="D35" i="31"/>
  <c r="C35" i="31"/>
  <c r="D77" i="8" l="1"/>
  <c r="C77" i="8"/>
  <c r="B77" i="8"/>
  <c r="F76" i="8"/>
  <c r="G76" i="8" s="1"/>
  <c r="F75" i="8"/>
  <c r="G75" i="8" s="1"/>
  <c r="F74" i="8"/>
  <c r="G74" i="8" s="1"/>
  <c r="D72" i="8"/>
  <c r="C72" i="8"/>
  <c r="B72" i="8"/>
  <c r="F70" i="8"/>
  <c r="G70" i="8" s="1"/>
  <c r="E77" i="8" l="1"/>
  <c r="F77" i="8"/>
  <c r="E72" i="8"/>
  <c r="F71" i="8" l="1"/>
  <c r="F72" i="8" s="1"/>
  <c r="G71" i="8"/>
  <c r="G72" i="8" s="1"/>
  <c r="G77" i="8"/>
  <c r="L36" i="31" l="1"/>
  <c r="K36" i="31"/>
  <c r="L35" i="31"/>
  <c r="K35" i="31"/>
  <c r="J35" i="31" l="1"/>
  <c r="D5" i="31"/>
  <c r="F5" i="31" s="1"/>
  <c r="D6" i="31"/>
  <c r="F6" i="31" s="1"/>
  <c r="J36" i="31"/>
  <c r="B12" i="12" l="1"/>
  <c r="B11" i="12"/>
  <c r="B10" i="12"/>
  <c r="B6" i="12"/>
  <c r="C12" i="12"/>
  <c r="C11" i="12"/>
  <c r="C10" i="12"/>
  <c r="C6" i="12"/>
  <c r="C11" i="30" l="1"/>
  <c r="I37" i="31"/>
  <c r="H37" i="31"/>
  <c r="G37" i="31"/>
  <c r="F37" i="31"/>
  <c r="E37" i="31"/>
  <c r="D37" i="31"/>
  <c r="C37" i="31"/>
  <c r="I34" i="31"/>
  <c r="H34" i="31"/>
  <c r="G34" i="31"/>
  <c r="F34" i="31"/>
  <c r="E34" i="31"/>
  <c r="D34" i="31"/>
  <c r="K17" i="31"/>
  <c r="J17" i="31"/>
  <c r="I17" i="31"/>
  <c r="H17" i="31"/>
  <c r="G17" i="31"/>
  <c r="F17" i="31"/>
  <c r="E17" i="31"/>
  <c r="D17" i="31"/>
  <c r="D16" i="31"/>
  <c r="E16" i="31" s="1"/>
  <c r="F16" i="31" s="1"/>
  <c r="G16" i="31" s="1"/>
  <c r="H16" i="31" s="1"/>
  <c r="I16" i="31" s="1"/>
  <c r="J16" i="31" s="1"/>
  <c r="K16" i="31" s="1"/>
  <c r="L16" i="31" s="1"/>
  <c r="C15" i="31"/>
  <c r="B15" i="31"/>
  <c r="E7" i="31"/>
  <c r="E4" i="31"/>
  <c r="A1" i="31"/>
  <c r="E10" i="30"/>
  <c r="D11" i="30"/>
  <c r="B7" i="30" s="1"/>
  <c r="B11" i="30"/>
  <c r="B5" i="30" s="1"/>
  <c r="A2" i="30"/>
  <c r="A1" i="30"/>
  <c r="E5" i="19"/>
  <c r="D5" i="19"/>
  <c r="B6" i="30" l="1"/>
  <c r="C12" i="30"/>
  <c r="B12" i="30"/>
  <c r="D12" i="30"/>
  <c r="E8" i="31"/>
  <c r="E9" i="30"/>
  <c r="E11" i="30" l="1"/>
  <c r="E12" i="30" s="1"/>
  <c r="G4" i="31" l="1"/>
  <c r="D40" i="31"/>
  <c r="D30" i="28" l="1"/>
  <c r="C30" i="28" l="1"/>
  <c r="E30" i="28" l="1"/>
  <c r="C8" i="18" l="1"/>
  <c r="C7" i="18"/>
  <c r="E9" i="18"/>
  <c r="C6" i="18"/>
  <c r="C5" i="18"/>
  <c r="B6" i="10" l="1"/>
  <c r="B5" i="10"/>
  <c r="D9" i="10"/>
  <c r="D67" i="8"/>
  <c r="C67" i="8"/>
  <c r="B67" i="8"/>
  <c r="F66" i="8"/>
  <c r="F65" i="8"/>
  <c r="D62" i="8"/>
  <c r="C62" i="8"/>
  <c r="B62" i="8"/>
  <c r="F60" i="8"/>
  <c r="E67" i="8" l="1"/>
  <c r="D8" i="10"/>
  <c r="E62" i="8"/>
  <c r="F64" i="8"/>
  <c r="B42" i="13" l="1"/>
  <c r="F61" i="8"/>
  <c r="F62" i="8" s="1"/>
  <c r="F67" i="8"/>
  <c r="G61" i="8" l="1"/>
  <c r="G62" i="8" s="1"/>
  <c r="G67" i="8"/>
  <c r="I45" i="31" l="1"/>
  <c r="H45" i="31"/>
  <c r="L37" i="31" l="1"/>
  <c r="K37" i="31"/>
  <c r="L34" i="31"/>
  <c r="K34" i="31"/>
  <c r="D4" i="31" l="1"/>
  <c r="J34" i="31"/>
  <c r="G45" i="31"/>
  <c r="F45" i="31"/>
  <c r="E45" i="31"/>
  <c r="D45" i="31"/>
  <c r="D47" i="31" s="1"/>
  <c r="J37" i="31" l="1"/>
  <c r="D7" i="31"/>
  <c r="F7" i="31" s="1"/>
  <c r="F4" i="31"/>
  <c r="G7" i="29"/>
  <c r="G6" i="29"/>
  <c r="G5" i="29"/>
  <c r="B49" i="29"/>
  <c r="C49" i="29" s="1"/>
  <c r="C32" i="29"/>
  <c r="C38" i="29" s="1"/>
  <c r="C31" i="29"/>
  <c r="C37" i="29" s="1"/>
  <c r="C30" i="29"/>
  <c r="C36" i="29" s="1"/>
  <c r="C29" i="29"/>
  <c r="C35" i="29" s="1"/>
  <c r="D11" i="29"/>
  <c r="E11" i="29" s="1"/>
  <c r="F11" i="29" s="1"/>
  <c r="G11" i="29" s="1"/>
  <c r="H11" i="29" s="1"/>
  <c r="I11" i="29" s="1"/>
  <c r="J11" i="29" s="1"/>
  <c r="K11" i="29" s="1"/>
  <c r="L11" i="29" s="1"/>
  <c r="C10" i="29"/>
  <c r="B10" i="29"/>
  <c r="G4" i="29"/>
  <c r="A1" i="29"/>
  <c r="L32" i="29"/>
  <c r="L31" i="29"/>
  <c r="L30" i="29"/>
  <c r="L29" i="29"/>
  <c r="D8" i="31" l="1"/>
  <c r="F8" i="31"/>
  <c r="E40" i="31"/>
  <c r="E47" i="31"/>
  <c r="D7" i="29"/>
  <c r="D5" i="29"/>
  <c r="D6" i="29"/>
  <c r="G8" i="29"/>
  <c r="D4" i="29"/>
  <c r="F47" i="31" l="1"/>
  <c r="F40" i="31"/>
  <c r="D8" i="29"/>
  <c r="G47" i="31" l="1"/>
  <c r="G40" i="31"/>
  <c r="H47" i="31" l="1"/>
  <c r="H40" i="31"/>
  <c r="I40" i="31" l="1"/>
  <c r="I47" i="31"/>
  <c r="J40" i="31" l="1"/>
  <c r="B52" i="8" l="1"/>
  <c r="B57" i="8"/>
  <c r="F56" i="8"/>
  <c r="F55" i="8"/>
  <c r="E57" i="8"/>
  <c r="D57" i="8"/>
  <c r="F54" i="8"/>
  <c r="D52" i="8"/>
  <c r="F57" i="8" l="1"/>
  <c r="C57" i="8"/>
  <c r="F50" i="8"/>
  <c r="E52" i="8" l="1"/>
  <c r="G51" i="8"/>
  <c r="G8" i="8" s="1"/>
  <c r="G57" i="8"/>
  <c r="F51" i="8"/>
  <c r="F52" i="8" s="1"/>
  <c r="C52" i="8"/>
  <c r="G52" i="8" l="1"/>
  <c r="J10" i="31" l="1"/>
  <c r="C14" i="30"/>
  <c r="J11" i="31"/>
  <c r="C15" i="30"/>
  <c r="B15" i="30" s="1"/>
  <c r="C16" i="30"/>
  <c r="B16" i="30" s="1"/>
  <c r="J12" i="31"/>
  <c r="I40" i="29"/>
  <c r="C17" i="30" l="1"/>
  <c r="B14" i="30"/>
  <c r="J13" i="31"/>
  <c r="H40" i="29"/>
  <c r="G40" i="29"/>
  <c r="F40" i="29"/>
  <c r="E40" i="29"/>
  <c r="D40" i="29"/>
  <c r="B17" i="30" l="1"/>
  <c r="C42" i="31"/>
  <c r="G6" i="31"/>
  <c r="C43" i="31"/>
  <c r="G7" i="31"/>
  <c r="D43" i="31" l="1"/>
  <c r="D50" i="31"/>
  <c r="E43" i="31" s="1"/>
  <c r="D42" i="31"/>
  <c r="D49" i="31"/>
  <c r="G5" i="31"/>
  <c r="C41" i="31"/>
  <c r="B54" i="31"/>
  <c r="C54" i="31" s="1"/>
  <c r="D41" i="31" l="1"/>
  <c r="D48" i="31"/>
  <c r="G8" i="31"/>
  <c r="E49" i="31"/>
  <c r="E42" i="31"/>
  <c r="E50" i="31"/>
  <c r="F43" i="31" s="1"/>
  <c r="F50" i="31" l="1"/>
  <c r="G43" i="31" s="1"/>
  <c r="E48" i="31"/>
  <c r="E52" i="31" s="1"/>
  <c r="D52" i="31"/>
  <c r="E41" i="31"/>
  <c r="F49" i="31"/>
  <c r="F42" i="31"/>
  <c r="D54" i="31"/>
  <c r="G49" i="31" l="1"/>
  <c r="G50" i="31"/>
  <c r="H43" i="31" s="1"/>
  <c r="G42" i="31"/>
  <c r="F41" i="31"/>
  <c r="F48" i="31"/>
  <c r="F52" i="31" s="1"/>
  <c r="D51" i="31"/>
  <c r="E54" i="31"/>
  <c r="G48" i="31" l="1"/>
  <c r="H50" i="31"/>
  <c r="I43" i="31" s="1"/>
  <c r="G41" i="31"/>
  <c r="G52" i="31"/>
  <c r="H42" i="31"/>
  <c r="H49" i="31"/>
  <c r="F54" i="31"/>
  <c r="E51" i="31"/>
  <c r="I50" i="31" l="1"/>
  <c r="J43" i="31" s="1"/>
  <c r="I42" i="31"/>
  <c r="I49" i="31"/>
  <c r="H41" i="31"/>
  <c r="H48" i="31"/>
  <c r="H52" i="31" s="1"/>
  <c r="G54" i="31"/>
  <c r="F51" i="31"/>
  <c r="H54" i="31" l="1"/>
  <c r="G51" i="31"/>
  <c r="I41" i="31"/>
  <c r="I48" i="31"/>
  <c r="I52" i="31" s="1"/>
  <c r="J42" i="31"/>
  <c r="J41" i="31" l="1"/>
  <c r="H51" i="31"/>
  <c r="I54" i="31"/>
  <c r="I51" i="31" s="1"/>
  <c r="E19" i="28"/>
  <c r="E8" i="28" s="1"/>
  <c r="E9" i="28" s="1"/>
  <c r="D19" i="28"/>
  <c r="D8" i="28" s="1"/>
  <c r="D9" i="28" s="1"/>
  <c r="C19" i="28"/>
  <c r="C8" i="28" s="1"/>
  <c r="C9" i="28" s="1"/>
  <c r="B47" i="28" l="1"/>
  <c r="F46" i="28"/>
  <c r="E47" i="28"/>
  <c r="D47" i="28"/>
  <c r="F44" i="28"/>
  <c r="B42" i="28"/>
  <c r="E36" i="28"/>
  <c r="D36" i="28"/>
  <c r="F35" i="28"/>
  <c r="F34" i="28"/>
  <c r="F33" i="28"/>
  <c r="C36" i="28"/>
  <c r="B36" i="28"/>
  <c r="E31" i="28"/>
  <c r="D31" i="28"/>
  <c r="F30" i="28"/>
  <c r="G30" i="28" s="1"/>
  <c r="C31" i="28"/>
  <c r="B31" i="28"/>
  <c r="E25" i="28"/>
  <c r="D25" i="28"/>
  <c r="D20" i="28"/>
  <c r="A2" i="28"/>
  <c r="A1" i="28"/>
  <c r="G44" i="28" l="1"/>
  <c r="I22" i="29"/>
  <c r="G22" i="29"/>
  <c r="K22" i="29"/>
  <c r="J22" i="29"/>
  <c r="H22" i="29"/>
  <c r="G46" i="28"/>
  <c r="G24" i="29"/>
  <c r="K24" i="29"/>
  <c r="I24" i="29"/>
  <c r="H24" i="29"/>
  <c r="J24" i="29"/>
  <c r="D22" i="29"/>
  <c r="G33" i="28"/>
  <c r="F22" i="29"/>
  <c r="E22" i="29"/>
  <c r="G34" i="28"/>
  <c r="F24" i="29"/>
  <c r="E24" i="29"/>
  <c r="G35" i="28"/>
  <c r="D24" i="29"/>
  <c r="B19" i="28"/>
  <c r="B9" i="28" s="1"/>
  <c r="B25" i="28"/>
  <c r="F36" i="28"/>
  <c r="F7" i="28"/>
  <c r="F41" i="28"/>
  <c r="G41" i="28" s="1"/>
  <c r="F12" i="28"/>
  <c r="F18" i="28"/>
  <c r="F23" i="28"/>
  <c r="F45" i="28"/>
  <c r="F23" i="29" s="1"/>
  <c r="C47" i="28"/>
  <c r="F13" i="28"/>
  <c r="C20" i="28"/>
  <c r="C25" i="28"/>
  <c r="F24" i="28"/>
  <c r="F22" i="28"/>
  <c r="F29" i="28"/>
  <c r="F40" i="28"/>
  <c r="O24" i="29" l="1"/>
  <c r="O22" i="29"/>
  <c r="E23" i="29"/>
  <c r="G45" i="28"/>
  <c r="K23" i="29"/>
  <c r="K31" i="29" s="1"/>
  <c r="G23" i="29"/>
  <c r="H23" i="29"/>
  <c r="H31" i="29" s="1"/>
  <c r="I23" i="29"/>
  <c r="I31" i="29" s="1"/>
  <c r="J23" i="29"/>
  <c r="D23" i="29"/>
  <c r="D31" i="29" s="1"/>
  <c r="G40" i="28"/>
  <c r="G42" i="28" s="1"/>
  <c r="I21" i="29"/>
  <c r="H21" i="29"/>
  <c r="J21" i="29"/>
  <c r="G21" i="29"/>
  <c r="K21" i="29"/>
  <c r="F21" i="29"/>
  <c r="D21" i="29"/>
  <c r="G29" i="28"/>
  <c r="G31" i="28" s="1"/>
  <c r="E21" i="29"/>
  <c r="G36" i="28"/>
  <c r="B20" i="28"/>
  <c r="F19" i="28"/>
  <c r="G19" i="28" s="1"/>
  <c r="G8" i="28" s="1"/>
  <c r="F11" i="28"/>
  <c r="F14" i="28" s="1"/>
  <c r="E32" i="29"/>
  <c r="D32" i="29"/>
  <c r="G24" i="28"/>
  <c r="F32" i="29"/>
  <c r="G18" i="28"/>
  <c r="G7" i="28" s="1"/>
  <c r="F31" i="29"/>
  <c r="G23" i="28"/>
  <c r="E31" i="29"/>
  <c r="F30" i="29"/>
  <c r="E30" i="29"/>
  <c r="D30" i="29"/>
  <c r="G22" i="28"/>
  <c r="G11" i="28" s="1"/>
  <c r="I30" i="29"/>
  <c r="K32" i="29"/>
  <c r="I32" i="29"/>
  <c r="H32" i="29"/>
  <c r="H30" i="29"/>
  <c r="K30" i="29"/>
  <c r="F25" i="28"/>
  <c r="E20" i="28"/>
  <c r="F47" i="28"/>
  <c r="F31" i="28"/>
  <c r="F42" i="28"/>
  <c r="G47" i="28"/>
  <c r="O23" i="29" l="1"/>
  <c r="G12" i="28"/>
  <c r="Z14" i="5" s="1"/>
  <c r="G9" i="28"/>
  <c r="G13" i="28"/>
  <c r="G14" i="28" s="1"/>
  <c r="O21" i="29"/>
  <c r="F20" i="28"/>
  <c r="Z12" i="5"/>
  <c r="E12" i="29"/>
  <c r="E29" i="29"/>
  <c r="F12" i="29"/>
  <c r="F29" i="29"/>
  <c r="D38" i="29"/>
  <c r="D45" i="29"/>
  <c r="D37" i="29"/>
  <c r="D44" i="29"/>
  <c r="D12" i="29"/>
  <c r="D29" i="29"/>
  <c r="D36" i="29"/>
  <c r="D43" i="29"/>
  <c r="E6" i="29"/>
  <c r="F6" i="29" s="1"/>
  <c r="G31" i="29"/>
  <c r="E7" i="29"/>
  <c r="F7" i="29" s="1"/>
  <c r="G32" i="29"/>
  <c r="J31" i="29"/>
  <c r="E5" i="29"/>
  <c r="F5" i="29" s="1"/>
  <c r="G30" i="29"/>
  <c r="E4" i="29"/>
  <c r="G29" i="29"/>
  <c r="G12" i="29"/>
  <c r="J32" i="29"/>
  <c r="H12" i="29"/>
  <c r="H29" i="29"/>
  <c r="K29" i="29"/>
  <c r="K12" i="29"/>
  <c r="I12" i="29"/>
  <c r="I29" i="29"/>
  <c r="J30" i="29"/>
  <c r="J12" i="29"/>
  <c r="J29" i="29"/>
  <c r="F8" i="28"/>
  <c r="F9" i="28" s="1"/>
  <c r="G20" i="28"/>
  <c r="G25" i="28"/>
  <c r="Z15" i="5" l="1"/>
  <c r="O12" i="29"/>
  <c r="D35" i="29"/>
  <c r="D42" i="29"/>
  <c r="D47" i="29" s="1"/>
  <c r="E44" i="29"/>
  <c r="E37" i="29"/>
  <c r="E38" i="29"/>
  <c r="E45" i="29"/>
  <c r="E43" i="29"/>
  <c r="E36" i="29"/>
  <c r="F4" i="29"/>
  <c r="F8" i="29" s="1"/>
  <c r="E8" i="29"/>
  <c r="D49" i="29" l="1"/>
  <c r="D46" i="29" s="1"/>
  <c r="E35" i="29"/>
  <c r="E42" i="29"/>
  <c r="E47" i="29" s="1"/>
  <c r="F38" i="29"/>
  <c r="F45" i="29"/>
  <c r="F37" i="29"/>
  <c r="F44" i="29"/>
  <c r="F43" i="29"/>
  <c r="F36" i="29"/>
  <c r="D37" i="22"/>
  <c r="D36" i="22"/>
  <c r="D35" i="22"/>
  <c r="D34" i="22"/>
  <c r="E49" i="29" l="1"/>
  <c r="E46" i="29" s="1"/>
  <c r="G44" i="29"/>
  <c r="G37" i="29"/>
  <c r="G43" i="29"/>
  <c r="G36" i="29"/>
  <c r="F35" i="29"/>
  <c r="F42" i="29"/>
  <c r="F47" i="29" s="1"/>
  <c r="G38" i="29"/>
  <c r="G45" i="29"/>
  <c r="C10" i="10"/>
  <c r="B10" i="10"/>
  <c r="H45" i="29" l="1"/>
  <c r="H38" i="29"/>
  <c r="F49" i="29"/>
  <c r="H37" i="29"/>
  <c r="H44" i="29"/>
  <c r="G35" i="29"/>
  <c r="G42" i="29"/>
  <c r="G47" i="29" s="1"/>
  <c r="H36" i="29"/>
  <c r="H43" i="29"/>
  <c r="C11" i="10"/>
  <c r="B11" i="10"/>
  <c r="I37" i="29" l="1"/>
  <c r="I44" i="29"/>
  <c r="H35" i="29"/>
  <c r="H42" i="29"/>
  <c r="H47" i="29" s="1"/>
  <c r="F46" i="29"/>
  <c r="G49" i="29"/>
  <c r="I43" i="29"/>
  <c r="I36" i="29"/>
  <c r="I45" i="29"/>
  <c r="I38" i="29"/>
  <c r="E29" i="13"/>
  <c r="J38" i="29" l="1"/>
  <c r="G46" i="29"/>
  <c r="H49" i="29"/>
  <c r="I35" i="29"/>
  <c r="I42" i="29"/>
  <c r="I47" i="29" s="1"/>
  <c r="J37" i="29"/>
  <c r="J36" i="29"/>
  <c r="J35" i="29" l="1"/>
  <c r="H46" i="29"/>
  <c r="I49" i="29"/>
  <c r="I46" i="29" s="1"/>
  <c r="B42" i="8" l="1"/>
  <c r="B47" i="8" l="1"/>
  <c r="C14" i="8" l="1"/>
  <c r="D14" i="8" l="1"/>
  <c r="D47" i="8" l="1"/>
  <c r="C9" i="8"/>
  <c r="C47" i="8"/>
  <c r="D42" i="8" l="1"/>
  <c r="D9" i="8"/>
  <c r="C42" i="8"/>
  <c r="F44" i="8" l="1"/>
  <c r="E14" i="8" l="1"/>
  <c r="F46" i="8" l="1"/>
  <c r="F40" i="8" l="1"/>
  <c r="F45" i="8" l="1"/>
  <c r="E47" i="8"/>
  <c r="E9" i="8"/>
  <c r="F41" i="8" l="1"/>
  <c r="E42" i="8"/>
  <c r="F47" i="8"/>
  <c r="G47" i="8" l="1"/>
  <c r="F42" i="8"/>
  <c r="G42" i="8" l="1"/>
  <c r="C15" i="5" l="1"/>
  <c r="C14" i="5"/>
  <c r="C13" i="5"/>
  <c r="C12" i="5"/>
  <c r="J8" i="13"/>
  <c r="J10" i="23"/>
  <c r="C14" i="10"/>
  <c r="C13" i="10"/>
  <c r="J6" i="5" l="1"/>
  <c r="C15" i="10"/>
  <c r="J9" i="13"/>
  <c r="J10" i="13"/>
  <c r="J8" i="23"/>
  <c r="J9" i="23"/>
  <c r="A1" i="13" l="1"/>
  <c r="A2" i="10"/>
  <c r="A1" i="10"/>
  <c r="A1" i="23"/>
  <c r="A2" i="8"/>
  <c r="A1" i="8"/>
  <c r="A1" i="24"/>
  <c r="A1" i="16"/>
  <c r="A1" i="19"/>
  <c r="A1" i="12"/>
  <c r="A1" i="22"/>
  <c r="A1" i="15"/>
  <c r="A1" i="5"/>
  <c r="A2" i="20" s="1"/>
  <c r="B14" i="8" l="1"/>
  <c r="B31" i="8"/>
  <c r="B9" i="8" l="1"/>
  <c r="A2" i="12"/>
  <c r="G5" i="23" l="1"/>
  <c r="B52" i="23" l="1"/>
  <c r="B55" i="24"/>
  <c r="G7" i="5" l="1"/>
  <c r="G6" i="5"/>
  <c r="G5" i="5"/>
  <c r="G4" i="5"/>
  <c r="AA12" i="5" l="1"/>
  <c r="Z13" i="5"/>
  <c r="X15" i="5"/>
  <c r="V12" i="5"/>
  <c r="X13" i="5"/>
  <c r="S6" i="5"/>
  <c r="S7" i="5"/>
  <c r="S5" i="5"/>
  <c r="B9" i="18"/>
  <c r="D39" i="16" l="1"/>
  <c r="C39" i="16"/>
  <c r="E25" i="8" l="1"/>
  <c r="B25" i="8"/>
  <c r="D25" i="8"/>
  <c r="E20" i="8"/>
  <c r="F23" i="8"/>
  <c r="G23" i="8" s="1"/>
  <c r="F19" i="8"/>
  <c r="G19" i="8" s="1"/>
  <c r="B20" i="8"/>
  <c r="C20" i="8"/>
  <c r="F22" i="8"/>
  <c r="G22" i="8" s="1"/>
  <c r="D20" i="8"/>
  <c r="C25" i="8"/>
  <c r="F24" i="8"/>
  <c r="G24" i="8" s="1"/>
  <c r="F18" i="8"/>
  <c r="G18" i="8" s="1"/>
  <c r="F25" i="8" l="1"/>
  <c r="F20" i="8"/>
  <c r="G20" i="8" l="1"/>
  <c r="G25" i="8"/>
  <c r="G5" i="16" l="1"/>
  <c r="I6" i="24" l="1"/>
  <c r="I5" i="24"/>
  <c r="C38" i="24" l="1"/>
  <c r="C44" i="24" s="1"/>
  <c r="C37" i="24"/>
  <c r="C43" i="24" s="1"/>
  <c r="C36" i="24"/>
  <c r="C42" i="24" s="1"/>
  <c r="C35" i="24"/>
  <c r="F15" i="16" l="1"/>
  <c r="H15" i="16" l="1"/>
  <c r="I15" i="16" l="1"/>
  <c r="J15" i="16" l="1"/>
  <c r="K15" i="16" l="1"/>
  <c r="L15" i="16" l="1"/>
  <c r="N26" i="16" l="1"/>
  <c r="N25" i="16"/>
  <c r="J39" i="16" l="1"/>
  <c r="I39" i="16"/>
  <c r="H39" i="16"/>
  <c r="L34" i="15" l="1"/>
  <c r="L28" i="22"/>
  <c r="L33" i="15"/>
  <c r="K33" i="15"/>
  <c r="K27" i="22"/>
  <c r="M27" i="22" l="1"/>
  <c r="J33" i="15"/>
  <c r="L27" i="22"/>
  <c r="K34" i="15"/>
  <c r="K28" i="22"/>
  <c r="M35" i="24"/>
  <c r="M37" i="24"/>
  <c r="J34" i="15"/>
  <c r="M28" i="22"/>
  <c r="M38" i="24"/>
  <c r="M36" i="24"/>
  <c r="E5" i="16" l="1"/>
  <c r="D5" i="23"/>
  <c r="M39" i="16"/>
  <c r="E5" i="24"/>
  <c r="L39" i="16"/>
  <c r="K39" i="16"/>
  <c r="E6" i="24"/>
  <c r="I6" i="22" l="1"/>
  <c r="F6" i="22"/>
  <c r="E6" i="22"/>
  <c r="I5" i="22"/>
  <c r="F5" i="22"/>
  <c r="E5" i="22"/>
  <c r="M36" i="22" l="1"/>
  <c r="I36" i="22"/>
  <c r="H36" i="22"/>
  <c r="G36" i="22"/>
  <c r="F36" i="22"/>
  <c r="E36" i="22"/>
  <c r="D42" i="22"/>
  <c r="M35" i="22"/>
  <c r="I35" i="22"/>
  <c r="H35" i="22"/>
  <c r="G35" i="22"/>
  <c r="F35" i="22"/>
  <c r="E35" i="22"/>
  <c r="D41" i="22"/>
  <c r="E41" i="22" l="1"/>
  <c r="E42" i="22"/>
  <c r="L34" i="23"/>
  <c r="C34" i="23"/>
  <c r="C40" i="23" s="1"/>
  <c r="L33" i="23"/>
  <c r="C33" i="23"/>
  <c r="C39" i="23" s="1"/>
  <c r="C13" i="13"/>
  <c r="B13" i="13"/>
  <c r="C13" i="23"/>
  <c r="B13" i="23"/>
  <c r="C10" i="24"/>
  <c r="B10" i="24"/>
  <c r="C10" i="22"/>
  <c r="B10" i="22"/>
  <c r="J47" i="15" l="1"/>
  <c r="J45" i="31" l="1"/>
  <c r="J49" i="31"/>
  <c r="J48" i="31"/>
  <c r="J47" i="31"/>
  <c r="J50" i="31"/>
  <c r="K47" i="15"/>
  <c r="J40" i="29"/>
  <c r="G39" i="16"/>
  <c r="F39" i="16"/>
  <c r="E39" i="16"/>
  <c r="K43" i="31" l="1"/>
  <c r="K41" i="31"/>
  <c r="K42" i="31"/>
  <c r="K40" i="29"/>
  <c r="K45" i="31"/>
  <c r="K47" i="31" s="1"/>
  <c r="J52" i="31"/>
  <c r="K40" i="31"/>
  <c r="J54" i="31"/>
  <c r="J43" i="29"/>
  <c r="J44" i="29"/>
  <c r="J45" i="29"/>
  <c r="J42" i="29"/>
  <c r="E15" i="16"/>
  <c r="K50" i="31" l="1"/>
  <c r="K49" i="31"/>
  <c r="K48" i="31"/>
  <c r="L43" i="31"/>
  <c r="H4" i="31"/>
  <c r="I4" i="31" s="1"/>
  <c r="J51" i="31"/>
  <c r="L47" i="31"/>
  <c r="O47" i="31" s="1"/>
  <c r="L40" i="31"/>
  <c r="J49" i="29"/>
  <c r="J46" i="29" s="1"/>
  <c r="J47" i="29"/>
  <c r="K35" i="29"/>
  <c r="K42" i="29"/>
  <c r="K45" i="29"/>
  <c r="H7" i="29" s="1"/>
  <c r="I7" i="29" s="1"/>
  <c r="Z23" i="5" s="1"/>
  <c r="K38" i="29"/>
  <c r="K37" i="29"/>
  <c r="K44" i="29"/>
  <c r="H6" i="29" s="1"/>
  <c r="I6" i="29" s="1"/>
  <c r="Z22" i="5" s="1"/>
  <c r="K43" i="29"/>
  <c r="H5" i="29" s="1"/>
  <c r="I5" i="29" s="1"/>
  <c r="Z21" i="5" s="1"/>
  <c r="K36" i="29"/>
  <c r="N27" i="16"/>
  <c r="F5" i="16" s="1"/>
  <c r="H7" i="31" l="1"/>
  <c r="I7" i="31" s="1"/>
  <c r="I10" i="31" s="1"/>
  <c r="AA23" i="5"/>
  <c r="J7" i="31"/>
  <c r="AA20" i="5"/>
  <c r="J4" i="31"/>
  <c r="L50" i="31"/>
  <c r="O50" i="31" s="1"/>
  <c r="I12" i="31"/>
  <c r="I11" i="31"/>
  <c r="H5" i="31"/>
  <c r="I5" i="31" s="1"/>
  <c r="AA21" i="5" s="1"/>
  <c r="H6" i="31"/>
  <c r="I6" i="31" s="1"/>
  <c r="AA22" i="5" s="1"/>
  <c r="K52" i="31"/>
  <c r="L49" i="31"/>
  <c r="O49" i="31" s="1"/>
  <c r="L42" i="31"/>
  <c r="L48" i="31"/>
  <c r="O48" i="31" s="1"/>
  <c r="L41" i="31"/>
  <c r="K54" i="31"/>
  <c r="K49" i="29"/>
  <c r="K46" i="29" s="1"/>
  <c r="K47" i="29"/>
  <c r="L42" i="29"/>
  <c r="O42" i="29" s="1"/>
  <c r="L35" i="29"/>
  <c r="L36" i="29"/>
  <c r="J5" i="29" s="1"/>
  <c r="L43" i="29"/>
  <c r="O43" i="29" s="1"/>
  <c r="H4" i="29"/>
  <c r="L38" i="29"/>
  <c r="J7" i="29" s="1"/>
  <c r="L45" i="29"/>
  <c r="O45" i="29" s="1"/>
  <c r="L44" i="29"/>
  <c r="O44" i="29" s="1"/>
  <c r="L37" i="29"/>
  <c r="J6" i="29" s="1"/>
  <c r="C55" i="24"/>
  <c r="C41" i="24"/>
  <c r="E11" i="24"/>
  <c r="F11" i="24" s="1"/>
  <c r="G11" i="24" s="1"/>
  <c r="H11" i="24" s="1"/>
  <c r="I11" i="24" s="1"/>
  <c r="J11" i="24" s="1"/>
  <c r="K11" i="24" s="1"/>
  <c r="L11" i="24" s="1"/>
  <c r="M11" i="24" s="1"/>
  <c r="I7" i="24"/>
  <c r="I4" i="24"/>
  <c r="I13" i="31" l="1"/>
  <c r="I8" i="31"/>
  <c r="H8" i="31"/>
  <c r="L54" i="31"/>
  <c r="L51" i="31" s="1"/>
  <c r="L52" i="31"/>
  <c r="K51" i="31"/>
  <c r="L49" i="29"/>
  <c r="L46" i="29" s="1"/>
  <c r="L47" i="29"/>
  <c r="H8" i="29"/>
  <c r="I4" i="29"/>
  <c r="Z20" i="5" s="1"/>
  <c r="I8" i="24"/>
  <c r="E7" i="24"/>
  <c r="E4" i="24"/>
  <c r="J4" i="29" l="1"/>
  <c r="I8" i="29"/>
  <c r="E8" i="24"/>
  <c r="D14" i="13" l="1"/>
  <c r="D14" i="23"/>
  <c r="E14" i="23" s="1"/>
  <c r="F14" i="23" s="1"/>
  <c r="G14" i="23" s="1"/>
  <c r="H14" i="23" s="1"/>
  <c r="I14" i="23" s="1"/>
  <c r="J14" i="23" s="1"/>
  <c r="K14" i="23" s="1"/>
  <c r="L14" i="23" s="1"/>
  <c r="E11" i="22"/>
  <c r="E14" i="15"/>
  <c r="F14" i="15" s="1"/>
  <c r="G14" i="15" s="1"/>
  <c r="H14" i="15" s="1"/>
  <c r="I14" i="15" s="1"/>
  <c r="J14" i="15" s="1"/>
  <c r="K14" i="15" s="1"/>
  <c r="L14" i="15" s="1"/>
  <c r="M11" i="22" s="1"/>
  <c r="C52" i="23"/>
  <c r="C35" i="23"/>
  <c r="C41" i="23" s="1"/>
  <c r="C32" i="23"/>
  <c r="C38" i="23" s="1"/>
  <c r="L35" i="23"/>
  <c r="L32" i="23"/>
  <c r="G4" i="23"/>
  <c r="G6" i="23" s="1"/>
  <c r="C38" i="16"/>
  <c r="M52" i="22"/>
  <c r="M29" i="22"/>
  <c r="L29" i="22"/>
  <c r="K29" i="22"/>
  <c r="M26" i="22"/>
  <c r="L26" i="22"/>
  <c r="D43" i="22"/>
  <c r="H37" i="22"/>
  <c r="G37" i="22"/>
  <c r="G34" i="22"/>
  <c r="F34" i="22"/>
  <c r="I7" i="22"/>
  <c r="I4" i="22"/>
  <c r="I8" i="22" l="1"/>
  <c r="M34" i="22"/>
  <c r="H34" i="22"/>
  <c r="I34" i="22"/>
  <c r="F37" i="22"/>
  <c r="I37" i="22"/>
  <c r="J11" i="23"/>
  <c r="F4" i="22"/>
  <c r="M37" i="22"/>
  <c r="F7" i="22"/>
  <c r="D4" i="23"/>
  <c r="F11" i="22"/>
  <c r="H11" i="22"/>
  <c r="G11" i="22"/>
  <c r="I11" i="22"/>
  <c r="J11" i="22"/>
  <c r="K11" i="22"/>
  <c r="L11" i="22"/>
  <c r="E37" i="22"/>
  <c r="E43" i="22" s="1"/>
  <c r="E7" i="22"/>
  <c r="E4" i="22"/>
  <c r="D40" i="22"/>
  <c r="E40" i="22" l="1"/>
  <c r="D6" i="23"/>
  <c r="F8" i="22"/>
  <c r="E8" i="22"/>
  <c r="A2" i="19" l="1"/>
  <c r="AA15" i="5" l="1"/>
  <c r="AA14" i="5"/>
  <c r="E16" i="20" l="1"/>
  <c r="E15" i="20"/>
  <c r="D16" i="20"/>
  <c r="AA13" i="5"/>
  <c r="D15" i="20"/>
  <c r="J11" i="13"/>
  <c r="C16" i="10" l="1"/>
  <c r="D14" i="20"/>
  <c r="E14" i="20"/>
  <c r="B13" i="12" l="1"/>
  <c r="B7" i="12" s="1"/>
  <c r="B8" i="12" s="1"/>
  <c r="T15" i="5"/>
  <c r="T14" i="5"/>
  <c r="T13" i="5"/>
  <c r="C13" i="12" l="1"/>
  <c r="C7" i="12" s="1"/>
  <c r="D38" i="16" l="1"/>
  <c r="D15" i="16"/>
  <c r="B52" i="16" l="1"/>
  <c r="C42" i="13" l="1"/>
  <c r="F29" i="13"/>
  <c r="D29" i="13"/>
  <c r="C29" i="13"/>
  <c r="C33" i="13" s="1"/>
  <c r="F28" i="13"/>
  <c r="E28" i="13"/>
  <c r="D28" i="13"/>
  <c r="C28" i="13"/>
  <c r="C32" i="13" s="1"/>
  <c r="H29" i="13"/>
  <c r="J15" i="13"/>
  <c r="I15" i="13"/>
  <c r="I28" i="13"/>
  <c r="H28" i="13"/>
  <c r="G28" i="13"/>
  <c r="K15" i="13"/>
  <c r="G15" i="13"/>
  <c r="F15" i="13"/>
  <c r="E15" i="13"/>
  <c r="D15" i="13"/>
  <c r="E14" i="13"/>
  <c r="F14" i="13" s="1"/>
  <c r="G14" i="13" s="1"/>
  <c r="H14" i="13" s="1"/>
  <c r="I14" i="13" s="1"/>
  <c r="J14" i="13" s="1"/>
  <c r="K14" i="13" s="1"/>
  <c r="L14" i="13" s="1"/>
  <c r="G5" i="13"/>
  <c r="G4" i="13"/>
  <c r="G6" i="13" l="1"/>
  <c r="D33" i="13"/>
  <c r="D32" i="13"/>
  <c r="I29" i="13"/>
  <c r="E5" i="13"/>
  <c r="E4" i="13"/>
  <c r="G29" i="13"/>
  <c r="H15" i="13"/>
  <c r="E6" i="13" l="1"/>
  <c r="L29" i="13" l="1"/>
  <c r="L28" i="13"/>
  <c r="K28" i="13"/>
  <c r="K29" i="13"/>
  <c r="J28" i="13" l="1"/>
  <c r="D4" i="13"/>
  <c r="J29" i="13"/>
  <c r="D5" i="13"/>
  <c r="F5" i="13" s="1"/>
  <c r="D6" i="13" l="1"/>
  <c r="F4" i="13"/>
  <c r="F6" i="13" l="1"/>
  <c r="G35" i="13" l="1"/>
  <c r="G43" i="23"/>
  <c r="D35" i="13"/>
  <c r="D43" i="23"/>
  <c r="E35" i="13"/>
  <c r="E43" i="23"/>
  <c r="F35" i="13"/>
  <c r="F43" i="23"/>
  <c r="H35" i="13"/>
  <c r="H43" i="23"/>
  <c r="E49" i="22" l="1"/>
  <c r="E48" i="22"/>
  <c r="E50" i="22"/>
  <c r="D38" i="13"/>
  <c r="D37" i="13"/>
  <c r="I43" i="23"/>
  <c r="I35" i="13"/>
  <c r="C52" i="16"/>
  <c r="D52" i="16" s="1"/>
  <c r="E52" i="22" l="1"/>
  <c r="E54" i="22"/>
  <c r="E51" i="22" s="1"/>
  <c r="F42" i="22"/>
  <c r="F49" i="22"/>
  <c r="F41" i="22"/>
  <c r="F48" i="22"/>
  <c r="F47" i="22"/>
  <c r="F40" i="22"/>
  <c r="E37" i="13"/>
  <c r="E32" i="13"/>
  <c r="D40" i="13"/>
  <c r="D42" i="13"/>
  <c r="D39" i="13" s="1"/>
  <c r="F50" i="22"/>
  <c r="F43" i="22"/>
  <c r="E33" i="13"/>
  <c r="E38" i="13"/>
  <c r="L35" i="15"/>
  <c r="K35" i="15"/>
  <c r="J35" i="15"/>
  <c r="L32" i="15"/>
  <c r="D4" i="15" s="1"/>
  <c r="F54" i="22" l="1"/>
  <c r="F51" i="22" s="1"/>
  <c r="G42" i="22"/>
  <c r="G41" i="22"/>
  <c r="G48" i="22"/>
  <c r="G49" i="22"/>
  <c r="G47" i="22"/>
  <c r="G40" i="22"/>
  <c r="F52" i="22"/>
  <c r="F33" i="13"/>
  <c r="F38" i="13"/>
  <c r="F32" i="13"/>
  <c r="F37" i="13"/>
  <c r="G43" i="22"/>
  <c r="G50" i="22"/>
  <c r="E40" i="13"/>
  <c r="E42" i="13"/>
  <c r="E39" i="13" s="1"/>
  <c r="G38" i="13" l="1"/>
  <c r="G37" i="13"/>
  <c r="H49" i="22"/>
  <c r="G54" i="22"/>
  <c r="G51" i="22" s="1"/>
  <c r="H42" i="22"/>
  <c r="H41" i="22"/>
  <c r="H48" i="22"/>
  <c r="H50" i="22"/>
  <c r="H43" i="22"/>
  <c r="H40" i="22"/>
  <c r="H47" i="22"/>
  <c r="G33" i="13"/>
  <c r="G52" i="22"/>
  <c r="G32" i="13"/>
  <c r="F42" i="13"/>
  <c r="F39" i="13" s="1"/>
  <c r="F40" i="13"/>
  <c r="H37" i="13" l="1"/>
  <c r="H54" i="22"/>
  <c r="H51" i="22" s="1"/>
  <c r="I48" i="22"/>
  <c r="I41" i="22"/>
  <c r="I42" i="22"/>
  <c r="I49" i="22"/>
  <c r="H33" i="13"/>
  <c r="H38" i="13"/>
  <c r="I40" i="22"/>
  <c r="I47" i="22"/>
  <c r="G40" i="13"/>
  <c r="G42" i="13"/>
  <c r="G39" i="13" s="1"/>
  <c r="H32" i="13"/>
  <c r="H52" i="22"/>
  <c r="I50" i="22"/>
  <c r="I43" i="22"/>
  <c r="C43" i="16"/>
  <c r="D43" i="16" s="1"/>
  <c r="E43" i="16" s="1"/>
  <c r="C42" i="16"/>
  <c r="D42" i="16" s="1"/>
  <c r="M38" i="16"/>
  <c r="F14" i="16"/>
  <c r="G14" i="16" s="1"/>
  <c r="H14" i="16" s="1"/>
  <c r="I14" i="16" s="1"/>
  <c r="J14" i="16" s="1"/>
  <c r="K14" i="16" s="1"/>
  <c r="L14" i="16" s="1"/>
  <c r="M14" i="16" s="1"/>
  <c r="I5" i="16"/>
  <c r="I4" i="16"/>
  <c r="L52" i="15"/>
  <c r="L23" i="15"/>
  <c r="L41" i="15" s="1"/>
  <c r="L22" i="15"/>
  <c r="H5" i="15"/>
  <c r="H4" i="15"/>
  <c r="I54" i="22" l="1"/>
  <c r="I51" i="22" s="1"/>
  <c r="I52" i="22"/>
  <c r="K46" i="24"/>
  <c r="J43" i="23"/>
  <c r="J35" i="13"/>
  <c r="I32" i="13"/>
  <c r="I37" i="13"/>
  <c r="H40" i="13"/>
  <c r="H42" i="13"/>
  <c r="H39" i="13" s="1"/>
  <c r="I33" i="13"/>
  <c r="I38" i="13"/>
  <c r="H6" i="15"/>
  <c r="L40" i="15"/>
  <c r="E4" i="16"/>
  <c r="J38" i="13" l="1"/>
  <c r="J33" i="13"/>
  <c r="I42" i="13"/>
  <c r="I39" i="13" s="1"/>
  <c r="I40" i="13"/>
  <c r="J32" i="13"/>
  <c r="J37" i="13"/>
  <c r="E6" i="16"/>
  <c r="K33" i="13" l="1"/>
  <c r="J42" i="13"/>
  <c r="J39" i="13" s="1"/>
  <c r="K32" i="13"/>
  <c r="J40" i="13"/>
  <c r="L46" i="24" l="1"/>
  <c r="K43" i="23"/>
  <c r="K35" i="13"/>
  <c r="K37" i="13" s="1"/>
  <c r="K38" i="13" l="1"/>
  <c r="H4" i="13"/>
  <c r="L32" i="13"/>
  <c r="L37" i="13"/>
  <c r="O37" i="13" s="1"/>
  <c r="L33" i="13" l="1"/>
  <c r="K40" i="13"/>
  <c r="H5" i="13"/>
  <c r="I5" i="13" s="1"/>
  <c r="I9" i="13" s="1"/>
  <c r="F22" i="5" s="1"/>
  <c r="K42" i="13"/>
  <c r="K39" i="13" s="1"/>
  <c r="L38" i="13"/>
  <c r="L40" i="13" s="1"/>
  <c r="I4" i="13"/>
  <c r="O38" i="13" l="1"/>
  <c r="F20" i="5"/>
  <c r="L42" i="13"/>
  <c r="L39" i="13" s="1"/>
  <c r="J5" i="13"/>
  <c r="I8" i="13"/>
  <c r="I10" i="13"/>
  <c r="F23" i="5" s="1"/>
  <c r="H6" i="13"/>
  <c r="V22" i="5"/>
  <c r="I6" i="13"/>
  <c r="J4" i="13"/>
  <c r="V21" i="5" l="1"/>
  <c r="F21" i="5"/>
  <c r="V23" i="5"/>
  <c r="I11" i="13"/>
  <c r="V20" i="5" l="1"/>
  <c r="E13" i="20" l="1"/>
  <c r="D13" i="20"/>
  <c r="E5" i="20" l="1"/>
  <c r="E21" i="20" s="1"/>
  <c r="B15" i="10"/>
  <c r="B13" i="10"/>
  <c r="B14" i="10"/>
  <c r="D10" i="10"/>
  <c r="D11" i="10" s="1"/>
  <c r="V14" i="5" l="1"/>
  <c r="E7" i="20" s="1"/>
  <c r="E23" i="20" s="1"/>
  <c r="B16" i="10"/>
  <c r="V13" i="5"/>
  <c r="E6" i="20" s="1"/>
  <c r="E22" i="20" s="1"/>
  <c r="V15" i="5"/>
  <c r="E8" i="20" s="1"/>
  <c r="E24" i="20" s="1"/>
  <c r="F4" i="5"/>
  <c r="M4" i="5"/>
  <c r="V25" i="5" s="1"/>
  <c r="E26" i="20" l="1"/>
  <c r="M7" i="5"/>
  <c r="F7" i="5"/>
  <c r="F5" i="5"/>
  <c r="M5" i="5"/>
  <c r="V26" i="5" s="1"/>
  <c r="F6" i="5"/>
  <c r="M6" i="5"/>
  <c r="K23" i="15"/>
  <c r="K41" i="15" s="1"/>
  <c r="E28" i="20" l="1"/>
  <c r="V27" i="5"/>
  <c r="E29" i="20"/>
  <c r="V28" i="5"/>
  <c r="E27" i="20"/>
  <c r="J22" i="15"/>
  <c r="J40" i="15" l="1"/>
  <c r="K22" i="15" l="1"/>
  <c r="K40" i="15" l="1"/>
  <c r="J23" i="15" l="1"/>
  <c r="J41" i="15" s="1"/>
  <c r="K38" i="16" l="1"/>
  <c r="L38" i="16" l="1"/>
  <c r="T12" i="5" l="1"/>
  <c r="C8" i="12" l="1"/>
  <c r="E38" i="16" l="1"/>
  <c r="F38" i="16" l="1"/>
  <c r="E47" i="16"/>
  <c r="E42" i="16"/>
  <c r="F47" i="16" l="1"/>
  <c r="F42" i="16"/>
  <c r="G38" i="16"/>
  <c r="E48" i="16"/>
  <c r="G42" i="16" l="1"/>
  <c r="E52" i="16"/>
  <c r="E49" i="16" s="1"/>
  <c r="F43" i="16"/>
  <c r="E50" i="16"/>
  <c r="H38" i="16"/>
  <c r="G47" i="16"/>
  <c r="F48" i="16"/>
  <c r="F52" i="16" s="1"/>
  <c r="F4" i="16"/>
  <c r="G43" i="16" l="1"/>
  <c r="F49" i="16"/>
  <c r="H47" i="16"/>
  <c r="H42" i="16"/>
  <c r="F6" i="16"/>
  <c r="I38" i="16"/>
  <c r="F50" i="16"/>
  <c r="G48" i="16"/>
  <c r="G50" i="16" s="1"/>
  <c r="H43" i="16" l="1"/>
  <c r="G52" i="16"/>
  <c r="G49" i="16" s="1"/>
  <c r="H48" i="16"/>
  <c r="H50" i="16" s="1"/>
  <c r="J38" i="16"/>
  <c r="I47" i="16"/>
  <c r="I42" i="16"/>
  <c r="G4" i="16"/>
  <c r="I43" i="16" l="1"/>
  <c r="H4" i="16"/>
  <c r="I48" i="16"/>
  <c r="I50" i="16" s="1"/>
  <c r="H52" i="16"/>
  <c r="H49" i="16" s="1"/>
  <c r="H5" i="16"/>
  <c r="J42" i="16"/>
  <c r="J47" i="16"/>
  <c r="J43" i="16" l="1"/>
  <c r="G6" i="16"/>
  <c r="J48" i="16"/>
  <c r="J50" i="16" s="1"/>
  <c r="I52" i="16"/>
  <c r="I49" i="16" s="1"/>
  <c r="K47" i="16"/>
  <c r="K42" i="16"/>
  <c r="H6" i="16"/>
  <c r="K43" i="16" l="1"/>
  <c r="J52" i="16"/>
  <c r="J49" i="16" s="1"/>
  <c r="L42" i="16"/>
  <c r="L47" i="16"/>
  <c r="J4" i="16" s="1"/>
  <c r="K48" i="16"/>
  <c r="K52" i="16" l="1"/>
  <c r="L48" i="16"/>
  <c r="J5" i="16" s="1"/>
  <c r="L43" i="16"/>
  <c r="K4" i="16"/>
  <c r="K50" i="16"/>
  <c r="M47" i="16"/>
  <c r="P47" i="16" s="1"/>
  <c r="M42" i="16"/>
  <c r="K5" i="16" l="1"/>
  <c r="L4" i="16"/>
  <c r="T20" i="5"/>
  <c r="J6" i="16"/>
  <c r="M43" i="16"/>
  <c r="M48" i="16"/>
  <c r="P48" i="16" s="1"/>
  <c r="K49" i="16"/>
  <c r="L52" i="16"/>
  <c r="L50" i="16"/>
  <c r="C5" i="20" l="1"/>
  <c r="L5" i="16"/>
  <c r="K6" i="16"/>
  <c r="K8" i="16"/>
  <c r="K9" i="16"/>
  <c r="T22" i="5" s="1"/>
  <c r="K10" i="16"/>
  <c r="T23" i="5" s="1"/>
  <c r="L49" i="16"/>
  <c r="M52" i="16"/>
  <c r="M49" i="16" s="1"/>
  <c r="M50" i="16"/>
  <c r="T21" i="5" l="1"/>
  <c r="K11" i="16"/>
  <c r="C7" i="20"/>
  <c r="C8" i="20"/>
  <c r="C6" i="20" l="1"/>
  <c r="E5" i="15"/>
  <c r="E4" i="15" l="1"/>
  <c r="E6" i="15" s="1"/>
  <c r="D5" i="15" l="1"/>
  <c r="D6" i="15" l="1"/>
  <c r="J37" i="22" l="1"/>
  <c r="J36" i="22" l="1"/>
  <c r="J43" i="22"/>
  <c r="J50" i="22"/>
  <c r="J34" i="22"/>
  <c r="J47" i="22" l="1"/>
  <c r="J40" i="22"/>
  <c r="J42" i="22"/>
  <c r="J49" i="22"/>
  <c r="J35" i="22" l="1"/>
  <c r="J48" i="22" l="1"/>
  <c r="J41" i="22"/>
  <c r="J52" i="22" l="1"/>
  <c r="J54" i="22"/>
  <c r="J51" i="22" s="1"/>
  <c r="F23" i="15" l="1"/>
  <c r="F41" i="15" s="1"/>
  <c r="G23" i="15"/>
  <c r="G41" i="15" s="1"/>
  <c r="E23" i="15"/>
  <c r="E41" i="15" s="1"/>
  <c r="I22" i="15"/>
  <c r="I40" i="15" s="1"/>
  <c r="H22" i="15"/>
  <c r="H40" i="15" s="1"/>
  <c r="G22" i="15"/>
  <c r="G40" i="15" s="1"/>
  <c r="I23" i="15"/>
  <c r="I41" i="15" s="1"/>
  <c r="F22" i="15"/>
  <c r="F40" i="15" s="1"/>
  <c r="H23" i="15"/>
  <c r="H41" i="15" s="1"/>
  <c r="E22" i="15"/>
  <c r="E40" i="15" s="1"/>
  <c r="F5" i="15" l="1"/>
  <c r="G5" i="15" s="1"/>
  <c r="D40" i="15"/>
  <c r="D44" i="15" s="1"/>
  <c r="F4" i="15"/>
  <c r="F6" i="15" l="1"/>
  <c r="G4" i="15"/>
  <c r="D49" i="15"/>
  <c r="D52" i="15" s="1"/>
  <c r="E50" i="15"/>
  <c r="E45" i="15"/>
  <c r="F45" i="15" l="1"/>
  <c r="F50" i="15"/>
  <c r="E44" i="15"/>
  <c r="E49" i="15"/>
  <c r="G6" i="15"/>
  <c r="D54" i="15"/>
  <c r="D51" i="15" s="1"/>
  <c r="E52" i="15" l="1"/>
  <c r="E54" i="15"/>
  <c r="E51" i="15" s="1"/>
  <c r="F49" i="15"/>
  <c r="F44" i="15"/>
  <c r="G45" i="15"/>
  <c r="G50" i="15"/>
  <c r="G49" i="15" l="1"/>
  <c r="H45" i="15"/>
  <c r="H50" i="15"/>
  <c r="F52" i="15"/>
  <c r="F54" i="15"/>
  <c r="F51" i="15" s="1"/>
  <c r="G44" i="15"/>
  <c r="I50" i="15" l="1"/>
  <c r="H44" i="15"/>
  <c r="H49" i="15"/>
  <c r="G52" i="15"/>
  <c r="G54" i="15"/>
  <c r="G51" i="15" s="1"/>
  <c r="I45" i="15"/>
  <c r="J45" i="15" l="1"/>
  <c r="J50" i="15"/>
  <c r="H52" i="15"/>
  <c r="H54" i="15"/>
  <c r="H51" i="15" s="1"/>
  <c r="I44" i="15"/>
  <c r="I49" i="15"/>
  <c r="J44" i="15" l="1"/>
  <c r="J49" i="15"/>
  <c r="I52" i="15"/>
  <c r="I54" i="15"/>
  <c r="I51" i="15" s="1"/>
  <c r="K50" i="15"/>
  <c r="I5" i="15" s="1"/>
  <c r="J5" i="15" s="1"/>
  <c r="K45" i="15"/>
  <c r="J9" i="15" l="1"/>
  <c r="S22" i="5" s="1"/>
  <c r="J10" i="15"/>
  <c r="S23" i="5" s="1"/>
  <c r="J8" i="15"/>
  <c r="S21" i="5" s="1"/>
  <c r="L45" i="15"/>
  <c r="K5" i="15" s="1"/>
  <c r="J52" i="15"/>
  <c r="J54" i="15"/>
  <c r="J51" i="15" s="1"/>
  <c r="K49" i="15"/>
  <c r="K44" i="15"/>
  <c r="J11" i="15" l="1"/>
  <c r="K52" i="15"/>
  <c r="K54" i="15"/>
  <c r="L54" i="15" s="1"/>
  <c r="I4" i="15"/>
  <c r="L44" i="15"/>
  <c r="B7" i="20" l="1"/>
  <c r="L51" i="15"/>
  <c r="B8" i="20"/>
  <c r="I6" i="15"/>
  <c r="J4" i="15"/>
  <c r="S20" i="5" s="1"/>
  <c r="K51" i="15"/>
  <c r="B6" i="20"/>
  <c r="J6" i="15" l="1"/>
  <c r="K4" i="15"/>
  <c r="B5" i="20" l="1"/>
  <c r="L34" i="22" l="1"/>
  <c r="K34" i="22"/>
  <c r="G4" i="22"/>
  <c r="L37" i="22"/>
  <c r="L36" i="22"/>
  <c r="H4" i="22" l="1"/>
  <c r="K37" i="22"/>
  <c r="G7" i="22"/>
  <c r="H7" i="22" s="1"/>
  <c r="K36" i="22"/>
  <c r="G6" i="22"/>
  <c r="H6" i="22" s="1"/>
  <c r="K40" i="22"/>
  <c r="K47" i="22"/>
  <c r="K50" i="22" l="1"/>
  <c r="K43" i="22"/>
  <c r="L40" i="22"/>
  <c r="L47" i="22"/>
  <c r="K49" i="22"/>
  <c r="K42" i="22"/>
  <c r="L43" i="22" l="1"/>
  <c r="L50" i="22"/>
  <c r="J4" i="22"/>
  <c r="L35" i="22"/>
  <c r="M40" i="22"/>
  <c r="K35" i="22"/>
  <c r="G5" i="22"/>
  <c r="L49" i="22"/>
  <c r="L42" i="22"/>
  <c r="J7" i="22" l="1"/>
  <c r="K7" i="22" s="1"/>
  <c r="X23" i="5" s="1"/>
  <c r="M42" i="22"/>
  <c r="H5" i="22"/>
  <c r="G8" i="22"/>
  <c r="K4" i="22"/>
  <c r="X20" i="5" s="1"/>
  <c r="M43" i="22"/>
  <c r="J6" i="22"/>
  <c r="K6" i="22" s="1"/>
  <c r="K41" i="22"/>
  <c r="K48" i="22"/>
  <c r="C9" i="18"/>
  <c r="L7" i="22" l="1"/>
  <c r="C23" i="5"/>
  <c r="L4" i="22"/>
  <c r="C20" i="5"/>
  <c r="H8" i="22"/>
  <c r="K52" i="22"/>
  <c r="K54" i="22"/>
  <c r="K51" i="22" s="1"/>
  <c r="L41" i="22"/>
  <c r="L48" i="22"/>
  <c r="L6" i="22"/>
  <c r="X22" i="5"/>
  <c r="C22" i="5"/>
  <c r="B16" i="20"/>
  <c r="B24" i="20" s="1"/>
  <c r="J7" i="5" l="1"/>
  <c r="S28" i="5" s="1"/>
  <c r="S27" i="5"/>
  <c r="C7" i="5"/>
  <c r="J5" i="22"/>
  <c r="L52" i="22"/>
  <c r="L54" i="22"/>
  <c r="M54" i="22" s="1"/>
  <c r="M41" i="22"/>
  <c r="B13" i="20"/>
  <c r="B21" i="20" s="1"/>
  <c r="C6" i="5"/>
  <c r="C4" i="5"/>
  <c r="B15" i="20"/>
  <c r="B23" i="20" s="1"/>
  <c r="S25" i="5" l="1"/>
  <c r="B29" i="20"/>
  <c r="B26" i="20"/>
  <c r="B28" i="20"/>
  <c r="M51" i="22"/>
  <c r="L51" i="22"/>
  <c r="J8" i="22"/>
  <c r="K5" i="22"/>
  <c r="L5" i="22" l="1"/>
  <c r="X21" i="5"/>
  <c r="C21" i="5"/>
  <c r="K8" i="22"/>
  <c r="J5" i="5" l="1"/>
  <c r="C5" i="5"/>
  <c r="O5" i="5" s="1"/>
  <c r="B14" i="20"/>
  <c r="B22" i="20" s="1"/>
  <c r="O7" i="5" l="1"/>
  <c r="O6" i="5"/>
  <c r="S26" i="5"/>
  <c r="B27" i="20"/>
  <c r="B36" i="8" l="1"/>
  <c r="C31" i="8" l="1"/>
  <c r="C36" i="8"/>
  <c r="D36" i="8" l="1"/>
  <c r="D31" i="8"/>
  <c r="F33" i="8" l="1"/>
  <c r="F12" i="8"/>
  <c r="F34" i="8"/>
  <c r="E36" i="8"/>
  <c r="G34" i="8" l="1"/>
  <c r="E34" i="23"/>
  <c r="F34" i="23"/>
  <c r="D34" i="23"/>
  <c r="G33" i="8"/>
  <c r="F33" i="23"/>
  <c r="E33" i="23"/>
  <c r="D33" i="23"/>
  <c r="F13" i="8"/>
  <c r="F35" i="8"/>
  <c r="F11" i="8"/>
  <c r="E35" i="23" l="1"/>
  <c r="F35" i="23"/>
  <c r="G35" i="8"/>
  <c r="D35" i="23"/>
  <c r="E14" i="5"/>
  <c r="E13" i="5"/>
  <c r="D40" i="23"/>
  <c r="D47" i="23"/>
  <c r="D39" i="23"/>
  <c r="D46" i="23"/>
  <c r="I33" i="23"/>
  <c r="H33" i="23"/>
  <c r="K33" i="23"/>
  <c r="J33" i="23"/>
  <c r="K34" i="23"/>
  <c r="G34" i="23"/>
  <c r="H34" i="23"/>
  <c r="I34" i="23"/>
  <c r="G33" i="23"/>
  <c r="F14" i="8"/>
  <c r="F36" i="8"/>
  <c r="U13" i="5" l="1"/>
  <c r="E15" i="5"/>
  <c r="D41" i="23"/>
  <c r="D48" i="23"/>
  <c r="E39" i="23"/>
  <c r="E46" i="23"/>
  <c r="E47" i="23"/>
  <c r="E40" i="23"/>
  <c r="U14" i="5"/>
  <c r="K35" i="23"/>
  <c r="H35" i="23"/>
  <c r="G35" i="23"/>
  <c r="I35" i="23"/>
  <c r="G36" i="8"/>
  <c r="J34" i="23"/>
  <c r="U15" i="5"/>
  <c r="G14" i="8"/>
  <c r="F47" i="23" l="1"/>
  <c r="F40" i="23"/>
  <c r="F39" i="23"/>
  <c r="F46" i="23"/>
  <c r="E48" i="23"/>
  <c r="E41" i="23"/>
  <c r="J35" i="23"/>
  <c r="E5" i="23"/>
  <c r="F5" i="23" s="1"/>
  <c r="E31" i="8"/>
  <c r="F8" i="8"/>
  <c r="F30" i="8"/>
  <c r="G30" i="8" s="1"/>
  <c r="D15" i="23" l="1"/>
  <c r="G29" i="8"/>
  <c r="G7" i="8" s="1"/>
  <c r="G39" i="23"/>
  <c r="G46" i="23"/>
  <c r="G40" i="23"/>
  <c r="G47" i="23"/>
  <c r="F41" i="23"/>
  <c r="F48" i="23"/>
  <c r="F31" i="8"/>
  <c r="F7" i="8"/>
  <c r="F9" i="8" s="1"/>
  <c r="E12" i="5" l="1"/>
  <c r="E15" i="23"/>
  <c r="E32" i="23"/>
  <c r="G48" i="23"/>
  <c r="G41" i="23"/>
  <c r="H15" i="23"/>
  <c r="D32" i="23"/>
  <c r="H47" i="23"/>
  <c r="H40" i="23"/>
  <c r="K15" i="23"/>
  <c r="F32" i="23"/>
  <c r="F15" i="23"/>
  <c r="J15" i="23"/>
  <c r="O15" i="23" s="1"/>
  <c r="I32" i="23"/>
  <c r="H46" i="23"/>
  <c r="H39" i="23"/>
  <c r="G15" i="23"/>
  <c r="G32" i="23"/>
  <c r="G31" i="8"/>
  <c r="U12" i="5" l="1"/>
  <c r="J32" i="23"/>
  <c r="H41" i="23"/>
  <c r="H48" i="23"/>
  <c r="H32" i="23"/>
  <c r="I15" i="23"/>
  <c r="E4" i="23"/>
  <c r="E6" i="23" s="1"/>
  <c r="I39" i="23"/>
  <c r="I46" i="23"/>
  <c r="D38" i="23"/>
  <c r="D45" i="23"/>
  <c r="D50" i="23" s="1"/>
  <c r="K32" i="23"/>
  <c r="I40" i="23"/>
  <c r="I47" i="23"/>
  <c r="G9" i="8"/>
  <c r="J39" i="23" l="1"/>
  <c r="J46" i="23"/>
  <c r="F4" i="23"/>
  <c r="F6" i="23" s="1"/>
  <c r="J40" i="23"/>
  <c r="J47" i="23"/>
  <c r="D52" i="23"/>
  <c r="D49" i="23" s="1"/>
  <c r="E45" i="23"/>
  <c r="E38" i="23"/>
  <c r="I48" i="23"/>
  <c r="I41" i="23"/>
  <c r="F45" i="23" l="1"/>
  <c r="F38" i="23"/>
  <c r="E50" i="23"/>
  <c r="E52" i="23"/>
  <c r="E49" i="23" s="1"/>
  <c r="K47" i="23"/>
  <c r="K40" i="23"/>
  <c r="J41" i="23"/>
  <c r="J48" i="23"/>
  <c r="K39" i="23"/>
  <c r="K46" i="23"/>
  <c r="K41" i="23" l="1"/>
  <c r="K48" i="23"/>
  <c r="H5" i="23" s="1"/>
  <c r="I5" i="23" s="1"/>
  <c r="G45" i="23"/>
  <c r="G38" i="23"/>
  <c r="L40" i="23"/>
  <c r="L47" i="23"/>
  <c r="O47" i="23" s="1"/>
  <c r="L39" i="23"/>
  <c r="L46" i="23"/>
  <c r="O46" i="23" s="1"/>
  <c r="F50" i="23"/>
  <c r="F52" i="23"/>
  <c r="F49" i="23" s="1"/>
  <c r="E38" i="24"/>
  <c r="E37" i="24"/>
  <c r="H38" i="23" l="1"/>
  <c r="H45" i="23"/>
  <c r="G50" i="23"/>
  <c r="G52" i="23"/>
  <c r="G49" i="23" s="1"/>
  <c r="I8" i="23"/>
  <c r="U21" i="5" s="1"/>
  <c r="I10" i="23"/>
  <c r="U23" i="5" s="1"/>
  <c r="I9" i="23"/>
  <c r="U22" i="5" s="1"/>
  <c r="L41" i="23"/>
  <c r="J5" i="23" s="1"/>
  <c r="L48" i="23"/>
  <c r="O48" i="23" s="1"/>
  <c r="D37" i="24"/>
  <c r="D43" i="24" s="1"/>
  <c r="D35" i="24"/>
  <c r="D41" i="24" s="1"/>
  <c r="F38" i="24"/>
  <c r="F37" i="24"/>
  <c r="E21" i="5" l="1"/>
  <c r="E22" i="5"/>
  <c r="E23" i="5"/>
  <c r="I11" i="23"/>
  <c r="H50" i="23"/>
  <c r="H52" i="23"/>
  <c r="H49" i="23" s="1"/>
  <c r="I45" i="23"/>
  <c r="I38" i="23"/>
  <c r="E35" i="24"/>
  <c r="E41" i="24" s="1"/>
  <c r="D38" i="24"/>
  <c r="D44" i="24" s="1"/>
  <c r="E43" i="24"/>
  <c r="E50" i="24"/>
  <c r="F35" i="24"/>
  <c r="G37" i="24"/>
  <c r="E36" i="24"/>
  <c r="G38" i="24"/>
  <c r="D8" i="20" l="1"/>
  <c r="L7" i="5"/>
  <c r="U28" i="5" s="1"/>
  <c r="E7" i="5"/>
  <c r="D6" i="20"/>
  <c r="J38" i="23"/>
  <c r="J45" i="23"/>
  <c r="L5" i="5"/>
  <c r="U26" i="5" s="1"/>
  <c r="E5" i="5"/>
  <c r="D7" i="20"/>
  <c r="I50" i="23"/>
  <c r="I52" i="23"/>
  <c r="I49" i="23" s="1"/>
  <c r="E6" i="5"/>
  <c r="L6" i="5"/>
  <c r="U27" i="5" s="1"/>
  <c r="E48" i="24"/>
  <c r="F48" i="24" s="1"/>
  <c r="E44" i="24"/>
  <c r="E51" i="24"/>
  <c r="D36" i="24"/>
  <c r="D42" i="24" s="1"/>
  <c r="D55" i="24"/>
  <c r="G35" i="24"/>
  <c r="F50" i="24"/>
  <c r="F43" i="24"/>
  <c r="H37" i="24"/>
  <c r="H38" i="24"/>
  <c r="Q5" i="5" l="1"/>
  <c r="F6" i="20"/>
  <c r="D22" i="20"/>
  <c r="D27" i="20" s="1"/>
  <c r="D23" i="20"/>
  <c r="D28" i="20" s="1"/>
  <c r="F7" i="20"/>
  <c r="Q7" i="5"/>
  <c r="K45" i="23"/>
  <c r="H4" i="23" s="1"/>
  <c r="K38" i="23"/>
  <c r="Q6" i="5"/>
  <c r="F8" i="20"/>
  <c r="D24" i="20"/>
  <c r="D29" i="20" s="1"/>
  <c r="J50" i="23"/>
  <c r="J52" i="23"/>
  <c r="J49" i="23" s="1"/>
  <c r="F44" i="24"/>
  <c r="F41" i="24"/>
  <c r="G48" i="24" s="1"/>
  <c r="F36" i="24"/>
  <c r="F12" i="24"/>
  <c r="G50" i="24"/>
  <c r="G43" i="24"/>
  <c r="F51" i="24"/>
  <c r="E42" i="24"/>
  <c r="E49" i="24"/>
  <c r="E53" i="24" s="1"/>
  <c r="I38" i="24"/>
  <c r="I4" i="23" l="1"/>
  <c r="E20" i="5" s="1"/>
  <c r="H6" i="23"/>
  <c r="L38" i="23"/>
  <c r="L45" i="23"/>
  <c r="O45" i="23" s="1"/>
  <c r="K52" i="23"/>
  <c r="K49" i="23" s="1"/>
  <c r="K50" i="23"/>
  <c r="G44" i="24"/>
  <c r="G41" i="24"/>
  <c r="G51" i="24"/>
  <c r="I35" i="24"/>
  <c r="H35" i="24"/>
  <c r="F49" i="24"/>
  <c r="F53" i="24" s="1"/>
  <c r="F42" i="24"/>
  <c r="G36" i="24"/>
  <c r="G12" i="24"/>
  <c r="H43" i="24"/>
  <c r="H50" i="24"/>
  <c r="E55" i="24"/>
  <c r="E52" i="24" s="1"/>
  <c r="J38" i="24"/>
  <c r="J37" i="24"/>
  <c r="H36" i="24"/>
  <c r="L50" i="23" l="1"/>
  <c r="L52" i="23"/>
  <c r="L49" i="23" s="1"/>
  <c r="J4" i="23"/>
  <c r="I6" i="23"/>
  <c r="U20" i="5"/>
  <c r="H48" i="24"/>
  <c r="H51" i="24"/>
  <c r="H44" i="24"/>
  <c r="H41" i="24"/>
  <c r="J35" i="24"/>
  <c r="H12" i="24"/>
  <c r="G42" i="24"/>
  <c r="G49" i="24"/>
  <c r="G53" i="24" s="1"/>
  <c r="I37" i="24"/>
  <c r="I43" i="24" s="1"/>
  <c r="F55" i="24"/>
  <c r="F52" i="24" s="1"/>
  <c r="D5" i="20" l="1"/>
  <c r="L4" i="5"/>
  <c r="U25" i="5" s="1"/>
  <c r="E4" i="5"/>
  <c r="I44" i="24"/>
  <c r="I51" i="24"/>
  <c r="I48" i="24"/>
  <c r="I41" i="24"/>
  <c r="H42" i="24"/>
  <c r="H49" i="24"/>
  <c r="H53" i="24" s="1"/>
  <c r="G55" i="24"/>
  <c r="G52" i="24" s="1"/>
  <c r="I36" i="24"/>
  <c r="I12" i="24"/>
  <c r="I50" i="24"/>
  <c r="J43" i="24" s="1"/>
  <c r="D21" i="20" l="1"/>
  <c r="D26" i="20" s="1"/>
  <c r="F5" i="20"/>
  <c r="J51" i="24"/>
  <c r="J44" i="24"/>
  <c r="J48" i="24"/>
  <c r="J41" i="24"/>
  <c r="J36" i="24"/>
  <c r="J12" i="24"/>
  <c r="H55" i="24"/>
  <c r="H52" i="24" s="1"/>
  <c r="I49" i="24"/>
  <c r="I53" i="24" s="1"/>
  <c r="I42" i="24"/>
  <c r="J50" i="24"/>
  <c r="I55" i="24" l="1"/>
  <c r="I52" i="24" s="1"/>
  <c r="J49" i="24"/>
  <c r="J53" i="24" s="1"/>
  <c r="J42" i="24"/>
  <c r="J55" i="24" l="1"/>
  <c r="J52" i="24" s="1"/>
  <c r="E10" i="19" l="1"/>
  <c r="K35" i="24" l="1"/>
  <c r="N21" i="24"/>
  <c r="F4" i="24" s="1"/>
  <c r="G4" i="24"/>
  <c r="H4" i="24" l="1"/>
  <c r="L35" i="24"/>
  <c r="K41" i="24"/>
  <c r="K48" i="24"/>
  <c r="L48" i="24" l="1"/>
  <c r="L41" i="24"/>
  <c r="M48" i="24" l="1"/>
  <c r="P48" i="24" s="1"/>
  <c r="M41" i="24"/>
  <c r="J4" i="24"/>
  <c r="K4" i="24" l="1"/>
  <c r="Y20" i="5" l="1"/>
  <c r="L4" i="24"/>
  <c r="D20" i="5"/>
  <c r="C6" i="19" l="1"/>
  <c r="Y12" i="5" s="1"/>
  <c r="AB12" i="5" s="1"/>
  <c r="D12" i="5" l="1"/>
  <c r="K4" i="5" l="1"/>
  <c r="T25" i="5" s="1"/>
  <c r="D4" i="5"/>
  <c r="H4" i="5" s="1"/>
  <c r="C13" i="20"/>
  <c r="F13" i="20" l="1"/>
  <c r="C21" i="20"/>
  <c r="N4" i="5"/>
  <c r="F21" i="20" l="1"/>
  <c r="G21" i="20" s="1"/>
  <c r="C26" i="20"/>
  <c r="N22" i="24" l="1"/>
  <c r="F5" i="24" s="1"/>
  <c r="K12" i="24" l="1"/>
  <c r="N23" i="24"/>
  <c r="F6" i="24" s="1"/>
  <c r="K36" i="24"/>
  <c r="N24" i="24"/>
  <c r="F7" i="24" s="1"/>
  <c r="K38" i="24"/>
  <c r="C8" i="19"/>
  <c r="Y14" i="5" s="1"/>
  <c r="D14" i="5" l="1"/>
  <c r="K49" i="24"/>
  <c r="K42" i="24"/>
  <c r="K44" i="24"/>
  <c r="K51" i="24"/>
  <c r="F8" i="24"/>
  <c r="K37" i="24"/>
  <c r="K50" i="24" l="1"/>
  <c r="K43" i="24"/>
  <c r="L38" i="24"/>
  <c r="L44" i="24" s="1"/>
  <c r="G7" i="24"/>
  <c r="H7" i="24" s="1"/>
  <c r="L36" i="24"/>
  <c r="L42" i="24" s="1"/>
  <c r="G5" i="24"/>
  <c r="C9" i="19"/>
  <c r="Y15" i="5" s="1"/>
  <c r="L49" i="24" l="1"/>
  <c r="D15" i="5"/>
  <c r="H5" i="24"/>
  <c r="L37" i="24"/>
  <c r="L50" i="24" s="1"/>
  <c r="P50" i="24" s="1"/>
  <c r="G6" i="24"/>
  <c r="H6" i="24" s="1"/>
  <c r="L12" i="24"/>
  <c r="P12" i="24" s="1"/>
  <c r="K55" i="24"/>
  <c r="K52" i="24" s="1"/>
  <c r="L51" i="24"/>
  <c r="K53" i="24"/>
  <c r="J5" i="24" l="1"/>
  <c r="P49" i="24"/>
  <c r="M42" i="24"/>
  <c r="H8" i="24"/>
  <c r="G8" i="24"/>
  <c r="J6" i="24"/>
  <c r="K6" i="24" s="1"/>
  <c r="L53" i="24"/>
  <c r="J7" i="24"/>
  <c r="K7" i="24" s="1"/>
  <c r="K5" i="24"/>
  <c r="L55" i="24"/>
  <c r="L43" i="24"/>
  <c r="M43" i="24" s="1"/>
  <c r="M44" i="24"/>
  <c r="M51" i="24"/>
  <c r="M53" i="24" s="1"/>
  <c r="P51" i="24" l="1"/>
  <c r="J8" i="24"/>
  <c r="Y22" i="5"/>
  <c r="L6" i="24"/>
  <c r="D22" i="5"/>
  <c r="D21" i="5"/>
  <c r="Y21" i="5"/>
  <c r="K8" i="24"/>
  <c r="L5" i="24"/>
  <c r="Y23" i="5"/>
  <c r="D23" i="5"/>
  <c r="L7" i="24"/>
  <c r="L52" i="24"/>
  <c r="M55" i="24"/>
  <c r="M52" i="24" s="1"/>
  <c r="K7" i="5" l="1"/>
  <c r="B10" i="19"/>
  <c r="D6" i="5"/>
  <c r="T27" i="5"/>
  <c r="T28" i="5"/>
  <c r="D7" i="5"/>
  <c r="C16" i="20"/>
  <c r="AB15" i="5"/>
  <c r="AB14" i="5"/>
  <c r="C15" i="20"/>
  <c r="F15" i="20" l="1"/>
  <c r="C23" i="20"/>
  <c r="H7" i="5"/>
  <c r="H6" i="5"/>
  <c r="F16" i="20"/>
  <c r="C24" i="20"/>
  <c r="N6" i="5" l="1"/>
  <c r="C29" i="20"/>
  <c r="F24" i="20"/>
  <c r="G24" i="20" s="1"/>
  <c r="N7" i="5"/>
  <c r="C28" i="20"/>
  <c r="F23" i="20"/>
  <c r="G23" i="20" s="1"/>
  <c r="C7" i="19" l="1"/>
  <c r="D10" i="19"/>
  <c r="Y13" i="5" l="1"/>
  <c r="D13" i="5"/>
  <c r="C10" i="19"/>
  <c r="D5" i="5" l="1"/>
  <c r="K5" i="5"/>
  <c r="T26" i="5" s="1"/>
  <c r="C14" i="20"/>
  <c r="AB13" i="5"/>
  <c r="C22" i="20" l="1"/>
  <c r="F14" i="20"/>
  <c r="H5" i="5"/>
  <c r="P5" i="5"/>
  <c r="P7" i="5"/>
  <c r="P6" i="5"/>
  <c r="N5" i="5" l="1"/>
  <c r="F22" i="20"/>
  <c r="G22" i="20" s="1"/>
  <c r="C27"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Allison Stewart</author>
  </authors>
  <commentList>
    <comment ref="A31" authorId="0" shapeId="0" xr:uid="{EA8C0EBC-D8E3-4305-BB13-DAB7D9F65F41}">
      <text>
        <r>
          <rPr>
            <b/>
            <sz val="9"/>
            <color indexed="81"/>
            <rFont val="Tahoma"/>
            <family val="2"/>
          </rPr>
          <t>Allison Stewart:</t>
        </r>
        <r>
          <rPr>
            <sz val="9"/>
            <color indexed="81"/>
            <rFont val="Tahoma"/>
            <family val="2"/>
          </rPr>
          <t xml:space="preserve">
From Missouri West Revenue Analysis
PPC + PCR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Allison Stewart</author>
  </authors>
  <commentList>
    <comment ref="A25" authorId="0" shapeId="0" xr:uid="{63D4616F-B640-4A84-977A-B81BB139C9EA}">
      <text>
        <r>
          <rPr>
            <b/>
            <sz val="9"/>
            <color indexed="81"/>
            <rFont val="Tahoma"/>
            <family val="2"/>
          </rPr>
          <t>Allison Stewart:</t>
        </r>
        <r>
          <rPr>
            <sz val="9"/>
            <color indexed="81"/>
            <rFont val="Tahoma"/>
            <family val="2"/>
          </rPr>
          <t xml:space="preserve">
PPC + PCR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<sst xmlns="http://schemas.openxmlformats.org/spreadsheetml/2006/main" count="871" uniqueCount="292">
  <si>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</si>
  <si>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</si>
  <si>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</si>
  <si>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</si>
  <si>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</si>
  <si>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</si>
  <si>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</si>
  <si>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</si>
  <si>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</si>
  <si>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</si>
  <si>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</si>
  <si>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</si>
  <si>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</si>
  <si>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</si>
  <si>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</si>
  <si>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</si>
  <si>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</si>
  <si>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</si>
  <si>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</si>
  <si>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</si>
  <si>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</si>
  <si>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</si>
  <si>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</si>
  <si>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</si>
  <si>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</si>
  <si>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</si>
  <si>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</si>
  <si>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</si>
  <si>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</si>
  <si>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</si>
  <si>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</si>
  <si>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</si>
  <si>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</si>
  <si>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</si>
  <si>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</si>
  <si>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</si>
  <si>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</si>
  <si>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</si>
  <si>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</si>
  <si>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</si>
  <si>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</si>
  <si>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</si>
  <si>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</si>
  <si>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</si>
  <si>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</si>
  <si>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</si>
  <si>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</si>
  <si>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</si>
  <si>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</si>
  <si>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</si>
  <si>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</si>
  <si>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</si>
  <si>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</si>
  <si>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</si>
  <si>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</si>
  <si>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</si>
  <si>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</si>
  <si>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</si>
  <si>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</si>
  <si>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</si>
  <si>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</si>
  <si>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</si>
  <si>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</si>
  <si>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</si>
  <si>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</si>
  <si>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</si>
  <si>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</si>
  <si>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</si>
  <si>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</si>
  <si>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</si>
  <si>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</si>
  <si>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</si>
  <si>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</si>
  <si>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</si>
  <si>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</si>
  <si>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</si>
  <si>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</si>
  <si>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</si>
  <si>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</si>
  <si>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</si>
  <si>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</si>
  <si>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</si>
  <si>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</si>
  <si>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</si>
  <si>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</si>
  <si>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</si>
  <si>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</si>
  <si>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</si>
  <si>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</si>
  <si>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</si>
  <si>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</si>
  <si>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</si>
  <si>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</si>
  <si>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</si>
  <si>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</si>
  <si>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</si>
  <si>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</si>
  <si>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</si>
  <si>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</si>
  <si>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</si>
  <si>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</si>
  <si>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</si>
  <si>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</si>
  <si>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</si>
  <si>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</si>
  <si>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</si>
  <si>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</si>
  <si>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</si>
  <si>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</si>
  <si>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</si>
  <si>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</si>
  <si>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</si>
  <si>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</si>
  <si>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</si>
  <si>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</si>
  <si>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</si>
  <si>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</si>
  <si>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</si>
  <si>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</si>
  <si>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</si>
  <si>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</si>
  <si>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</si>
  <si>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</si>
  <si>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</si>
  <si>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</si>
  <si>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</si>
  <si>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</si>
  <si>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</si>
  <si>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</si>
  <si>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</si>
  <si>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</si>
  <si>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</si>
  <si>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</si>
  <si>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</si>
  <si>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</si>
  <si>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</si>
  <si>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</si>
  <si>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</si>
  <si>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</si>
  <si>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</si>
  <si>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</si>
  <si>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</si>
  <si>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</si>
  <si>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</si>
  <si>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</si>
  <si>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</si>
  <si>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</si>
  <si>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</si>
  <si>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</si>
  <si>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Res</t>
  </si>
  <si>
    <t>SGS</t>
  </si>
  <si>
    <t>LGS</t>
  </si>
  <si>
    <t>LPS</t>
  </si>
  <si>
    <t>Cycle 2 - Total</t>
  </si>
  <si>
    <t>5. Total Earnings Opportunity plus Carrying Costs - Source: Sum of Columns 1. through 4.</t>
  </si>
  <si>
    <t>1.  Actual monthly EO - Source: Sum of Line 3.
    Forecasted monthly EO - Source: Sum of Line 3.</t>
  </si>
  <si>
    <t>Cycle 3 Earnings Opportunity (EO) Calculation</t>
  </si>
  <si>
    <t>Cycle 3 - Total</t>
  </si>
  <si>
    <t>6. Amortization Over 12 Month Recovery Period</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</si>
  <si>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</si>
  <si>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</si>
  <si>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</si>
  <si>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3 - Program Year 1 (including EO TD Adjustments through October 2021) (Amortize February 2022-January 2023)</t>
  </si>
  <si>
    <t>Cycle 2 - EO TD Adjustments Carrying Costs May - October 2021 (Amortize February 2022-January 2024)</t>
  </si>
  <si>
    <t>Cycle 3 Earnings Opportunity Reconciliation (EOR) Calculation</t>
  </si>
  <si>
    <t>Cycle 2 - EO TD Adjustments Carrying Costs November 2021 - April 2022 (Amortize August 2022-July 2024)</t>
  </si>
  <si>
    <t>2. Forecasted program costs by customer class - Source: sum of 3. and 4.</t>
  </si>
  <si>
    <t>2. Forecasted Throughput Disincentive -Sum of 3. and 4.</t>
  </si>
  <si>
    <t>1. &amp; 3. Actual monthly Ordered Adjustments - Source: None</t>
  </si>
  <si>
    <t>Cycle 3 - Program Year 1 EO TD Adjustments November 2021 - April 2022 (Amortize August 2022 - July 2023)</t>
  </si>
  <si>
    <t>Cycle 3 Ordered Adjustment (OA) Calculation</t>
  </si>
  <si>
    <t>1. Ordered Adjustment - Program Costs</t>
  </si>
  <si>
    <t>2. Ordered Adjustment - Throughput Disincentive</t>
  </si>
  <si>
    <t>3. Carrying Costs on OA</t>
  </si>
  <si>
    <t>Cycle 3 Ordered Adjustments Reconciliation (OAR) Calculation</t>
  </si>
  <si>
    <t>2. Forecasted Throughput Disincentive - Source: None, TD reset effective December 2022</t>
  </si>
  <si>
    <t>Cycle 3 - Program Year 1 EO TD Adjustments May 2022 - November 2022 (Amortize February 2023 - January 2024)</t>
  </si>
  <si>
    <t>Allocation</t>
  </si>
  <si>
    <t>Cycle 2 - EO TD Adjustments Carrying Costs May 2022 - November 2022 (Amortize February 2023-January 2025)</t>
  </si>
  <si>
    <t>Cycle 2 - EO TD Adjustments December 2022 (Amortize August 2023-July 2025)</t>
  </si>
  <si>
    <t>Cycle 3 - Program Year 2 (including EO TD Adjustments through December 2022) (Amortize August 2023-July 2024)</t>
  </si>
  <si>
    <t>5. Monthly Short-Term Borrowing Rate - Source: Missouri West Short-Term Borrowing Rate November 2022 - April 2023.xlsx</t>
  </si>
  <si>
    <t>7. Cycle 2 kWh Participation - Source: Missouri West Cycle 2 Monthly TD Calc 122022 01092023.xlsx</t>
  </si>
  <si>
    <t>8. Cycle 2 kWh Participation - Source: Missouri West Cycle 2 Monthly TD Calc 122022 01092023.xlsx</t>
  </si>
  <si>
    <t>4. Total monthly interest - Source: Calculated</t>
  </si>
  <si>
    <t>NOA = Net Ordered Adjustment for the upcoming EP plus the succeeding EP (OA + OAR)</t>
  </si>
  <si>
    <t xml:space="preserve">PE = Projected Energy, in kWh to be delivered during the upcoming RP plus the succeeding RP </t>
  </si>
  <si>
    <t>3. Actual/Forecasted EO Amortization - Source:  EO Cycle 2 tab column G divided by remaining months on EO Cycle 2 tab.</t>
  </si>
  <si>
    <t>3. Actual/Forecasted EO Amortization - Source:  EO Cycle 3 tab column G divided by remaining months on EO Cycle 3 tab.</t>
  </si>
  <si>
    <t>Tab</t>
  </si>
  <si>
    <t>Summary Description</t>
  </si>
  <si>
    <t>Summary of Sources</t>
  </si>
  <si>
    <t>Tariff Tables</t>
  </si>
  <si>
    <t>Program Costs, Throughput Disincentive, Earnings Opportunity and Ordered Adjustments from subsidiary tabs listed below</t>
  </si>
  <si>
    <t>DSIM Cycle Tables</t>
  </si>
  <si>
    <t>Analysis of DSIM rates by Customer Class by MEEIA Cycle and Cost Components</t>
  </si>
  <si>
    <t>Tariff Tables tab</t>
  </si>
  <si>
    <t>PPC Cycle 3</t>
  </si>
  <si>
    <t>The Company updates a forecast of program costs and throughput disincentive, among other items, based on actual reported results through April 2023 and forecasted results through the remainder of Cycle 3. Program costs by customer class are summarized from that forecast. Projected billed kWh sales by customer class (net of opt outs) are extracted from the Company budget.</t>
  </si>
  <si>
    <t>PCR Cycle 2</t>
  </si>
  <si>
    <t>The Company analyzes monthly DSIM rider revenues billed by customer class and DSIM cost component per the DSIM tariffs (PPC, PCR, PTD, TDR, EO, EOR, OA and OAR). Interest is calculated on the over or under recovered Program Costs at the short-term borrowing rates defined in the DSIM tariffs.</t>
  </si>
  <si>
    <t>PCR Cycle 3</t>
  </si>
  <si>
    <t>The Company analyzes monthly DSIM rider revenues billed by MEEIA Cycle, customer class and DSIM cost component per the DSIM tariffs (PPC, PCR, PTD, TDR, EO, EOR, OA and OAR). Each month the Company analyzes actual program costs by program which are mapped or allocated to customer classes.  Monthly DSIM rider revenues billed are compared to actual Program Costs to determine current over or under recovery which is accumulated by customer class.  Interest is calculated on the over or under recovered Program Costs at the short-term borrowing rates defined in the DSIM tariffs.</t>
  </si>
  <si>
    <t>PTD Cycle 2</t>
  </si>
  <si>
    <t>Projected Throughput Disincentive for Cycle 2 for the period July 2023 through June 2024 are zero due to the rebasing of cumulative kWh savings in the most recent rates effective January 2023.</t>
  </si>
  <si>
    <t>PTD Cycle 3</t>
  </si>
  <si>
    <t xml:space="preserve">The Company updates a forecast of program costs and throughput disincentive, among other items, based on actual reported results through April 2023 and forecasted results through the remainder of Cycle 3. Throughput Disincentive by customer class is summarized from that forecast. </t>
  </si>
  <si>
    <t>TDR Cycle 2</t>
  </si>
  <si>
    <t>The Company analyzes monthly DSIM rider revenues billed by customer class and DSIM cost component per the DSIM tariffs (PPC, PCR, PTD, TDR, EO, EOR, OA and OAR). Pursuant to DSIM tariffs the Company calculates monthly Throughput Disincentive for Cycle 2 based on cumulative reported deemed kWh savings by MEEIA program and customer class, monthly loadshapes per program, current margin rates per customer class and Net to Gross (NTG) Factors in the tariff. As noted above, Cycle 2 Throughput Disincentive was reset to zero after December 2022 concurrent with the new rates effective in January 2023. Interest is calculated on the over or under recovered Throughput Disincentive at the short-term borrowing rates defined in the DSIM tariffs.</t>
  </si>
  <si>
    <t>TDR Cycle 3</t>
  </si>
  <si>
    <t>The Company analyzes monthly DSIM rider revenues billed by customer class and DSIM cost component per the DSIM tariffs (PPC, PCR, PTD, TDR, EO, EOR, OA and OAR). Pursuant to DSIM tariffs the Company calculates monthly Throughput Disincentive for Cycle 3 based on cumulative reported deemed kWh savings by MEEIA program and customer class, monthly loadshapes per program, current margin rates per customer class and Net to Gross (NTG) Factors in the tariff. As noted above, Cycle 3 Throughput Disincentive was adjusted after December 2022 to reflect the cumulative kWh savings through the true-up date of the recent rate cases (May 31, 2023) and updated margin rates concurrent with the new rates effective in January 2023. Interest is calculated on the over or under recovered Throughput Disincentive at the short-term borrowing rates defined in the DSIM tariffs.</t>
  </si>
  <si>
    <t>EO Cycle 2</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</si>
  <si>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24 months. This update includes Cycle 2 EO TD Adjustments with carrying costs through December 2022 as noted in the Throughput Disincentive calculation above plus continued amortization of previously reported amounts from prior updates as appropriate.</t>
  </si>
  <si>
    <t>EO Cycle 3</t>
  </si>
  <si>
    <t>EOR Cycle 2</t>
  </si>
  <si>
    <t>The Company analyzes monthly DSIM rider revenues billed by customer class and DSIM cost component per the DSIM tariffs (PPC, PCR, PTD, TDR, EO, EOR, OA and OAR). Pursuant to the DSIM tariffs Earnings Opportunity, including EO TD Adjustments are amortized over 24 months. Interest is calculated on the over or under recovered Earnings Opportunity at the short-term borrowing rates defined in the DSIM tariffs.</t>
  </si>
  <si>
    <t>EOR Cycle 3</t>
  </si>
  <si>
    <t>The Company analyzes monthly DSIM rider revenues billed by customer class and DSIM cost component per the DSIM tariffs (PPC, PCR, PTD, TDR, EO, EOR, OA and OAR). Pursuant to the DSIM tariffs Earnings Opportunity, including EO TD Adjustments are amortized over 12 months. Interest is calculated on the over or under recovered Earnings Opportunity at the short-term borrowing rates defined in the DSIM tariffs.</t>
  </si>
  <si>
    <t>OA Cycle 2</t>
  </si>
  <si>
    <t>OA Cycle 3</t>
  </si>
  <si>
    <t>OAR Cycle 2</t>
  </si>
  <si>
    <t>The Company analyzes monthly DSIM rider revenues billed by customer class and DSIM cost component per the DSIM tariffs (PPC, PCR, PTD, TDR, EO, EOR, OA and OAR). Interest is calculated on the over or under recovered Ordered Adjustments at the short-term borrowing rates defined in the DSIM tariffs.</t>
  </si>
  <si>
    <t>OAR Cycle 3</t>
  </si>
  <si>
    <t>1. Ordered Adjustment - Source: None</t>
  </si>
  <si>
    <t>2. Carrying Costs on OA - Source: None</t>
  </si>
  <si>
    <t>1. Ordered Adjustment - Program Costs - Source: None</t>
  </si>
  <si>
    <t>2. Ordered Adjustment - Throughput Disincentive - Source: None</t>
  </si>
  <si>
    <t>3. Carrying Costs on OA - Source: None</t>
  </si>
  <si>
    <t>1. Forecasted kWh by Residential, Small General Service, Large General Service and Large Power Service (Reduced for Opt-Out) - Source: Billed kWh Budget Missouri West 2023-2024.xlsx</t>
  </si>
  <si>
    <t>1. Actual monthly program costs allocated to customer classes: Residential, Small General Service, Large General Service and Large Power Service - Source: None
    Forecasted monthly program costs allocated to customer classes: Residential, Small General Service, Large General Service and Large Power Service - Source: None</t>
  </si>
  <si>
    <t>1. Forecasted kWh savings by customer classes: Residential, Small General Service, Large General Service and Large Power Service - Source: None, TD reset effective December 2022</t>
  </si>
  <si>
    <t>2. Actual monthly billed revenues by customer classes: Residential, Small General Service, Large General Service and Large Power Service (ordered adjustments revenues only) - Source: Missouri West MEEIA 2022-2023 Revenue Analysis.xlsx
Forecasted monthly billed revenues by customer classes: Residential, Small General Service, Large General Service and Large Power Service (ordered adjustments revenues only) - Source: calculated = Forecasted billed kWh sales X tariff rate</t>
  </si>
  <si>
    <t>Check</t>
  </si>
  <si>
    <t>Evergy Missouri West, Inc. - DSIM Rider Update Filed 12/01/2023</t>
  </si>
  <si>
    <t>Projections for Cycle 3 January 2024 - December 2024 DSIM</t>
  </si>
  <si>
    <t>Reverse May 2023 - July 2023 Forecast From 06/01/2023 Filing</t>
  </si>
  <si>
    <t>Cumulative Over/Under Carryover From 06/01/2023 Filing</t>
  </si>
  <si>
    <t>3. Forecasted program costs by customer class - Source: MEEIA Cycle 3 Forecast MO West 102023.xlsx</t>
  </si>
  <si>
    <t>2. Actual monthly kWh billed sales by customer classes: Residential, Small General Service, Large General Service and Large Power Service (reduced for opt-out) - Source: Missouri West MEEIA 2023 Revenue Analysis.xlsx
    Forecasted monthly kWh billed sales by customer classes: Residential, Small General Service, Large General Service and Large Power Service (reduced for opt-out) - Source: Billed kWh Budget Missouri West 2023-2024.xlsx</t>
  </si>
  <si>
    <t>3. Actual monthly billed revenues by customer classes: Residential, Small General Service, Large General Service and Large Power Service (program cost revenues only) - Missouri West MEEIA 2023 Revenue Analysis.xlsx
    Forecasted monthly billed revenues by customer classes: Residential, Small General Service, Large General Service and Large Power Service (program cost revenues only) - Source: calculated = Forecasted billed kWh sales X tariff rate</t>
  </si>
  <si>
    <t>5. Monthly Short-Term Borrowing Rate - Source: Missouri West Short-Term Borrowing Rate May 2023 - October 2023.xlsx</t>
  </si>
  <si>
    <t>1. Actual monthly program costs allocated to customer classes: Residential, Small General Service, Large General Service and Large Power Service - Source: 05 2323 MO West Spend Allocations Worksheet.xlsx, 06 2023 MO West Spend Allocations Worksheet.xlsx, 07 2023 MO West Spend Allocations Worksheet.xlsx, 08 2023 MO West Spend Allocations Worksheet.xlsx, 09 2023 MO West Spend Allocations Worksheet.xlsx, 10 2023 MO West Spend Allocations Worksheet.xlsx
    Forecasted monthly program costs allocated to customer classes: Residential, Small General Service, Large General Service and Large Power Service - Source: MEEIA Cycle 3 Forecast MO West 102023.xlsx</t>
  </si>
  <si>
    <t>2. Actual monthly kWh billed sales by customer classes: Residential, Small General Service, Medium General Service, Large General Service and Large Power Service (reduced for opt-out) - Source: Missouri West MEEIA 2023 Revenue Analysis.xlsx
    Forecasted monthly kWh billed sales by customer classes: Residential, Small General Service, Medium General Service, Large General Service and Large Power Service (reduced for opt-out) - Source: Billed kWh Budget Missouri West 2023-2024.xlsx</t>
  </si>
  <si>
    <t>3. Actual monthly billed revenues by customer classes: Residential, Small General Service, Medium General Service, Large General Service and Large Power Service (program cost revenues only) - Missouri West MEEIA 2023 Revenue Analysis.xlsx
    Forecasted monthly billed revenues by customer classes: Residential, Small General Service, Medium General Service, Large General Service and Large Power Service (program cost revenues only) - Source: calculated = Forecasted billed kWh sales X tariff rate</t>
  </si>
  <si>
    <t>1. Forecasted kWh savings by customer classes: Residential, Small General Service, Large General Service and Large Power Service  - Source: MEEIA Cycle 3 Forecast MO West 102023.xlsx</t>
  </si>
  <si>
    <t>3. Forecasted Throughput Disincentive - Source: MEEIA Cycle 3 Forecast MO West 102023.xlsx</t>
  </si>
  <si>
    <t>4. Forecasted Throughput Disincentive - Source: MEEIA Cycle 3 Forecast MO West 102023.xlsx</t>
  </si>
  <si>
    <t>For next rider filing, reversal of Forecast to input in column C</t>
  </si>
  <si>
    <t>1. &amp; 4. Actual monthly TD - Source: None, TD reset effective December 2022
    Forecasted monthly TD - Source: None</t>
  </si>
  <si>
    <t>3. Actual kWh Sales Impact - Source:  None, TD reset effective December 2022
    Forecasted kWh Sales Impact - Source: None</t>
  </si>
  <si>
    <t>2. Actual monthly billed revenues by customer classes: Residential, Small General Service, Large General Service and Large Power Service (TD revenues only) - Missouri West MEEIA 2023 Revenue Analysis.xlsx
Forecasted monthly billed revenues by customer classes: Residential, Small General Service, Large General Service and Large Power Service (TD revenues only) - Source: calculated = Forecasted billed kWh sales X tariff rate</t>
  </si>
  <si>
    <t>6. Monthly Short-Term Borrowing Rate - Source: Missouri West Short-Term Borrowing Rate May 2023 - October 2023.xlsx</t>
  </si>
  <si>
    <t>1. &amp; 4. Actual monthly TD - Source: Missouri West Cycle 3 TD Calc 102023 11182023.xlsx
    Forecasted monthly TD - Source: MEEIA Cycle 3 Forecast MO West 102023.xlsx</t>
  </si>
  <si>
    <t>2. Actual monthly billed revenues by customer classes: Residential, Small General Service, Large General Service and Large Power Service (TD revenues only) - Missouri West MEEIA 2023 Revenue Analysis.xlsx
   Forecasted monthly billed revenues by customer classes: Residential, Small General Service, Large General Service and Large Power Service (TD revenues only) - Source: calculated = Forecasted billed kWh sales X tariff rate</t>
  </si>
  <si>
    <t>3. Actual monthly TD - Source: Missouri West Cycle 3 TD Calc 102023 11182023.xlsx
    Forecasted monthly TD - Source: MEEIA Cycle 3 Forecast MO West 102023.xlsx</t>
  </si>
  <si>
    <t>1. Total Earnings Opportunity - Source: Missouri West EO Calculation PY1-PY3 v2.xlsx, Missouri West EO Calculation PY4.xlsx; final amounts included in 6/1/2023 filing</t>
  </si>
  <si>
    <t>2. EO TD Ex Post Gross Adjustment -  Source: TD Model Missouri West PY1-3 122022.xlsx, TD Model Missouri West PY4 122022.xlsx; final amounts included in 6/1/2023 filing</t>
  </si>
  <si>
    <t>3. EO TD NTG Adjustment -  Source: TD Model Missouri West PY1-3 122022.xlsx, TD Model Missouri West PY4 122022.xlsx; final amounts included in 6/1/2023 filing</t>
  </si>
  <si>
    <t>4. Carrying Costs @ AFUDC Rate -  Source: TD Model Missouri West PY1-3 122022.xlsx, TD Model Missouri West PY4 122022.xlsx; final amounts included in 6/1/2023 filing</t>
  </si>
  <si>
    <t>6. Amortization Over 24 Month Recovery Period - Source: Column 5  PY 1 - 3 divided by 24 times 0 months remaining recovery, PY 4 Column 5 divided by 24 times 0, EO TD Adjustments January - November 2022 Column 5 divided by 24 times 0, EO TD Adjustments Carrying Costs May - October 2021 Column 5 divided by 24 times 1, EO TD Adjustments Carrying Costs November 2021 - April 2022 Column 5 divided by 24 times 7, EO TD Adjustments Carrying Costs May 2022 - November 2022 Column 5 divided by 24 times 12, EO TD Adjustments December 2022 Column 5 divided by 24 times 12</t>
  </si>
  <si>
    <t>Cycle 3 - Program Year 3 (including EO TD Adjustments through October 2023) (Amortize February 2024 -January 2025)</t>
  </si>
  <si>
    <r>
      <t xml:space="preserve">Cycle 3 - Program Year 3 EO TD Adjustments November 2023 through </t>
    </r>
    <r>
      <rPr>
        <b/>
        <sz val="11"/>
        <color rgb="FFFF0000"/>
        <rFont val="Calibri"/>
        <family val="2"/>
        <scheme val="minor"/>
      </rPr>
      <t>xxxx</t>
    </r>
    <r>
      <rPr>
        <b/>
        <sz val="11"/>
        <color theme="1"/>
        <rFont val="Calibri"/>
        <family val="2"/>
        <scheme val="minor"/>
      </rPr>
      <t xml:space="preserve"> (Amortize August 2024 - July 2025)</t>
    </r>
  </si>
  <si>
    <t>1. Total Earnings Opportunity - Source: Missouri West EO Calculated Cycle 3 PY1.xlsx, MO West EO Calculated Cycle 3 PY2.xlsx, MO West EO Calculated Cycle 3 PY3.xlsx</t>
  </si>
  <si>
    <t>2. EO TD Ex Post Gross Adjustment -  Source: Missouri West Cycle 3 PY1 EO TD Adj Calc.xlsx, Missouri West Cycle 3 PY2 EO TD Adj Calc.xlsx, Missouri West Cycle 3 PY3 EO TD Adj Calc.xlsx</t>
  </si>
  <si>
    <t>3. EO TD NTG Adjustment -  Source: Missouri West Cycle 3 PY1 EO TD Adj Calc.xlsx, Missouri West Cycle 3 PY2 EO TD Adj Calc.xlsx, Missouri West Cycle 3 PY3 EO TD Adj Calc.xlsx</t>
  </si>
  <si>
    <t>4. Carrying Costs @ AFUDC Rate -  Source: Missouri West Cycle 3 PY1 EO TD Adj Calc.xlsx, Missouri West Cycle 3 PY2 EO TD Adj Calc.xlsx, Missouri West Cycle 3 PY3 EO TD Adj Calc.xlsx</t>
  </si>
  <si>
    <t>6. Amortization Over 12 Month Recovery Period - Source: Column 5  PY 1 EO and EO TD Adjustments through October 2021 divided by 12 times 0 months in forecast period, Program Year 1 EO TD Adjustments November 2021 - April 2022 divided by 12 times 0 months in forecast period, Program Year 1 EO TD Adjustments May 2022 - November 2022 divided by 12 times 1 months in forecast period, Program Year 1 EO TD Adjustments Carry Costs May 2022-November 2022, True-up November 2022 to final rate divided by 12 times 11 months in forecast period, Program Year 1 EO TD Adjustments December 2022 - April 2023 divided by 12 times 11 months in forecast period, PY 2 EO and EO TD Adjustments divided by 12 times 7 months in forecast period, Program Year 3 EO and EO TD Adjustments through October 2023 divided by 12 times 11 months in forecaset preriod</t>
  </si>
  <si>
    <t>2. Actual monthly billed revenues by customer classes: Residential, Small General Service, Large General Service and Large Power Service (EO revenues only) - Missouri West MEEIA 2023 Revenue Analysis.xlsx
Forecasted monthly billed revenues by customer classes: Residential, Small General Service, Large General Service and Large Power Service (EO revenues only) - Source: calculated = Forecasted billed kWh sales X tariff rate</t>
  </si>
  <si>
    <t>2. Actual monthly billed revenues by customer classes: Residential, Small General Service, Large General Service and Large Power Service (ordered adjustments revenues only) - Source: Missouri West MEEIA 2023 Revenue Analysis.xlsx
Forecasted monthly billed revenues by customer classes: Residential, Small General Service, Large General Service and Large Power Service (ordered adjustments revenues only) - Source: calculated = Forecasted billed kWh sales X tariff rate</t>
  </si>
  <si>
    <t>Calculation of DSIM Rates by Customer Class Effective February 1, 2024 through January 31, 2025</t>
  </si>
  <si>
    <t>Projected Program Costs for Cycle 3 for the period January 2024 through December 2024 and projected billed kWh sales for the period February 2024 through January 2025</t>
  </si>
  <si>
    <t>Program Cost Reconciliation for Cycle 2 for the period May 2023 through October 2023 compares the DSIM revenues billed for the Cycle 2 cost components to the carryforward of under or over recovered Cycle 2 Program Costs.</t>
  </si>
  <si>
    <t>Program Cost Reconciliation for Cycle 3 for the period May 2023 through October 2023 compares the DSIM revenues billed for the Cycle 3 cost components to actual program costs incurred plus the carryforward of under or over recovered Cycle 3 Program Costs.</t>
  </si>
  <si>
    <t>Projected Throughput Disincentive for Cycle 2 for the period January 2024 through December 2024.</t>
  </si>
  <si>
    <t>Projected Throughput Disincentive for Cycle 3 for the period January 2024 through December 2024</t>
  </si>
  <si>
    <t>Cycle 2 Throughput Disincentive was reset to zero after December 2022 concurrent with the new retail rates effective in January 2023. Interest is calculated on the over or under recovered Throughput Disincentive at the short-term borrowing rates defined in the DSIM tariffs.</t>
  </si>
  <si>
    <t>Throughput Disincentive Reconciliation for Cycle 3 for the period May 2023 through October 2023 compares the DSIM revenues billed for the Cycle 3 cost components to calculated Throughput Disincentive for Cycle 3 and the carryforward of under or over recovered Cycle 3 Throughput Disincentive.</t>
  </si>
  <si>
    <t>Earnings Opportunity Cycle 2, including EO TD Ex Post Gross and Net to Gross Adjustments (EO TD Adjustments) for the period January 2024 through December 2024</t>
  </si>
  <si>
    <t xml:space="preserve">Earnings Opportunity Cycle 3, including EO TD Ex Post Gross and Net to Gross Adjustments (EO TD Adjustments) for the period January 2024 through December 2024 </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</si>
  <si>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12 months. This update includes Cycle 3 Earnings Opportunity for program year 3 (2022) based on the final EM&amp;V results approved in  EO TD Adjustments with carrying costs through October 2023 plus continued amortization of previously reported amounts from prior updates as appropriate.</t>
  </si>
  <si>
    <t>Earnings Opportunity Reconciliation for Cycle 2 for the period May 2023 through October 2023 compares the DSIM revenues billed for the Cycle 2 cost components to amortization of EO Cycle 2 above and the carryforward of under or over recovered Cycle 2 Earnings Opportunity.</t>
  </si>
  <si>
    <t>Earnings Opportunity Reconciliation for Cycle 3 for the period May 2023 through October 2023 compares the DSIM revenues billed for the Cycle 2 cost components to amortization of EO Cycle 3 above and the carryforward of under or over recovered Cycle 3 Earnings Opportunity.</t>
  </si>
  <si>
    <t>Ordered Adjustments for Cycle 2 for the period January 2024 through December 2024</t>
  </si>
  <si>
    <t>Ordered Adjustments for Cycle 3 for the period January 2024 through December 2024</t>
  </si>
  <si>
    <t>Ordered Adjustments Reconciliation for Cycle 2 for the period May 2023 through October 2023 compares the DSIM revenues billed for the Cycle 2 cost components to the carryforward of under or over recovered Cycle 2 Ordered Adjustments.</t>
  </si>
  <si>
    <t>Ordered Adjustments Reconciliation for Cycle 3 for the period May 2023 through October 2023 compares the DSIM revenues billed for the Cycle 3 cost components to the carryforward of under or over recovered Cycle 3 Ordered Adjustments.</t>
  </si>
  <si>
    <t>None - There were no additional Ordered Adjustments for Cycle 2 for the period January 2024 through December 2024</t>
  </si>
  <si>
    <t>None - There were no additional Ordered Adjustments for Cycle 3 for the period January 2024 through December 2024</t>
  </si>
  <si>
    <t>Cycle 3 - Program Year 1 EO TD Adjustments December 2022 (Amortize February 2024 - January 2025)</t>
  </si>
  <si>
    <t>3. Cycle 3 2023 Extension Forecast - January 2024 - December 2024</t>
  </si>
  <si>
    <t>4. Cycle 3 2024 Extension Forecast - January 2024 - December 2024</t>
  </si>
  <si>
    <t>4. Forecasted program costs by customer class - Source: Evergy MEEIA Cycle 3 Extension PY5(2024) Appendix A settlement - MO West allocation.xlsx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</si>
</sst>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6" formatCode="#,##0.00000_);\(#,##0.00000\)"/>
    <numFmt numFmtId="177" formatCode="_(* #,##0.0000000_);_(* \(#,##0.0000000\);_(* &quot;-&quot;??_);_(@_)"/>
    <numFmt numFmtId="179" formatCode="0.0%"/>
    <numFmt numFmtId="180" formatCode="_(&quot;$&quot;* #,##0.000_);_(&quot;$&quot;* \(#,##0.000\);_(&quot;$&quot;* &quot;-&quot;??_);_(@_)"/>
    <numFmt numFmtId="181" formatCode="_(&quot;$&quot;* #,##0.00000_);_(&quot;$&quot;* \(#,##0.00000\);_(&quot;$&quot;* &quot;-&quot;_);_(@_)"/>
    <numFmt numFmtId="182" formatCode="_(&quot;$&quot;* #,##0.0000000_);_(&quot;$&quot;* \(#,##0.0000000\);_(&quot;$&quot;* &quot;-&quot;???????_);_(@_)"/>
  </numFmts>
  <fonts count="53"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9"/>
      <color indexed="81"/>
      <name val="Tahoma"/>
      <family val="2"/>
    </font>
    <font>
      <b/>
      <sz val="9"/>
      <color indexed="81"/>
      <name val="Tahoma"/>
      <family val="2"/>
    </font>
    <font>
      <sz val="10"/>
      <color rgb="FF008000"/>
      <name val="Courier New"/>
      <family val="3"/>
    </font>
    <font>
      <sz val="11"/>
      <color rgb="FFFF00FF"/>
      <name val="Calibri"/>
      <family val="2"/>
      <scheme val="minor"/>
    </font>
    <font>
      <b/>
      <sz val="10"/>
      <color rgb="FFFF00FF"/>
      <name val="Courier New"/>
      <family val="3"/>
    </font>
    <font>
      <sz val="10"/>
      <color rgb="FF0000FF"/>
      <name val="Courier New"/>
      <family val="3"/>
    </font>
    <font>
      <sz val="11"/>
      <color rgb="FF008000"/>
      <name val="Calibri"/>
      <family val="2"/>
      <scheme val="minor"/>
    </font>
    <font>
      <sz val="11"/>
      <color rgb="FF0000FF"/>
      <name val="Calibri"/>
      <family val="2"/>
      <scheme val="minor"/>
    </font>
    <font>
      <b/>
      <sz val="11"/>
      <color rgb="FF0000FF"/>
      <name val="Calibri"/>
      <family val="2"/>
      <scheme val="minor"/>
    </font>
    <font>
      <i/>
      <sz val="11"/>
      <color rgb="FF0000FF"/>
      <name val="Calibri"/>
      <family val="2"/>
      <scheme val="minor"/>
    </font>
    <font>
      <b/>
      <sz val="11"/>
      <color rgb="FFFF0000"/>
      <name val="Calibri"/>
      <family val="2"/>
      <scheme val="minor"/>
    </font>
    <font>
      <b/>
      <sz val="11"/>
      <color rgb="FF0000CC"/>
      <name val="Calibri"/>
      <family val="2"/>
      <scheme val="minor"/>
    </font>
    <font>
      <sz val="10"/>
      <color rgb="FFFF00FF"/>
      <name val="Courier New"/>
      <family val="3"/>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theme="0" tint="-4.9989318521683403E-2"/>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diagonal/>
    </border>
    <border>
      <left style="thin">
        <color indexed="64"/>
      </left>
      <right/>
      <top style="thin">
        <color indexed="64"/>
      </top>
      <bottom style="thin">
        <color indexed="64"/>
      </bottom>
      <diagonal/>
    </border>
    <border>
      <left style="thin">
        <color indexed="64"/>
      </left>
      <right style="thin">
        <color indexed="64"/>
      </right>
      <top style="thin">
        <color rgb="FF3F3F3F"/>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thin">
        <color rgb="FF7F7F7F"/>
      </top>
      <bottom style="thin">
        <color indexed="64"/>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79">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7" fontId="6" fillId="0" borderId="33" xfId="1" applyNumberFormat="1" applyFont="1" applyFill="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44" fontId="0" fillId="0" borderId="10" xfId="0"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1" fontId="5" fillId="5" borderId="59" xfId="6" applyNumberFormat="1" applyBorder="1"/>
    <xf numFmtId="43" fontId="0" fillId="0" borderId="0" xfId="1" applyFont="1"/>
    <xf numFmtId="171" fontId="0" fillId="0" borderId="0" xfId="0" applyNumberFormat="1"/>
    <xf numFmtId="0" fontId="8" fillId="0" borderId="0" xfId="0" applyFont="1" applyFill="1" applyAlignment="1">
      <alignment horizontal="left" vertical="center" wrapText="1"/>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Alignment="1">
      <alignment horizontal="left" vertical="center" wrapText="1"/>
    </xf>
    <xf numFmtId="176" fontId="10" fillId="0" borderId="6" xfId="1" applyNumberFormat="1" applyFont="1" applyFill="1" applyBorder="1" applyAlignment="1">
      <alignment vertical="center"/>
    </xf>
    <xf numFmtId="176" fontId="10" fillId="0" borderId="6" xfId="1" applyNumberFormat="1" applyFont="1" applyBorder="1" applyAlignment="1">
      <alignment horizontal="right" vertical="center"/>
    </xf>
    <xf numFmtId="176" fontId="11" fillId="0" borderId="6" xfId="1" applyNumberFormat="1" applyFont="1" applyBorder="1" applyAlignment="1">
      <alignment horizontal="right" vertical="center"/>
    </xf>
    <xf numFmtId="176" fontId="0" fillId="0" borderId="0" xfId="0" applyNumberFormat="1"/>
    <xf numFmtId="172" fontId="38" fillId="0" borderId="0" xfId="0" applyNumberFormat="1" applyFont="1"/>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3" fillId="7" borderId="74" xfId="12" applyNumberFormat="1" applyBorder="1"/>
    <xf numFmtId="165" fontId="13" fillId="7" borderId="75" xfId="12" applyNumberFormat="1" applyBorder="1"/>
    <xf numFmtId="165" fontId="13" fillId="7" borderId="76" xfId="12" applyNumberFormat="1" applyBorder="1"/>
    <xf numFmtId="42" fontId="14" fillId="7" borderId="77" xfId="13" applyNumberFormat="1" applyBorder="1"/>
    <xf numFmtId="42" fontId="14" fillId="7" borderId="78" xfId="13" applyNumberFormat="1" applyBorder="1"/>
    <xf numFmtId="42" fontId="14" fillId="7" borderId="0" xfId="13" applyNumberFormat="1" applyBorder="1"/>
    <xf numFmtId="42" fontId="5" fillId="5" borderId="14" xfId="6" applyNumberFormat="1" applyBorder="1"/>
    <xf numFmtId="0" fontId="8" fillId="0" borderId="0" xfId="0" applyFont="1" applyFill="1" applyAlignment="1">
      <alignment horizontal="left" vertical="center" wrapText="1"/>
    </xf>
    <xf numFmtId="170" fontId="36" fillId="0" borderId="5" xfId="0" applyNumberFormat="1" applyFont="1" applyFill="1" applyBorder="1" applyAlignment="1">
      <alignment vertical="center"/>
    </xf>
    <xf numFmtId="0" fontId="8" fillId="0" borderId="0" xfId="0" applyFont="1" applyAlignment="1">
      <alignment horizontal="left"/>
    </xf>
    <xf numFmtId="42" fontId="14" fillId="0" borderId="0" xfId="13" applyNumberFormat="1" applyFill="1" applyBorder="1"/>
    <xf numFmtId="42" fontId="33" fillId="7" borderId="70" xfId="13" applyNumberFormat="1" applyFont="1" applyBorder="1"/>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9" fontId="0" fillId="0" borderId="0" xfId="2" applyNumberFormat="1" applyFont="1"/>
    <xf numFmtId="0" fontId="8" fillId="0" borderId="79" xfId="0" applyFont="1" applyBorder="1" applyAlignment="1">
      <alignment horizontal="center" wrapText="1"/>
    </xf>
    <xf numFmtId="167" fontId="14" fillId="7" borderId="81" xfId="13" applyNumberFormat="1" applyBorder="1"/>
    <xf numFmtId="43" fontId="0" fillId="0" borderId="0" xfId="0" applyNumberFormat="1"/>
    <xf numFmtId="43" fontId="8" fillId="0" borderId="0" xfId="1" applyFont="1" applyAlignment="1">
      <alignment horizontal="center" wrapText="1"/>
    </xf>
    <xf numFmtId="0" fontId="8" fillId="0" borderId="0" xfId="0" applyFont="1" applyAlignment="1">
      <alignment wrapText="1"/>
    </xf>
    <xf numFmtId="165" fontId="0" fillId="0" borderId="0" xfId="0" applyNumberFormat="1" applyFill="1" applyBorder="1"/>
    <xf numFmtId="165" fontId="5" fillId="0" borderId="23" xfId="6"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82" xfId="13" applyNumberFormat="1" applyBorder="1"/>
    <xf numFmtId="167" fontId="6" fillId="0" borderId="56" xfId="1" applyNumberFormat="1" applyFont="1" applyFill="1" applyBorder="1"/>
    <xf numFmtId="44" fontId="6" fillId="0" borderId="56" xfId="7" applyNumberFormat="1" applyFill="1" applyBorder="1"/>
    <xf numFmtId="0" fontId="0" fillId="39" borderId="3" xfId="0" applyFill="1" applyBorder="1" applyAlignment="1">
      <alignment horizontal="center" wrapText="1"/>
    </xf>
    <xf numFmtId="170" fontId="36" fillId="0" borderId="6" xfId="0" applyNumberFormat="1" applyFont="1" applyFill="1" applyBorder="1" applyAlignment="1">
      <alignment vertical="center"/>
    </xf>
    <xf numFmtId="170" fontId="38" fillId="0" borderId="0" xfId="0" applyNumberFormat="1" applyFont="1" applyFill="1" applyAlignment="1"/>
    <xf numFmtId="0" fontId="38" fillId="0" borderId="0" xfId="0" applyFont="1"/>
    <xf numFmtId="180" fontId="13" fillId="7" borderId="17" xfId="12" applyNumberFormat="1"/>
    <xf numFmtId="165" fontId="7" fillId="0" borderId="9" xfId="8" applyNumberFormat="1" applyBorder="1"/>
    <xf numFmtId="165" fontId="5" fillId="0" borderId="9" xfId="2" applyNumberFormat="1" applyFont="1" applyFill="1" applyBorder="1"/>
    <xf numFmtId="165" fontId="6" fillId="6" borderId="51" xfId="7" applyNumberFormat="1" applyBorder="1"/>
    <xf numFmtId="0" fontId="8" fillId="0" borderId="0" xfId="0" applyFont="1" applyAlignment="1">
      <alignment horizontal="left" vertical="center" wrapText="1"/>
    </xf>
    <xf numFmtId="170" fontId="36" fillId="0" borderId="4" xfId="0" applyNumberFormat="1" applyFont="1" applyFill="1" applyBorder="1" applyAlignment="1">
      <alignment vertical="center"/>
    </xf>
    <xf numFmtId="0" fontId="8" fillId="0" borderId="70" xfId="0" applyFont="1" applyBorder="1" applyAlignment="1">
      <alignment horizontal="center" wrapText="1"/>
    </xf>
    <xf numFmtId="44" fontId="33" fillId="0" borderId="0" xfId="1" applyNumberFormat="1" applyFont="1" applyAlignment="1">
      <alignment horizontal="right"/>
    </xf>
    <xf numFmtId="0" fontId="8" fillId="0" borderId="0" xfId="0" applyFont="1" applyFill="1" applyAlignment="1">
      <alignment wrapText="1"/>
    </xf>
    <xf numFmtId="0" fontId="8" fillId="0" borderId="0" xfId="0" applyFont="1" applyAlignment="1">
      <alignment horizontal="left"/>
    </xf>
    <xf numFmtId="0" fontId="8" fillId="0" borderId="0" xfId="0" applyFont="1" applyFill="1" applyAlignment="1"/>
    <xf numFmtId="0" fontId="8" fillId="0" borderId="0" xfId="0" applyFont="1" applyAlignment="1"/>
    <xf numFmtId="0" fontId="8" fillId="0" borderId="0" xfId="0" applyFont="1" applyAlignment="1">
      <alignment horizontal="left" vertical="center" wrapText="1"/>
    </xf>
    <xf numFmtId="0" fontId="8" fillId="0" borderId="0" xfId="0" applyFont="1" applyAlignment="1">
      <alignment horizontal="left"/>
    </xf>
    <xf numFmtId="0" fontId="8" fillId="0" borderId="0" xfId="0" applyFont="1" applyAlignment="1">
      <alignment horizontal="left"/>
    </xf>
    <xf numFmtId="44" fontId="8" fillId="0" borderId="0" xfId="0" applyNumberFormat="1" applyFont="1" applyFill="1" applyAlignment="1">
      <alignment horizontal="center" wrapText="1"/>
    </xf>
    <xf numFmtId="0" fontId="8" fillId="0" borderId="0" xfId="0" applyFont="1" applyAlignment="1">
      <alignment horizontal="left"/>
    </xf>
    <xf numFmtId="0" fontId="0" fillId="0" borderId="0" xfId="0" applyAlignment="1">
      <alignment wrapText="1"/>
    </xf>
    <xf numFmtId="0" fontId="8" fillId="0" borderId="70" xfId="0" applyFont="1" applyBorder="1"/>
    <xf numFmtId="0" fontId="8" fillId="0" borderId="70" xfId="0" applyFont="1" applyBorder="1" applyAlignment="1">
      <alignment wrapText="1"/>
    </xf>
    <xf numFmtId="0" fontId="8" fillId="0" borderId="70" xfId="0" applyFont="1" applyBorder="1" applyAlignment="1">
      <alignment vertical="top"/>
    </xf>
    <xf numFmtId="0" fontId="0" fillId="0" borderId="70" xfId="0" applyBorder="1" applyAlignment="1">
      <alignment vertical="top" wrapText="1"/>
    </xf>
    <xf numFmtId="0" fontId="0" fillId="0" borderId="0" xfId="0" applyAlignment="1">
      <alignment vertical="top"/>
    </xf>
    <xf numFmtId="0" fontId="8" fillId="0" borderId="0" xfId="0" applyFont="1" applyAlignment="1">
      <alignment vertical="top"/>
    </xf>
    <xf numFmtId="0" fontId="0" fillId="0" borderId="0" xfId="0" applyAlignment="1">
      <alignment vertical="top" wrapText="1"/>
    </xf>
    <xf numFmtId="41" fontId="42" fillId="0" borderId="6" xfId="0" applyNumberFormat="1" applyFont="1" applyBorder="1" applyAlignment="1">
      <alignment vertical="center"/>
    </xf>
    <xf numFmtId="42" fontId="42" fillId="0" borderId="6" xfId="0" applyNumberFormat="1" applyFont="1" applyBorder="1" applyAlignment="1">
      <alignment horizontal="right"/>
    </xf>
    <xf numFmtId="177" fontId="43" fillId="0" borderId="0" xfId="1" applyNumberFormat="1" applyFont="1"/>
    <xf numFmtId="0" fontId="44" fillId="0" borderId="0" xfId="0" applyFont="1" applyFill="1" applyBorder="1" applyAlignment="1">
      <alignment horizontal="center" vertical="center" wrapText="1"/>
    </xf>
    <xf numFmtId="172" fontId="45" fillId="0" borderId="6" xfId="0" applyNumberFormat="1" applyFont="1" applyFill="1" applyBorder="1" applyAlignment="1">
      <alignment horizontal="right"/>
    </xf>
    <xf numFmtId="172" fontId="45" fillId="0" borderId="6" xfId="0" quotePrefix="1" applyNumberFormat="1" applyFont="1" applyFill="1" applyBorder="1" applyAlignment="1">
      <alignment horizontal="right"/>
    </xf>
    <xf numFmtId="172" fontId="45" fillId="0" borderId="6" xfId="0" applyNumberFormat="1" applyFont="1" applyBorder="1" applyAlignment="1">
      <alignment horizontal="right"/>
    </xf>
    <xf numFmtId="172" fontId="42" fillId="0" borderId="6" xfId="0" applyNumberFormat="1" applyFont="1" applyBorder="1" applyAlignment="1">
      <alignment horizontal="right"/>
    </xf>
    <xf numFmtId="172" fontId="42" fillId="0" borderId="6" xfId="0" applyNumberFormat="1" applyFont="1" applyFill="1" applyBorder="1" applyAlignment="1">
      <alignment horizontal="right"/>
    </xf>
    <xf numFmtId="172" fontId="42" fillId="0" borderId="6" xfId="0" quotePrefix="1" applyNumberFormat="1" applyFont="1" applyFill="1" applyBorder="1" applyAlignment="1">
      <alignment horizontal="right"/>
    </xf>
    <xf numFmtId="181" fontId="42" fillId="0" borderId="6" xfId="0" applyNumberFormat="1" applyFont="1" applyBorder="1" applyAlignment="1">
      <alignment horizontal="right"/>
    </xf>
    <xf numFmtId="176" fontId="42" fillId="0" borderId="6" xfId="1" applyNumberFormat="1" applyFont="1" applyBorder="1" applyAlignment="1">
      <alignment horizontal="right" vertical="center"/>
    </xf>
    <xf numFmtId="176" fontId="43" fillId="0" borderId="0" xfId="0" applyNumberFormat="1" applyFont="1"/>
    <xf numFmtId="0" fontId="44" fillId="0" borderId="0" xfId="0" applyFont="1" applyFill="1" applyBorder="1" applyAlignment="1">
      <alignment vertical="center" wrapText="1"/>
    </xf>
    <xf numFmtId="41" fontId="5" fillId="36" borderId="80" xfId="6" applyNumberFormat="1" applyFill="1" applyBorder="1"/>
    <xf numFmtId="165" fontId="47" fillId="0" borderId="13" xfId="6" applyNumberFormat="1" applyFont="1" applyFill="1" applyBorder="1"/>
    <xf numFmtId="165" fontId="47" fillId="0" borderId="9" xfId="0" applyNumberFormat="1" applyFont="1" applyFill="1" applyBorder="1"/>
    <xf numFmtId="0" fontId="47" fillId="0" borderId="9" xfId="0" applyFont="1" applyFill="1" applyBorder="1"/>
    <xf numFmtId="165" fontId="48" fillId="7" borderId="13" xfId="13" applyNumberFormat="1" applyFont="1" applyBorder="1"/>
    <xf numFmtId="0" fontId="49" fillId="0" borderId="9" xfId="8" applyFont="1" applyFill="1" applyBorder="1"/>
    <xf numFmtId="41" fontId="47" fillId="0" borderId="13" xfId="6" applyNumberFormat="1" applyFont="1" applyFill="1" applyBorder="1"/>
    <xf numFmtId="44" fontId="47" fillId="0" borderId="9" xfId="0" applyNumberFormat="1" applyFont="1" applyFill="1" applyBorder="1"/>
    <xf numFmtId="165" fontId="47" fillId="0" borderId="15" xfId="11" applyNumberFormat="1" applyFont="1" applyFill="1" applyBorder="1"/>
    <xf numFmtId="165" fontId="48" fillId="7" borderId="43" xfId="13" applyNumberFormat="1" applyFont="1" applyBorder="1"/>
    <xf numFmtId="165" fontId="48" fillId="7" borderId="44" xfId="13" applyNumberFormat="1" applyFont="1" applyBorder="1"/>
    <xf numFmtId="165" fontId="48" fillId="7" borderId="42" xfId="13" applyNumberFormat="1" applyFont="1" applyBorder="1"/>
    <xf numFmtId="10" fontId="47" fillId="5" borderId="23" xfId="6" applyNumberFormat="1" applyFont="1" applyBorder="1"/>
    <xf numFmtId="164" fontId="47" fillId="0" borderId="12" xfId="0" applyNumberFormat="1" applyFont="1" applyBorder="1"/>
    <xf numFmtId="43" fontId="43" fillId="0" borderId="0" xfId="1" applyFont="1"/>
    <xf numFmtId="165" fontId="48" fillId="7" borderId="73" xfId="13" applyNumberFormat="1" applyFont="1" applyBorder="1"/>
    <xf numFmtId="165" fontId="48" fillId="7" borderId="72" xfId="13" applyNumberFormat="1" applyFont="1" applyBorder="1"/>
    <xf numFmtId="165" fontId="48" fillId="0" borderId="58" xfId="13" applyNumberFormat="1" applyFont="1" applyFill="1" applyBorder="1"/>
    <xf numFmtId="165" fontId="47" fillId="0" borderId="58" xfId="6" applyNumberFormat="1" applyFont="1" applyFill="1" applyBorder="1"/>
    <xf numFmtId="41" fontId="47" fillId="0" borderId="58" xfId="6" applyNumberFormat="1" applyFont="1" applyFill="1" applyBorder="1"/>
    <xf numFmtId="165" fontId="47" fillId="0" borderId="9" xfId="6" applyNumberFormat="1" applyFont="1" applyFill="1" applyBorder="1"/>
    <xf numFmtId="165" fontId="47" fillId="0" borderId="60" xfId="11" applyNumberFormat="1" applyFont="1" applyFill="1" applyBorder="1"/>
    <xf numFmtId="171" fontId="46" fillId="0" borderId="0" xfId="2" applyNumberFormat="1" applyFont="1" applyBorder="1"/>
    <xf numFmtId="171" fontId="46" fillId="0" borderId="9" xfId="2" applyNumberFormat="1" applyFont="1" applyBorder="1"/>
    <xf numFmtId="171" fontId="46" fillId="0" borderId="10" xfId="0" applyNumberFormat="1" applyFont="1" applyBorder="1"/>
    <xf numFmtId="171" fontId="46" fillId="0" borderId="0" xfId="2" applyNumberFormat="1" applyFont="1" applyFill="1" applyBorder="1"/>
    <xf numFmtId="171" fontId="46" fillId="0" borderId="9" xfId="2" applyNumberFormat="1" applyFont="1" applyFill="1" applyBorder="1"/>
    <xf numFmtId="171" fontId="46" fillId="0" borderId="10" xfId="0" applyNumberFormat="1" applyFont="1" applyFill="1" applyBorder="1"/>
    <xf numFmtId="165" fontId="48" fillId="0" borderId="13" xfId="13" applyNumberFormat="1" applyFont="1" applyFill="1" applyBorder="1"/>
    <xf numFmtId="0" fontId="8" fillId="0" borderId="0" xfId="0" applyFont="1" applyFill="1" applyAlignment="1">
      <alignment horizontal="left"/>
    </xf>
    <xf numFmtId="0" fontId="8" fillId="0" borderId="0" xfId="0" applyFont="1" applyAlignment="1">
      <alignment horizontal="left"/>
    </xf>
    <xf numFmtId="179" fontId="0" fillId="0" borderId="0" xfId="2" applyNumberFormat="1" applyFont="1" applyFill="1"/>
    <xf numFmtId="0" fontId="7" fillId="0" borderId="9" xfId="8" applyFill="1" applyBorder="1"/>
    <xf numFmtId="0" fontId="0" fillId="0" borderId="10" xfId="0" applyFill="1" applyBorder="1"/>
    <xf numFmtId="10" fontId="47" fillId="5" borderId="1" xfId="2" applyNumberFormat="1" applyFont="1" applyFill="1" applyBorder="1"/>
    <xf numFmtId="170" fontId="47" fillId="5" borderId="23" xfId="6" applyNumberFormat="1" applyFont="1" applyBorder="1"/>
    <xf numFmtId="0" fontId="7" fillId="0" borderId="10" xfId="8" applyFill="1" applyBorder="1"/>
    <xf numFmtId="171" fontId="47" fillId="0" borderId="0" xfId="2" applyNumberFormat="1" applyFont="1" applyBorder="1"/>
    <xf numFmtId="171" fontId="47" fillId="0" borderId="9" xfId="2" applyNumberFormat="1" applyFont="1" applyBorder="1"/>
    <xf numFmtId="171" fontId="47" fillId="0" borderId="10" xfId="0" applyNumberFormat="1" applyFont="1" applyBorder="1"/>
    <xf numFmtId="167" fontId="0" fillId="0" borderId="0" xfId="0" applyNumberFormat="1"/>
    <xf numFmtId="44" fontId="7" fillId="0" borderId="10" xfId="8" applyNumberFormat="1" applyFill="1" applyBorder="1"/>
    <xf numFmtId="41" fontId="0" fillId="0" borderId="0" xfId="0" applyNumberFormat="1" applyFill="1" applyBorder="1"/>
    <xf numFmtId="43" fontId="8" fillId="0" borderId="0" xfId="1" applyFont="1" applyFill="1" applyAlignment="1">
      <alignment horizontal="center"/>
    </xf>
    <xf numFmtId="165" fontId="13" fillId="40" borderId="75" xfId="12" applyNumberFormat="1" applyFill="1" applyBorder="1"/>
    <xf numFmtId="165" fontId="5" fillId="37" borderId="1" xfId="6" applyNumberFormat="1" applyFill="1"/>
    <xf numFmtId="165" fontId="51" fillId="7" borderId="43" xfId="13" applyNumberFormat="1" applyFont="1" applyBorder="1"/>
    <xf numFmtId="165" fontId="51" fillId="7" borderId="72" xfId="13" applyNumberFormat="1" applyFont="1" applyBorder="1"/>
    <xf numFmtId="165" fontId="51" fillId="7" borderId="44" xfId="13" applyNumberFormat="1" applyFont="1" applyBorder="1"/>
    <xf numFmtId="165" fontId="51" fillId="0" borderId="13" xfId="13" applyNumberFormat="1" applyFont="1" applyFill="1" applyBorder="1"/>
    <xf numFmtId="170" fontId="52" fillId="0" borderId="4" xfId="0" applyNumberFormat="1" applyFont="1" applyFill="1" applyBorder="1" applyAlignment="1">
      <alignment vertical="center"/>
    </xf>
    <xf numFmtId="172" fontId="52" fillId="0" borderId="6" xfId="0" applyNumberFormat="1" applyFont="1" applyBorder="1" applyAlignment="1">
      <alignment horizontal="right"/>
    </xf>
    <xf numFmtId="182" fontId="38" fillId="0" borderId="0" xfId="0" applyNumberFormat="1" applyFont="1"/>
    <xf numFmtId="182" fontId="0" fillId="0" borderId="0" xfId="0" applyNumberFormat="1"/>
    <xf numFmtId="0" fontId="8" fillId="0" borderId="0" xfId="0" applyFont="1" applyFill="1" applyAlignment="1">
      <alignment horizontal="left" wrapText="1"/>
    </xf>
    <xf numFmtId="0" fontId="9" fillId="0" borderId="0" xfId="0" applyFont="1" applyAlignment="1">
      <alignment horizontal="center"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Alignment="1">
      <alignment horizontal="left" wrapText="1"/>
    </xf>
    <xf numFmtId="0" fontId="8" fillId="0" borderId="0" xfId="0" applyFont="1" applyAlignment="1">
      <alignment horizontal="left" vertical="center" wrapText="1"/>
    </xf>
    <xf numFmtId="0" fontId="8" fillId="0" borderId="0" xfId="0" applyFont="1" applyFill="1" applyAlignment="1">
      <alignment horizontal="left"/>
    </xf>
    <xf numFmtId="0" fontId="8" fillId="0" borderId="0" xfId="0" applyFont="1" applyAlignment="1">
      <alignment horizontal="left"/>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38" borderId="19" xfId="0" applyFont="1" applyFill="1" applyBorder="1" applyAlignment="1">
      <alignment horizontal="center"/>
    </xf>
    <xf numFmtId="0" fontId="8" fillId="0" borderId="0" xfId="0" applyFont="1" applyFill="1" applyAlignment="1">
      <alignment horizontal="left" vertical="top" wrapText="1"/>
    </xf>
    <xf numFmtId="167" fontId="0" fillId="0" borderId="0" xfId="1" applyNumberFormat="1" applyFont="1"/>
    <xf numFmtId="170" fontId="52" fillId="0" borderId="3" xfId="0" applyNumberFormat="1" applyFont="1" applyFill="1" applyBorder="1" applyAlignment="1">
      <alignment vertical="center"/>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008000"/>
      <color rgb="FF0000FF"/>
      <color rgb="FFFFFF99"/>
      <color rgb="FF6600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styles" Target="styles.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externalLink" Target="externalLinks/externalLink19.xml"/><Relationship Id="rId40" Type="http://schemas.openxmlformats.org/officeDocument/2006/relationships/sharedStrings" Target="sharedString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theme" Target="theme/theme1.xml"/><Relationship Id="rId20" Type="http://schemas.openxmlformats.org/officeDocument/2006/relationships/externalLink" Target="externalLinks/externalLink2.xml"/><Relationship Id="rId41" Type="http://schemas.openxmlformats.org/officeDocument/2006/relationships/sheetMetadata" Target="metadata.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illed%20kWh%20Budget%20Missouri%20West%202023-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0%202023%20MO%20West%20Spend%20Allocations%20Workshee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Missouri%20West%20Short-Term%20Borrowing%20Rate%20May%202023%20-%20October%20202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Missouri%20West%20Cycle%203%20Monthly%20TD%20Calc%20102023%201118202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Missouri%20West%20Cycle%203%20PY1%20EO%20TD%20Adj%20Cal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Missouri%20West%20EO%20Calculated%20Cycle%203%20PY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Missouri%20West%20Cycle%203%20PY3%20EO%20TD%20Adj%20Calc.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Missouri%20West%20EO%20Calculated%20Cycle%203%20PY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Missouri%20West%20EO%20Calculated%20Cycle%203%20PY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souri%20West%20Cycle%203%20PY2%20EO%20TD%20Adj%20Calc.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Evergy%20MEEIA%20Cycle%203%20Extension%20PY5%20(2024)%20Appendix%20A%20settlement%20-%20MO%20West%20alloc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EEIA%20Cycle%203%20Forecast%20MO%20West%2010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issouri%20West%20Cycle%202%20Monthly%20TD%20Calc%20122022%200109202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souri%20West%20MEEIA%202023%20Revenue%20Analysi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05%202023%20MO%20West%20Spend%20Allocations%20Workshee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6%202023%20MO%20West%20Spend%20Allocations%20Workshee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7%202023%20MO%20West%20Spend%20Allocations%20Workshee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08%202023%20MO%20West%20Spend%20Allocations%20Workshe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9%202023%20MO%20West%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5">
          <cell r="AA25">
            <v>233390280</v>
          </cell>
          <cell r="AB25">
            <v>323567820</v>
          </cell>
          <cell r="AC25">
            <v>396699537</v>
          </cell>
        </row>
        <row r="26">
          <cell r="AA26">
            <v>98999639</v>
          </cell>
          <cell r="AB26">
            <v>102078840</v>
          </cell>
          <cell r="AC26">
            <v>107030136</v>
          </cell>
        </row>
        <row r="27">
          <cell r="AA27">
            <v>88402659</v>
          </cell>
          <cell r="AB27">
            <v>91152260</v>
          </cell>
          <cell r="AC27">
            <v>95573566</v>
          </cell>
        </row>
        <row r="28">
          <cell r="AA28">
            <v>59144068</v>
          </cell>
          <cell r="AB28">
            <v>60983635</v>
          </cell>
          <cell r="AC28">
            <v>63941623</v>
          </cell>
        </row>
        <row r="34">
          <cell r="G34">
            <v>1741339657</v>
          </cell>
          <cell r="H34">
            <v>1895706098</v>
          </cell>
        </row>
        <row r="35">
          <cell r="G35">
            <v>619125568</v>
          </cell>
          <cell r="H35">
            <v>657545204</v>
          </cell>
        </row>
        <row r="36">
          <cell r="G36">
            <v>552854000</v>
          </cell>
          <cell r="H36">
            <v>587161176</v>
          </cell>
        </row>
        <row r="37">
          <cell r="G37">
            <v>369876139</v>
          </cell>
          <cell r="H37">
            <v>392828686</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 SI Project"/>
      <sheetName val="SI0000 Alloc"/>
      <sheetName val="SI Project 102023 11082023"/>
      <sheetName val="Input"/>
      <sheetName val="Program Descriptions"/>
    </sheetNames>
    <sheetDataSet>
      <sheetData sheetId="0">
        <row r="27">
          <cell r="N27">
            <v>519983.61</v>
          </cell>
          <cell r="O27">
            <v>143108.30000000002</v>
          </cell>
          <cell r="Q27">
            <v>663886.59</v>
          </cell>
          <cell r="R27">
            <v>33543.780000000006</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sheetName val="May 2023"/>
      <sheetName val="June 2023"/>
      <sheetName val="July 2023"/>
      <sheetName val="August 2023"/>
      <sheetName val="September 2023"/>
      <sheetName val="October 2023"/>
    </sheetNames>
    <sheetDataSet>
      <sheetData sheetId="0" refreshError="1"/>
      <sheetData sheetId="1">
        <row r="43">
          <cell r="E43">
            <v>5.3128000000000003E-3</v>
          </cell>
        </row>
      </sheetData>
      <sheetData sheetId="2">
        <row r="42">
          <cell r="E42">
            <v>5.3587000000000001E-3</v>
          </cell>
        </row>
      </sheetData>
      <sheetData sheetId="3">
        <row r="43">
          <cell r="E43">
            <v>5.4904100000000003E-3</v>
          </cell>
        </row>
      </sheetData>
      <sheetData sheetId="4">
        <row r="43">
          <cell r="E43">
            <v>5.5567100000000003E-3</v>
          </cell>
        </row>
      </sheetData>
      <sheetData sheetId="5">
        <row r="42">
          <cell r="E42">
            <v>5.5623000000000001E-3</v>
          </cell>
        </row>
      </sheetData>
      <sheetData sheetId="6">
        <row r="43">
          <cell r="E43">
            <v>5.5681000000000003E-3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PY1-3"/>
      <sheetName val="Monthly TD Calc-PY4"/>
      <sheetName val="Summary Monthly TD Calc"/>
    </sheetNames>
    <sheetDataSet>
      <sheetData sheetId="0" refreshError="1"/>
      <sheetData sheetId="1" refreshError="1"/>
      <sheetData sheetId="2">
        <row r="461">
          <cell r="AS461">
            <v>2173470.235567343</v>
          </cell>
          <cell r="AT461">
            <v>1980538.2945656646</v>
          </cell>
          <cell r="AU461">
            <v>2392970.8909121696</v>
          </cell>
          <cell r="AV461">
            <v>2313305.1977436282</v>
          </cell>
          <cell r="AW461">
            <v>1943217.7424640721</v>
          </cell>
          <cell r="AX461">
            <v>2085151.0893538389</v>
          </cell>
        </row>
        <row r="462">
          <cell r="AS462">
            <v>649760.24231928587</v>
          </cell>
          <cell r="AT462">
            <v>622380.17711688043</v>
          </cell>
          <cell r="AU462">
            <v>700273.24175569334</v>
          </cell>
          <cell r="AV462">
            <v>704809.8433535418</v>
          </cell>
          <cell r="AW462">
            <v>606348.77656628343</v>
          </cell>
          <cell r="AX462">
            <v>648618.56305138383</v>
          </cell>
        </row>
        <row r="464">
          <cell r="AS464">
            <v>1525475.2882410916</v>
          </cell>
          <cell r="AT464">
            <v>1463032.5831013045</v>
          </cell>
          <cell r="AU464">
            <v>1503137.9818783691</v>
          </cell>
          <cell r="AV464">
            <v>1531042.0027609803</v>
          </cell>
          <cell r="AW464">
            <v>1429272.4034714941</v>
          </cell>
          <cell r="AX464">
            <v>1528850.7068644809</v>
          </cell>
        </row>
        <row r="465">
          <cell r="AS465">
            <v>377080.90406469663</v>
          </cell>
          <cell r="AT465">
            <v>361249.07501055492</v>
          </cell>
          <cell r="AU465">
            <v>370962.2661298358</v>
          </cell>
          <cell r="AV465">
            <v>378037.11684431648</v>
          </cell>
          <cell r="AW465">
            <v>351830.88641037478</v>
          </cell>
          <cell r="AX465">
            <v>376260.2332811791</v>
          </cell>
        </row>
        <row r="563">
          <cell r="AS563">
            <v>73350.8</v>
          </cell>
          <cell r="AT563">
            <v>120420.75</v>
          </cell>
          <cell r="AU563">
            <v>155320.04999999996</v>
          </cell>
          <cell r="AV563">
            <v>149534.1</v>
          </cell>
          <cell r="AW563">
            <v>119250.27</v>
          </cell>
          <cell r="AX563">
            <v>69249.849999999991</v>
          </cell>
        </row>
        <row r="564">
          <cell r="AS564">
            <v>22065.969999999998</v>
          </cell>
          <cell r="AT564">
            <v>32678.03</v>
          </cell>
          <cell r="AU564">
            <v>36585.47</v>
          </cell>
          <cell r="AV564">
            <v>36488.539999999994</v>
          </cell>
          <cell r="AW564">
            <v>30822.47</v>
          </cell>
          <cell r="AX564">
            <v>21871.94</v>
          </cell>
        </row>
        <row r="566">
          <cell r="AS566">
            <v>31576.079999999998</v>
          </cell>
          <cell r="AT566">
            <v>35380.9</v>
          </cell>
          <cell r="AU566">
            <v>33713.200000000004</v>
          </cell>
          <cell r="AV566">
            <v>33898.589999999997</v>
          </cell>
          <cell r="AW566">
            <v>31522.98</v>
          </cell>
          <cell r="AX566">
            <v>27877.489999999998</v>
          </cell>
        </row>
        <row r="567">
          <cell r="AS567">
            <v>1407.84</v>
          </cell>
          <cell r="AT567">
            <v>2566.5</v>
          </cell>
          <cell r="AU567">
            <v>2572.2999999999997</v>
          </cell>
          <cell r="AV567">
            <v>2627.5899999999997</v>
          </cell>
          <cell r="AW567">
            <v>2496.2200000000003</v>
          </cell>
          <cell r="AX567">
            <v>1264.1399999999999</v>
          </cell>
        </row>
      </sheetData>
      <sheetData sheetId="3">
        <row r="7">
          <cell r="DY7">
            <v>0.39927664690754316</v>
          </cell>
        </row>
        <row r="469">
          <cell r="AS469">
            <v>151603.17019619967</v>
          </cell>
          <cell r="AT469">
            <v>322328.33531554876</v>
          </cell>
          <cell r="AU469">
            <v>667762.64024012734</v>
          </cell>
          <cell r="AV469">
            <v>773904.12563440937</v>
          </cell>
          <cell r="AW469">
            <v>529894.29489505873</v>
          </cell>
          <cell r="AX469">
            <v>552847.64862049615</v>
          </cell>
        </row>
        <row r="470">
          <cell r="AS470">
            <v>66234.714287577983</v>
          </cell>
          <cell r="AT470">
            <v>117578.16073923127</v>
          </cell>
          <cell r="AU470">
            <v>159704.54262455922</v>
          </cell>
          <cell r="AV470">
            <v>184355.74444962904</v>
          </cell>
          <cell r="AW470">
            <v>220604.28932704509</v>
          </cell>
          <cell r="AX470">
            <v>312124.70387141081</v>
          </cell>
        </row>
        <row r="472">
          <cell r="AS472">
            <v>64303.81906724508</v>
          </cell>
          <cell r="AT472">
            <v>109652.52622538668</v>
          </cell>
          <cell r="AU472">
            <v>160301.26860837702</v>
          </cell>
          <cell r="AV472">
            <v>204694.69375863322</v>
          </cell>
          <cell r="AW472">
            <v>236149.17536480751</v>
          </cell>
          <cell r="AX472">
            <v>336004.72107515985</v>
          </cell>
        </row>
        <row r="473">
          <cell r="AS473">
            <v>12364.877494787812</v>
          </cell>
          <cell r="AT473">
            <v>40931.716166420418</v>
          </cell>
          <cell r="AU473">
            <v>62988.281352412414</v>
          </cell>
          <cell r="AV473">
            <v>66488.191976167029</v>
          </cell>
          <cell r="AW473">
            <v>73769.893220196769</v>
          </cell>
          <cell r="AX473">
            <v>89215.142027888651</v>
          </cell>
        </row>
        <row r="575">
          <cell r="AS575">
            <v>6463.6100000000006</v>
          </cell>
          <cell r="AT575">
            <v>24327.93</v>
          </cell>
          <cell r="AU575">
            <v>51197.159999999996</v>
          </cell>
          <cell r="AV575">
            <v>59470.69</v>
          </cell>
          <cell r="AW575">
            <v>40737.449999999997</v>
          </cell>
          <cell r="AX575">
            <v>23187.55</v>
          </cell>
        </row>
        <row r="576">
          <cell r="AS576">
            <v>2455.0099999999998</v>
          </cell>
          <cell r="AT576">
            <v>7318.3700000000008</v>
          </cell>
          <cell r="AU576">
            <v>9911.73</v>
          </cell>
          <cell r="AV576">
            <v>11283.72</v>
          </cell>
          <cell r="AW576">
            <v>13488.900000000001</v>
          </cell>
          <cell r="AX576">
            <v>11575.119999999999</v>
          </cell>
        </row>
        <row r="578">
          <cell r="AS578">
            <v>1648.9699999999998</v>
          </cell>
          <cell r="AT578">
            <v>4756.8500000000004</v>
          </cell>
          <cell r="AU578">
            <v>6737.6200000000008</v>
          </cell>
          <cell r="AV578">
            <v>7910.2199999999993</v>
          </cell>
          <cell r="AW578">
            <v>9211.43</v>
          </cell>
          <cell r="AX578">
            <v>8111.49</v>
          </cell>
        </row>
        <row r="579">
          <cell r="AS579">
            <v>421.73999999999995</v>
          </cell>
          <cell r="AT579">
            <v>2312.8900000000003</v>
          </cell>
          <cell r="AU579">
            <v>3351.08</v>
          </cell>
          <cell r="AV579">
            <v>3563.75</v>
          </cell>
          <cell r="AW579">
            <v>4192.1499999999996</v>
          </cell>
          <cell r="AX579">
            <v>2515.85</v>
          </cell>
        </row>
      </sheetData>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refreshError="1"/>
      <sheetData sheetId="1" refreshError="1"/>
      <sheetData sheetId="2" refreshError="1"/>
      <sheetData sheetId="3" refreshError="1"/>
      <sheetData sheetId="4">
        <row r="571">
          <cell r="E571">
            <v>20417.009999999995</v>
          </cell>
          <cell r="F571">
            <v>26427.869999999995</v>
          </cell>
          <cell r="G571">
            <v>25762.399999999994</v>
          </cell>
          <cell r="H571">
            <v>25475.879999999976</v>
          </cell>
          <cell r="I571">
            <v>25719.17</v>
          </cell>
          <cell r="J571">
            <v>41841.229999999981</v>
          </cell>
          <cell r="K571">
            <v>43382.389999999985</v>
          </cell>
          <cell r="L571">
            <v>59447.949999999953</v>
          </cell>
          <cell r="M571">
            <v>63195.650000000081</v>
          </cell>
          <cell r="N571">
            <v>31780.369999999995</v>
          </cell>
          <cell r="O571">
            <v>32268.829999999958</v>
          </cell>
          <cell r="P571">
            <v>35300.74000000002</v>
          </cell>
          <cell r="Q571">
            <v>13388.950000000012</v>
          </cell>
          <cell r="R571">
            <v>12882.320000000007</v>
          </cell>
          <cell r="S571">
            <v>12528.659999999989</v>
          </cell>
          <cell r="T571">
            <v>12194.229999999996</v>
          </cell>
          <cell r="U571">
            <v>13551.040000000008</v>
          </cell>
          <cell r="V571">
            <v>15902.689999999973</v>
          </cell>
          <cell r="W571">
            <v>16082.380000000005</v>
          </cell>
          <cell r="X571">
            <v>16628.290000000008</v>
          </cell>
          <cell r="Y571">
            <v>18457.01999999999</v>
          </cell>
          <cell r="Z571">
            <v>12601.330000000002</v>
          </cell>
          <cell r="AA571">
            <v>12496.970000000001</v>
          </cell>
          <cell r="AB571">
            <v>14872.529999999984</v>
          </cell>
          <cell r="AC571">
            <v>9244.6600000000035</v>
          </cell>
          <cell r="AD571">
            <v>8897.4599999999919</v>
          </cell>
          <cell r="AE571">
            <v>8602.3499999999913</v>
          </cell>
          <cell r="AF571">
            <v>8378.8800000000047</v>
          </cell>
          <cell r="AG571">
            <v>9281.8500000000058</v>
          </cell>
          <cell r="AH571">
            <v>10569.740000000005</v>
          </cell>
          <cell r="AI571">
            <v>10545.420000000013</v>
          </cell>
          <cell r="AJ571">
            <v>11000.430000000022</v>
          </cell>
          <cell r="AK571">
            <v>12534.810000000012</v>
          </cell>
          <cell r="AL571">
            <v>8641.7700000000186</v>
          </cell>
          <cell r="AM571">
            <v>8576.5</v>
          </cell>
          <cell r="AN571">
            <v>10271.900000000009</v>
          </cell>
        </row>
        <row r="572">
          <cell r="E572">
            <v>0</v>
          </cell>
          <cell r="F572">
            <v>0</v>
          </cell>
          <cell r="G572">
            <v>39.70999999999998</v>
          </cell>
          <cell r="H572">
            <v>130.26000000000022</v>
          </cell>
          <cell r="I572">
            <v>216.1899999999996</v>
          </cell>
          <cell r="J572">
            <v>411.05999999999949</v>
          </cell>
          <cell r="K572">
            <v>1101.5800000000017</v>
          </cell>
          <cell r="L572">
            <v>1355.6599999999999</v>
          </cell>
          <cell r="M572">
            <v>1039.7599999999984</v>
          </cell>
          <cell r="N572">
            <v>902.48000000000138</v>
          </cell>
          <cell r="O572">
            <v>1030.7699999999968</v>
          </cell>
          <cell r="P572">
            <v>1303.760000000002</v>
          </cell>
          <cell r="Q572">
            <v>1672.4700000000012</v>
          </cell>
          <cell r="R572">
            <v>1521.3499999999985</v>
          </cell>
          <cell r="S572">
            <v>1697</v>
          </cell>
          <cell r="T572">
            <v>1761.9300000000003</v>
          </cell>
          <cell r="U572">
            <v>1875.8300000000017</v>
          </cell>
          <cell r="V572">
            <v>2826.2700000000041</v>
          </cell>
          <cell r="W572">
            <v>4160.1399999999994</v>
          </cell>
          <cell r="X572">
            <v>4064.8399999999965</v>
          </cell>
          <cell r="Y572">
            <v>2726.6600000000108</v>
          </cell>
          <cell r="Z572">
            <v>1853.9300000000039</v>
          </cell>
          <cell r="AA572">
            <v>1763.4200000000019</v>
          </cell>
          <cell r="AB572">
            <v>1604.5900000000001</v>
          </cell>
          <cell r="AC572">
            <v>1684.510000000002</v>
          </cell>
          <cell r="AD572">
            <v>1532.2800000000025</v>
          </cell>
          <cell r="AE572">
            <v>1709.1900000000023</v>
          </cell>
          <cell r="AF572">
            <v>1774.6799999999967</v>
          </cell>
          <cell r="AG572">
            <v>1889.3100000000013</v>
          </cell>
          <cell r="AH572">
            <v>2846.6500000000015</v>
          </cell>
          <cell r="AI572">
            <v>4180.7299999999959</v>
          </cell>
          <cell r="AJ572">
            <v>4085.8700000000099</v>
          </cell>
          <cell r="AK572">
            <v>2746.4300000000076</v>
          </cell>
          <cell r="AL572">
            <v>1867.3500000000058</v>
          </cell>
          <cell r="AM572">
            <v>1776.2199999999975</v>
          </cell>
          <cell r="AN572">
            <v>1616.2300000000032</v>
          </cell>
        </row>
        <row r="574">
          <cell r="E574">
            <v>0</v>
          </cell>
          <cell r="F574">
            <v>0</v>
          </cell>
          <cell r="G574">
            <v>21.79000000000002</v>
          </cell>
          <cell r="H574">
            <v>131.46000000000026</v>
          </cell>
          <cell r="I574">
            <v>265.22000000000025</v>
          </cell>
          <cell r="J574">
            <v>318.80000000000018</v>
          </cell>
          <cell r="K574">
            <v>379.60000000000036</v>
          </cell>
          <cell r="L574">
            <v>563.39999999999964</v>
          </cell>
          <cell r="M574">
            <v>690.21999999999935</v>
          </cell>
          <cell r="N574">
            <v>710.29000000000087</v>
          </cell>
          <cell r="O574">
            <v>747.90999999999985</v>
          </cell>
          <cell r="P574">
            <v>815.53999999999905</v>
          </cell>
          <cell r="Q574">
            <v>905.54000000000087</v>
          </cell>
          <cell r="R574">
            <v>866.09000000000196</v>
          </cell>
          <cell r="S574">
            <v>967.59999999999854</v>
          </cell>
          <cell r="T574">
            <v>911.14000000000124</v>
          </cell>
          <cell r="U574">
            <v>1009.9300000000003</v>
          </cell>
          <cell r="V574">
            <v>1135.0700000000033</v>
          </cell>
          <cell r="W574">
            <v>1122.9399999999987</v>
          </cell>
          <cell r="X574">
            <v>1158.5</v>
          </cell>
          <cell r="Y574">
            <v>1091.7099999999991</v>
          </cell>
          <cell r="Z574">
            <v>966.81999999999971</v>
          </cell>
          <cell r="AA574">
            <v>939.02000000000044</v>
          </cell>
          <cell r="AB574">
            <v>900.35999999999876</v>
          </cell>
          <cell r="AC574">
            <v>917.57000000000153</v>
          </cell>
          <cell r="AD574">
            <v>877.59000000000196</v>
          </cell>
          <cell r="AE574">
            <v>980.43000000000029</v>
          </cell>
          <cell r="AF574">
            <v>923.29000000000087</v>
          </cell>
          <cell r="AG574">
            <v>1023.3200000000033</v>
          </cell>
          <cell r="AH574">
            <v>1150.1200000000026</v>
          </cell>
          <cell r="AI574">
            <v>1137.8299999999981</v>
          </cell>
          <cell r="AJ574">
            <v>1173.8600000000006</v>
          </cell>
          <cell r="AK574">
            <v>1106.2599999999948</v>
          </cell>
          <cell r="AL574">
            <v>979.7300000000032</v>
          </cell>
          <cell r="AM574">
            <v>951.59999999999854</v>
          </cell>
          <cell r="AN574">
            <v>912.42000000000007</v>
          </cell>
        </row>
        <row r="575">
          <cell r="E575">
            <v>0</v>
          </cell>
          <cell r="F575">
            <v>0</v>
          </cell>
          <cell r="G575">
            <v>0</v>
          </cell>
          <cell r="H575">
            <v>-3.6100000000000136</v>
          </cell>
          <cell r="I575">
            <v>14.779999999999973</v>
          </cell>
          <cell r="J575">
            <v>52.480000000000018</v>
          </cell>
          <cell r="K575">
            <v>63.8900000000001</v>
          </cell>
          <cell r="L575">
            <v>78.479999999999791</v>
          </cell>
          <cell r="M575">
            <v>86.590000000000146</v>
          </cell>
          <cell r="N575">
            <v>95.920000000000982</v>
          </cell>
          <cell r="O575">
            <v>119.86999999999989</v>
          </cell>
          <cell r="P575">
            <v>143.69000000000051</v>
          </cell>
          <cell r="Q575">
            <v>160.54999999999927</v>
          </cell>
          <cell r="R575">
            <v>143.18000000000029</v>
          </cell>
          <cell r="S575">
            <v>160.16000000000076</v>
          </cell>
          <cell r="T575">
            <v>143.22000000000025</v>
          </cell>
          <cell r="U575">
            <v>158.33999999999924</v>
          </cell>
          <cell r="V575">
            <v>182.97000000000116</v>
          </cell>
          <cell r="W575">
            <v>186.25000000000182</v>
          </cell>
          <cell r="X575">
            <v>189.64000000000124</v>
          </cell>
          <cell r="Y575">
            <v>180.03000000000065</v>
          </cell>
          <cell r="Z575">
            <v>150.05999999999949</v>
          </cell>
          <cell r="AA575">
            <v>142.78000000000065</v>
          </cell>
          <cell r="AB575">
            <v>152.88000000000102</v>
          </cell>
          <cell r="AC575">
            <v>173.07999999999993</v>
          </cell>
          <cell r="AD575">
            <v>154.32999999999993</v>
          </cell>
          <cell r="AE575">
            <v>172.57000000000062</v>
          </cell>
          <cell r="AF575">
            <v>154.40000000000055</v>
          </cell>
          <cell r="AG575">
            <v>170.58999999999924</v>
          </cell>
          <cell r="AH575">
            <v>196.94000000000142</v>
          </cell>
          <cell r="AI575">
            <v>200.46000000000095</v>
          </cell>
          <cell r="AJ575">
            <v>204.11999999999898</v>
          </cell>
          <cell r="AK575">
            <v>193.90000000000055</v>
          </cell>
          <cell r="AL575">
            <v>161.76999999999953</v>
          </cell>
          <cell r="AM575">
            <v>153.97999999999956</v>
          </cell>
          <cell r="AN575">
            <v>164.91000000000167</v>
          </cell>
        </row>
      </sheetData>
      <sheetData sheetId="5">
        <row r="436">
          <cell r="E436">
            <v>0</v>
          </cell>
          <cell r="F436">
            <v>-548.9600000000064</v>
          </cell>
          <cell r="G436">
            <v>-1984.6900000000023</v>
          </cell>
          <cell r="H436">
            <v>-3620.7999999999884</v>
          </cell>
          <cell r="I436">
            <v>-6432.4400000000023</v>
          </cell>
          <cell r="J436">
            <v>-13309.329999999987</v>
          </cell>
          <cell r="K436">
            <v>-19322.069999999978</v>
          </cell>
          <cell r="L436">
            <v>-23382.190000000002</v>
          </cell>
          <cell r="M436">
            <v>-27168.590000000026</v>
          </cell>
          <cell r="N436">
            <v>-20964.75</v>
          </cell>
          <cell r="O436">
            <v>-24073.289999999979</v>
          </cell>
          <cell r="P436">
            <v>-31950.319999999978</v>
          </cell>
          <cell r="Q436">
            <v>-31073.87000000001</v>
          </cell>
          <cell r="R436">
            <v>-29844.37000000001</v>
          </cell>
          <cell r="S436">
            <v>-30065.810000000012</v>
          </cell>
          <cell r="T436">
            <v>-29138.509999999995</v>
          </cell>
          <cell r="U436">
            <v>-32975.600000000006</v>
          </cell>
          <cell r="V436">
            <v>-45276.329999999987</v>
          </cell>
          <cell r="W436">
            <v>-48702.25</v>
          </cell>
          <cell r="X436">
            <v>-48386.34</v>
          </cell>
          <cell r="Y436">
            <v>-47116.179999999993</v>
          </cell>
          <cell r="Z436">
            <v>-30455.539999999994</v>
          </cell>
          <cell r="AA436">
            <v>-30075.509999999995</v>
          </cell>
          <cell r="AB436">
            <v>-34457.949999999983</v>
          </cell>
          <cell r="AC436">
            <v>0</v>
          </cell>
          <cell r="AD436">
            <v>0</v>
          </cell>
          <cell r="AE436">
            <v>0</v>
          </cell>
          <cell r="AF436">
            <v>0</v>
          </cell>
          <cell r="AG436">
            <v>-1.0000000009313226E-2</v>
          </cell>
          <cell r="AH436">
            <v>0</v>
          </cell>
          <cell r="AI436">
            <v>0</v>
          </cell>
          <cell r="AJ436">
            <v>0</v>
          </cell>
          <cell r="AK436">
            <v>0</v>
          </cell>
          <cell r="AL436">
            <v>0</v>
          </cell>
          <cell r="AM436">
            <v>0</v>
          </cell>
          <cell r="AN436">
            <v>0</v>
          </cell>
        </row>
        <row r="437">
          <cell r="E437">
            <v>0</v>
          </cell>
          <cell r="F437">
            <v>0</v>
          </cell>
          <cell r="G437">
            <v>-9.9999999999909051E-3</v>
          </cell>
          <cell r="H437">
            <v>-138.95000000000027</v>
          </cell>
          <cell r="I437">
            <v>-301.80999999999949</v>
          </cell>
          <cell r="J437">
            <v>-468.01999999999862</v>
          </cell>
          <cell r="K437">
            <v>-483.04999999999927</v>
          </cell>
          <cell r="L437">
            <v>-504.46999999999753</v>
          </cell>
          <cell r="M437">
            <v>-504.92000000000189</v>
          </cell>
          <cell r="N437">
            <v>-365.14999999999964</v>
          </cell>
          <cell r="O437">
            <v>-350.93000000000029</v>
          </cell>
          <cell r="P437">
            <v>-339.45000000000073</v>
          </cell>
          <cell r="Q437">
            <v>-371.04000000000087</v>
          </cell>
          <cell r="R437">
            <v>-337.18999999999505</v>
          </cell>
          <cell r="S437">
            <v>-375.75</v>
          </cell>
          <cell r="T437">
            <v>-392.68999999999869</v>
          </cell>
          <cell r="U437">
            <v>-415.60000000000218</v>
          </cell>
          <cell r="V437">
            <v>-628.45999999999913</v>
          </cell>
          <cell r="W437">
            <v>-634.21999999999389</v>
          </cell>
          <cell r="X437">
            <v>-647.95999999999185</v>
          </cell>
          <cell r="Y437">
            <v>-609.12000000000262</v>
          </cell>
          <cell r="Z437">
            <v>-413.63999999999942</v>
          </cell>
          <cell r="AA437">
            <v>-394.46000000000276</v>
          </cell>
          <cell r="AB437">
            <v>-358.65999999999985</v>
          </cell>
          <cell r="AC437">
            <v>0</v>
          </cell>
          <cell r="AD437">
            <v>2.0000000004074536E-2</v>
          </cell>
          <cell r="AE437">
            <v>9.9999999983992893E-3</v>
          </cell>
          <cell r="AF437">
            <v>0</v>
          </cell>
          <cell r="AG437">
            <v>0</v>
          </cell>
          <cell r="AH437">
            <v>0</v>
          </cell>
          <cell r="AI437">
            <v>-9.9999999947613105E-3</v>
          </cell>
          <cell r="AJ437">
            <v>0</v>
          </cell>
          <cell r="AK437">
            <v>0</v>
          </cell>
          <cell r="AL437">
            <v>0</v>
          </cell>
          <cell r="AM437">
            <v>9.9999999983992893E-3</v>
          </cell>
          <cell r="AN437">
            <v>0</v>
          </cell>
        </row>
        <row r="439">
          <cell r="E439">
            <v>0</v>
          </cell>
          <cell r="F439">
            <v>0</v>
          </cell>
          <cell r="G439">
            <v>0</v>
          </cell>
          <cell r="H439">
            <v>-28.470000000000027</v>
          </cell>
          <cell r="I439">
            <v>-97.300000000000182</v>
          </cell>
          <cell r="J439">
            <v>-148.3100000000004</v>
          </cell>
          <cell r="K439">
            <v>-146.75999999999931</v>
          </cell>
          <cell r="L439">
            <v>-151.30999999999949</v>
          </cell>
          <cell r="M439">
            <v>-143.32999999999993</v>
          </cell>
          <cell r="N439">
            <v>-141.61999999999898</v>
          </cell>
          <cell r="O439">
            <v>-160.02000000000044</v>
          </cell>
          <cell r="P439">
            <v>-266.28999999999905</v>
          </cell>
          <cell r="Q439">
            <v>-370.76000000000022</v>
          </cell>
          <cell r="R439">
            <v>-354.30000000000109</v>
          </cell>
          <cell r="S439">
            <v>-395.27000000000044</v>
          </cell>
          <cell r="T439">
            <v>-374.63999999999942</v>
          </cell>
          <cell r="U439">
            <v>-412.68999999999869</v>
          </cell>
          <cell r="V439">
            <v>-464.04000000000087</v>
          </cell>
          <cell r="W439">
            <v>-459.25</v>
          </cell>
          <cell r="X439">
            <v>-473.41999999999825</v>
          </cell>
          <cell r="Y439">
            <v>-448.45000000000073</v>
          </cell>
          <cell r="Z439">
            <v>-397.92999999999665</v>
          </cell>
          <cell r="AA439">
            <v>-387.53999999999724</v>
          </cell>
          <cell r="AB439">
            <v>-371.46999999999753</v>
          </cell>
          <cell r="AC439">
            <v>0</v>
          </cell>
          <cell r="AD439">
            <v>-1.0000000000218279E-2</v>
          </cell>
          <cell r="AE439">
            <v>-1.0000000002037268E-2</v>
          </cell>
          <cell r="AF439">
            <v>0</v>
          </cell>
          <cell r="AG439">
            <v>0</v>
          </cell>
          <cell r="AH439">
            <v>-1.0000000002037268E-2</v>
          </cell>
          <cell r="AI439">
            <v>0</v>
          </cell>
          <cell r="AJ439">
            <v>1.0000000002037268E-2</v>
          </cell>
          <cell r="AK439">
            <v>-9.9999999983992893E-3</v>
          </cell>
          <cell r="AL439">
            <v>0</v>
          </cell>
          <cell r="AM439">
            <v>-9.9999999983992893E-3</v>
          </cell>
          <cell r="AN439">
            <v>-9.9999999983992893E-3</v>
          </cell>
        </row>
        <row r="440">
          <cell r="E440">
            <v>0</v>
          </cell>
          <cell r="F440">
            <v>0</v>
          </cell>
          <cell r="G440">
            <v>0</v>
          </cell>
          <cell r="H440">
            <v>-23.949999999999989</v>
          </cell>
          <cell r="I440">
            <v>-52.449999999999932</v>
          </cell>
          <cell r="J440">
            <v>-60.920000000000073</v>
          </cell>
          <cell r="K440">
            <v>-63.069999999999936</v>
          </cell>
          <cell r="L440">
            <v>-64.170000000000073</v>
          </cell>
          <cell r="M440">
            <v>-64.789999999999964</v>
          </cell>
          <cell r="N440">
            <v>-202.78999999999996</v>
          </cell>
          <cell r="O440">
            <v>-332.19000000000051</v>
          </cell>
          <cell r="P440">
            <v>-364.09000000000015</v>
          </cell>
          <cell r="Q440">
            <v>-386.06999999999971</v>
          </cell>
          <cell r="R440">
            <v>-343.43000000000029</v>
          </cell>
          <cell r="S440">
            <v>-382.55000000000109</v>
          </cell>
          <cell r="T440">
            <v>-344.73000000000047</v>
          </cell>
          <cell r="U440">
            <v>-377.5</v>
          </cell>
          <cell r="V440">
            <v>-430.94000000000051</v>
          </cell>
          <cell r="W440">
            <v>-438.64000000000124</v>
          </cell>
          <cell r="X440">
            <v>-446.36000000000058</v>
          </cell>
          <cell r="Y440">
            <v>-427.32999999999993</v>
          </cell>
          <cell r="Z440">
            <v>-361.26000000000022</v>
          </cell>
          <cell r="AA440">
            <v>-344.86000000000058</v>
          </cell>
          <cell r="AB440">
            <v>-370.92000000000007</v>
          </cell>
          <cell r="AC440">
            <v>0</v>
          </cell>
          <cell r="AD440">
            <v>-1.0000000000218279E-2</v>
          </cell>
          <cell r="AE440">
            <v>0</v>
          </cell>
          <cell r="AF440">
            <v>-1.0000000000218279E-2</v>
          </cell>
          <cell r="AG440">
            <v>0</v>
          </cell>
          <cell r="AH440">
            <v>0</v>
          </cell>
          <cell r="AI440">
            <v>0</v>
          </cell>
          <cell r="AJ440">
            <v>0</v>
          </cell>
          <cell r="AK440">
            <v>0</v>
          </cell>
          <cell r="AL440">
            <v>0</v>
          </cell>
          <cell r="AM440">
            <v>0</v>
          </cell>
          <cell r="AN440">
            <v>0</v>
          </cell>
        </row>
      </sheetData>
      <sheetData sheetId="6">
        <row r="55">
          <cell r="C55">
            <v>31.6</v>
          </cell>
          <cell r="D55">
            <v>88.55</v>
          </cell>
          <cell r="E55">
            <v>154.47</v>
          </cell>
          <cell r="F55">
            <v>215.77</v>
          </cell>
          <cell r="G55">
            <v>270.38</v>
          </cell>
          <cell r="H55">
            <v>333.85</v>
          </cell>
          <cell r="I55">
            <v>330.37</v>
          </cell>
          <cell r="J55">
            <v>395.69</v>
          </cell>
          <cell r="K55">
            <v>474.01</v>
          </cell>
          <cell r="L55">
            <v>529.29</v>
          </cell>
          <cell r="M55">
            <v>549.95000000000005</v>
          </cell>
          <cell r="N55">
            <v>745.19</v>
          </cell>
          <cell r="O55">
            <v>724.56</v>
          </cell>
          <cell r="P55">
            <v>546.58000000000004</v>
          </cell>
          <cell r="Q55">
            <v>209.29</v>
          </cell>
          <cell r="R55">
            <v>229.64</v>
          </cell>
          <cell r="S55">
            <v>220.93</v>
          </cell>
          <cell r="T55">
            <v>190.66</v>
          </cell>
          <cell r="U55">
            <v>161.38</v>
          </cell>
          <cell r="V55">
            <v>132.44999999999999</v>
          </cell>
          <cell r="W55">
            <v>97.48</v>
          </cell>
          <cell r="X55">
            <v>72.510000000000005</v>
          </cell>
          <cell r="Y55">
            <v>49.02</v>
          </cell>
          <cell r="Z55">
            <v>16.97</v>
          </cell>
          <cell r="AA55">
            <v>9.5399999999999991</v>
          </cell>
          <cell r="AB55">
            <v>34.32</v>
          </cell>
          <cell r="AC55">
            <v>60.47</v>
          </cell>
          <cell r="AD55">
            <v>13.42</v>
          </cell>
          <cell r="AE55">
            <v>20.51</v>
          </cell>
          <cell r="AF55">
            <v>30.64</v>
          </cell>
          <cell r="AG55">
            <v>49.59</v>
          </cell>
          <cell r="AH55">
            <v>70.73</v>
          </cell>
          <cell r="AI55">
            <v>96.69</v>
          </cell>
          <cell r="AJ55">
            <v>125.08</v>
          </cell>
          <cell r="AK55">
            <v>155.63999999999999</v>
          </cell>
          <cell r="AL55">
            <v>195.78</v>
          </cell>
        </row>
        <row r="56">
          <cell r="C56">
            <v>0</v>
          </cell>
          <cell r="D56">
            <v>0</v>
          </cell>
          <cell r="E56">
            <v>0.05</v>
          </cell>
          <cell r="F56">
            <v>0.09</v>
          </cell>
          <cell r="G56">
            <v>-0.03</v>
          </cell>
          <cell r="H56">
            <v>-0.22</v>
          </cell>
          <cell r="I56">
            <v>0.43</v>
          </cell>
          <cell r="J56">
            <v>2.0299999999999998</v>
          </cell>
          <cell r="K56">
            <v>3.53</v>
          </cell>
          <cell r="L56">
            <v>4.71</v>
          </cell>
          <cell r="M56">
            <v>6.03</v>
          </cell>
          <cell r="N56">
            <v>10.36</v>
          </cell>
          <cell r="O56">
            <v>13.62</v>
          </cell>
          <cell r="P56">
            <v>13.93</v>
          </cell>
          <cell r="Q56">
            <v>6.97</v>
          </cell>
          <cell r="R56">
            <v>9.75</v>
          </cell>
          <cell r="S56">
            <v>11.99</v>
          </cell>
          <cell r="T56">
            <v>14.09</v>
          </cell>
          <cell r="U56">
            <v>18.34</v>
          </cell>
          <cell r="V56">
            <v>24.75</v>
          </cell>
          <cell r="W56">
            <v>30.41</v>
          </cell>
          <cell r="X56">
            <v>36.83</v>
          </cell>
          <cell r="Y56">
            <v>43.59</v>
          </cell>
          <cell r="Z56">
            <v>49.85</v>
          </cell>
          <cell r="AA56">
            <v>72.97</v>
          </cell>
          <cell r="AB56">
            <v>78</v>
          </cell>
          <cell r="AC56">
            <v>85.7</v>
          </cell>
          <cell r="AD56">
            <v>14.44</v>
          </cell>
          <cell r="AE56">
            <v>18.03</v>
          </cell>
          <cell r="AF56">
            <v>22.94</v>
          </cell>
          <cell r="AG56">
            <v>33.47</v>
          </cell>
          <cell r="AH56">
            <v>44.57</v>
          </cell>
          <cell r="AI56">
            <v>56.21</v>
          </cell>
          <cell r="AJ56">
            <v>67.56</v>
          </cell>
          <cell r="AK56">
            <v>79.73</v>
          </cell>
          <cell r="AL56">
            <v>94.76</v>
          </cell>
        </row>
        <row r="58">
          <cell r="C58">
            <v>0</v>
          </cell>
          <cell r="D58">
            <v>0</v>
          </cell>
          <cell r="E58">
            <v>0.03</v>
          </cell>
          <cell r="F58">
            <v>0.19</v>
          </cell>
          <cell r="G58">
            <v>0.55000000000000004</v>
          </cell>
          <cell r="H58">
            <v>1</v>
          </cell>
          <cell r="I58">
            <v>1.26</v>
          </cell>
          <cell r="J58">
            <v>1.96</v>
          </cell>
          <cell r="K58">
            <v>3</v>
          </cell>
          <cell r="L58">
            <v>4.2300000000000004</v>
          </cell>
          <cell r="M58">
            <v>5.49</v>
          </cell>
          <cell r="N58">
            <v>8.91</v>
          </cell>
          <cell r="O58">
            <v>10.47</v>
          </cell>
          <cell r="P58">
            <v>9.6999999999999993</v>
          </cell>
          <cell r="Q58">
            <v>4.53</v>
          </cell>
          <cell r="R58">
            <v>5.99</v>
          </cell>
          <cell r="S58">
            <v>7</v>
          </cell>
          <cell r="T58">
            <v>7.72</v>
          </cell>
          <cell r="U58">
            <v>8.92</v>
          </cell>
          <cell r="V58">
            <v>10.66</v>
          </cell>
          <cell r="W58">
            <v>12.33</v>
          </cell>
          <cell r="X58">
            <v>14.77</v>
          </cell>
          <cell r="Y58">
            <v>17.47</v>
          </cell>
          <cell r="Z58">
            <v>20.010000000000002</v>
          </cell>
          <cell r="AA58">
            <v>29.66</v>
          </cell>
          <cell r="AB58">
            <v>32.36</v>
          </cell>
          <cell r="AC58">
            <v>36.29</v>
          </cell>
          <cell r="AD58">
            <v>6.21</v>
          </cell>
          <cell r="AE58">
            <v>7.85</v>
          </cell>
          <cell r="AF58">
            <v>10.02</v>
          </cell>
          <cell r="AG58">
            <v>14.29</v>
          </cell>
          <cell r="AH58">
            <v>18.420000000000002</v>
          </cell>
          <cell r="AI58">
            <v>22.91</v>
          </cell>
          <cell r="AJ58">
            <v>27.68</v>
          </cell>
          <cell r="AK58">
            <v>33</v>
          </cell>
          <cell r="AL58">
            <v>39.630000000000003</v>
          </cell>
        </row>
        <row r="59">
          <cell r="C59">
            <v>0</v>
          </cell>
          <cell r="D59">
            <v>0</v>
          </cell>
          <cell r="E59">
            <v>0</v>
          </cell>
          <cell r="F59">
            <v>-0.04</v>
          </cell>
          <cell r="G59">
            <v>-0.12</v>
          </cell>
          <cell r="H59">
            <v>-0.18</v>
          </cell>
          <cell r="I59">
            <v>-0.16</v>
          </cell>
          <cell r="J59">
            <v>-0.14000000000000001</v>
          </cell>
          <cell r="K59">
            <v>-0.1</v>
          </cell>
          <cell r="L59">
            <v>-0.2</v>
          </cell>
          <cell r="M59">
            <v>-0.54</v>
          </cell>
          <cell r="N59">
            <v>-1.34</v>
          </cell>
          <cell r="O59">
            <v>-1.99</v>
          </cell>
          <cell r="P59">
            <v>-2.11</v>
          </cell>
          <cell r="Q59">
            <v>-1.07</v>
          </cell>
          <cell r="R59">
            <v>-1.51</v>
          </cell>
          <cell r="S59">
            <v>-1.84</v>
          </cell>
          <cell r="T59">
            <v>-2.11</v>
          </cell>
          <cell r="U59">
            <v>-2.52</v>
          </cell>
          <cell r="V59">
            <v>-3.1</v>
          </cell>
          <cell r="W59">
            <v>-3.67</v>
          </cell>
          <cell r="X59">
            <v>-4.4800000000000004</v>
          </cell>
          <cell r="Y59">
            <v>-5.36</v>
          </cell>
          <cell r="Z59">
            <v>-6.23</v>
          </cell>
          <cell r="AA59">
            <v>-8.68</v>
          </cell>
          <cell r="AB59">
            <v>-8.31</v>
          </cell>
          <cell r="AC59">
            <v>-8.18</v>
          </cell>
          <cell r="AD59">
            <v>-1.23</v>
          </cell>
          <cell r="AE59">
            <v>-1.37</v>
          </cell>
          <cell r="AF59">
            <v>-1.52</v>
          </cell>
          <cell r="AG59">
            <v>-1.86</v>
          </cell>
          <cell r="AH59">
            <v>-2.04</v>
          </cell>
          <cell r="AI59">
            <v>-2.15</v>
          </cell>
          <cell r="AJ59">
            <v>-2.23</v>
          </cell>
          <cell r="AK59">
            <v>-2.2999999999999998</v>
          </cell>
          <cell r="AL59">
            <v>-2.36</v>
          </cell>
        </row>
      </sheetData>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3 Final EM&amp;V"/>
      <sheetName val="Tariff Table"/>
      <sheetName val="EMV Results"/>
    </sheetNames>
    <sheetDataSet>
      <sheetData sheetId="0">
        <row r="22">
          <cell r="AL22">
            <v>1831459.6889999998</v>
          </cell>
          <cell r="AP22">
            <v>286244.42</v>
          </cell>
          <cell r="AR22">
            <v>619125.67000000016</v>
          </cell>
          <cell r="AS22">
            <v>500775.76</v>
          </cell>
        </row>
      </sheetData>
      <sheetData sheetId="1"/>
      <sheetData sheetId="2"/>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kW Savings"/>
      <sheetName val="Ex Post Gross TD Calc"/>
      <sheetName val="NTG TD Calc"/>
      <sheetName val="EO TD Carrying Costs"/>
      <sheetName val="Jnl Import"/>
      <sheetName val="EMV Results"/>
      <sheetName val="Summary"/>
    </sheetNames>
    <sheetDataSet>
      <sheetData sheetId="0" refreshError="1"/>
      <sheetData sheetId="1" refreshError="1"/>
      <sheetData sheetId="2" refreshError="1"/>
      <sheetData sheetId="3" refreshError="1"/>
      <sheetData sheetId="4">
        <row r="572">
          <cell r="AC572">
            <v>6493.8400000000111</v>
          </cell>
          <cell r="AD572">
            <v>6849.6500000000087</v>
          </cell>
          <cell r="AE572">
            <v>6015.9800000000105</v>
          </cell>
          <cell r="AF572">
            <v>5104.7399999999907</v>
          </cell>
          <cell r="AG572">
            <v>3719.1899999999878</v>
          </cell>
          <cell r="AH572">
            <v>6019.960000000021</v>
          </cell>
          <cell r="AI572">
            <v>1209.2000000000116</v>
          </cell>
          <cell r="AJ572">
            <v>-9874.2599999999802</v>
          </cell>
          <cell r="AK572">
            <v>-7988.9499999999825</v>
          </cell>
          <cell r="AL572">
            <v>-5297.3999999999942</v>
          </cell>
          <cell r="AM572">
            <v>-5700.6999999999971</v>
          </cell>
          <cell r="AN572">
            <v>-8591.2399999999907</v>
          </cell>
          <cell r="AO572">
            <v>-5704.68</v>
          </cell>
          <cell r="AP572">
            <v>-5274.1699999999983</v>
          </cell>
          <cell r="AQ572">
            <v>-5837.5199999999968</v>
          </cell>
          <cell r="AR572">
            <v>-5895.8900000000067</v>
          </cell>
          <cell r="AS572">
            <v>-6367.3000000000102</v>
          </cell>
          <cell r="AT572">
            <v>-11576.62999999999</v>
          </cell>
          <cell r="AU572">
            <v>-14362.579999999958</v>
          </cell>
          <cell r="AV572">
            <v>-13712.289999999994</v>
          </cell>
          <cell r="AW572">
            <v>-10830.559999999998</v>
          </cell>
          <cell r="AX572">
            <v>-6013.7399999999907</v>
          </cell>
        </row>
        <row r="573">
          <cell r="AC573">
            <v>4.3700000000000045</v>
          </cell>
          <cell r="AD573">
            <v>-3.410000000000025</v>
          </cell>
          <cell r="AE573">
            <v>-55.590000000000032</v>
          </cell>
          <cell r="AF573">
            <v>-164.78999999999974</v>
          </cell>
          <cell r="AG573">
            <v>-313.63999999999987</v>
          </cell>
          <cell r="AH573">
            <v>-614.38000000000011</v>
          </cell>
          <cell r="AI573">
            <v>-1072.6800000000003</v>
          </cell>
          <cell r="AJ573">
            <v>-1272.58</v>
          </cell>
          <cell r="AK573">
            <v>-1062.159999999998</v>
          </cell>
          <cell r="AL573">
            <v>-914.53999999999905</v>
          </cell>
          <cell r="AM573">
            <v>-1057.58</v>
          </cell>
          <cell r="AN573">
            <v>-2070.0699999999997</v>
          </cell>
          <cell r="AO573">
            <v>-2215.4900000000052</v>
          </cell>
          <cell r="AP573">
            <v>-1903.8700000000026</v>
          </cell>
          <cell r="AQ573">
            <v>-2173.5999999999949</v>
          </cell>
          <cell r="AR573">
            <v>-2209.3600000000006</v>
          </cell>
          <cell r="AS573">
            <v>-2377.9399999999987</v>
          </cell>
          <cell r="AT573">
            <v>-3455.8600000000006</v>
          </cell>
          <cell r="AU573">
            <v>-5528.2500000000036</v>
          </cell>
          <cell r="AV573">
            <v>-5303.6399999999921</v>
          </cell>
          <cell r="AW573">
            <v>-3249.16</v>
          </cell>
          <cell r="AX573">
            <v>-2354.5200000000004</v>
          </cell>
        </row>
        <row r="575">
          <cell r="AC575">
            <v>13.469999999999999</v>
          </cell>
          <cell r="AD575">
            <v>15.439999999999998</v>
          </cell>
          <cell r="AE575">
            <v>-39.599999999999909</v>
          </cell>
          <cell r="AF575">
            <v>-106.27999999999997</v>
          </cell>
          <cell r="AG575">
            <v>-150.38000000000011</v>
          </cell>
          <cell r="AH575">
            <v>-198.96000000000049</v>
          </cell>
          <cell r="AI575">
            <v>-254.47999999999911</v>
          </cell>
          <cell r="AJ575">
            <v>-355.24000000000069</v>
          </cell>
          <cell r="AK575">
            <v>-478.18999999999869</v>
          </cell>
          <cell r="AL575">
            <v>-604.14999999999782</v>
          </cell>
          <cell r="AM575">
            <v>-629.29000000000087</v>
          </cell>
          <cell r="AN575">
            <v>-1070.2099999999991</v>
          </cell>
          <cell r="AO575">
            <v>-906.93999999999869</v>
          </cell>
          <cell r="AP575">
            <v>-748.87000000000262</v>
          </cell>
          <cell r="AQ575">
            <v>-878.47999999999956</v>
          </cell>
          <cell r="AR575">
            <v>-886.39999999999782</v>
          </cell>
          <cell r="AS575">
            <v>-999.65999999999622</v>
          </cell>
          <cell r="AT575">
            <v>-1038.6200000000026</v>
          </cell>
          <cell r="AU575">
            <v>-972.76000000000568</v>
          </cell>
          <cell r="AV575">
            <v>-980.34999999999854</v>
          </cell>
          <cell r="AW575">
            <v>-905.97000000000116</v>
          </cell>
          <cell r="AX575">
            <v>-868.13999999999578</v>
          </cell>
        </row>
        <row r="576">
          <cell r="AC576">
            <v>-1.1100000000000136</v>
          </cell>
          <cell r="AD576">
            <v>-0.23000000000001819</v>
          </cell>
          <cell r="AE576">
            <v>-1.9500000000000455</v>
          </cell>
          <cell r="AF576">
            <v>-0.91999999999995907</v>
          </cell>
          <cell r="AG576">
            <v>5.010000000000673</v>
          </cell>
          <cell r="AH576">
            <v>27.850000000000364</v>
          </cell>
          <cell r="AI576">
            <v>23.739999999999782</v>
          </cell>
          <cell r="AJ576">
            <v>41.479999999999563</v>
          </cell>
          <cell r="AK576">
            <v>49.009999999999309</v>
          </cell>
          <cell r="AL576">
            <v>-4.9700000000002547</v>
          </cell>
          <cell r="AM576">
            <v>6.9899999999997817</v>
          </cell>
          <cell r="AN576">
            <v>-237.47000000000116</v>
          </cell>
          <cell r="AO576">
            <v>-187.56999999999994</v>
          </cell>
          <cell r="AP576">
            <v>-88.1099999999999</v>
          </cell>
          <cell r="AQ576">
            <v>-83.019999999999982</v>
          </cell>
          <cell r="AR576">
            <v>-77.180000000000064</v>
          </cell>
          <cell r="AS576">
            <v>-95.2199999999998</v>
          </cell>
          <cell r="AT576">
            <v>-152.86999999999989</v>
          </cell>
          <cell r="AU576">
            <v>-145.6899999999996</v>
          </cell>
          <cell r="AV576">
            <v>-152.74999999999955</v>
          </cell>
          <cell r="AW576">
            <v>-146.66000000000031</v>
          </cell>
          <cell r="AX576">
            <v>-77.529999999999745</v>
          </cell>
        </row>
      </sheetData>
      <sheetData sheetId="5">
        <row r="437">
          <cell r="AC437">
            <v>-144.7100000000064</v>
          </cell>
          <cell r="AD437">
            <v>-10.369999999995343</v>
          </cell>
          <cell r="AE437">
            <v>145.38999999999942</v>
          </cell>
          <cell r="AF437">
            <v>52.94999999999709</v>
          </cell>
          <cell r="AG437">
            <v>385.05000000000291</v>
          </cell>
          <cell r="AH437">
            <v>427.90999999997439</v>
          </cell>
          <cell r="AI437">
            <v>117.36999999999534</v>
          </cell>
          <cell r="AJ437">
            <v>-42.910000000003492</v>
          </cell>
          <cell r="AK437">
            <v>590.27999999999884</v>
          </cell>
          <cell r="AL437">
            <v>657.81999999999243</v>
          </cell>
          <cell r="AM437">
            <v>608.4600000000064</v>
          </cell>
          <cell r="AN437">
            <v>-1387.6100000000006</v>
          </cell>
          <cell r="AO437">
            <v>-1640.0500000000029</v>
          </cell>
          <cell r="AP437">
            <v>-1484.4700000000012</v>
          </cell>
          <cell r="AQ437">
            <v>-1512.1000000000058</v>
          </cell>
          <cell r="AR437">
            <v>-1528.0199999999968</v>
          </cell>
          <cell r="AS437">
            <v>-1603.2500000000073</v>
          </cell>
          <cell r="AT437">
            <v>-2102.2800000000134</v>
          </cell>
          <cell r="AU437">
            <v>-2169.3099999999977</v>
          </cell>
          <cell r="AV437">
            <v>-2222.390000000014</v>
          </cell>
          <cell r="AW437">
            <v>-2407.4300000000221</v>
          </cell>
          <cell r="AX437">
            <v>-1523.9500000000044</v>
          </cell>
        </row>
        <row r="438">
          <cell r="AC438">
            <v>-2.0300000000000011</v>
          </cell>
          <cell r="AD438">
            <v>-6.2599999999999909</v>
          </cell>
          <cell r="AE438">
            <v>-18.169999999999959</v>
          </cell>
          <cell r="AF438">
            <v>-41.3599999999999</v>
          </cell>
          <cell r="AG438">
            <v>-74.629999999999654</v>
          </cell>
          <cell r="AH438">
            <v>-138.0600000000004</v>
          </cell>
          <cell r="AI438">
            <v>-154.75</v>
          </cell>
          <cell r="AJ438">
            <v>-200.4900000000016</v>
          </cell>
          <cell r="AK438">
            <v>-228.19000000000233</v>
          </cell>
          <cell r="AL438">
            <v>-187.76000000000022</v>
          </cell>
          <cell r="AM438">
            <v>-222.46000000000095</v>
          </cell>
          <cell r="AN438">
            <v>-431.15999999999985</v>
          </cell>
          <cell r="AO438">
            <v>2920.8100000000013</v>
          </cell>
          <cell r="AP438">
            <v>2512.1999999999971</v>
          </cell>
          <cell r="AQ438">
            <v>2880.619999999999</v>
          </cell>
          <cell r="AR438">
            <v>2927.4000000000015</v>
          </cell>
          <cell r="AS438">
            <v>3149.8500000000022</v>
          </cell>
          <cell r="AT438">
            <v>4638.4500000000044</v>
          </cell>
          <cell r="AU438">
            <v>4633.7700000000077</v>
          </cell>
          <cell r="AV438">
            <v>4694.0199999999968</v>
          </cell>
          <cell r="AW438">
            <v>4370.0300000000025</v>
          </cell>
          <cell r="AX438">
            <v>3120.09</v>
          </cell>
        </row>
        <row r="440">
          <cell r="AC440">
            <v>0</v>
          </cell>
          <cell r="AD440">
            <v>-2.3599999999999852</v>
          </cell>
          <cell r="AE440">
            <v>-15.409999999999968</v>
          </cell>
          <cell r="AF440">
            <v>-30.590000000000146</v>
          </cell>
          <cell r="AG440">
            <v>-42.990000000000236</v>
          </cell>
          <cell r="AH440">
            <v>-63.339999999999236</v>
          </cell>
          <cell r="AI440">
            <v>-76.780000000000655</v>
          </cell>
          <cell r="AJ440">
            <v>-47.739999999999782</v>
          </cell>
          <cell r="AK440">
            <v>24.350000000000364</v>
          </cell>
          <cell r="AL440">
            <v>81.910000000003492</v>
          </cell>
          <cell r="AM440">
            <v>203.97000000000116</v>
          </cell>
          <cell r="AN440">
            <v>200.97999999999593</v>
          </cell>
          <cell r="AO440">
            <v>1335.9799999999959</v>
          </cell>
          <cell r="AP440">
            <v>1107.9500000000007</v>
          </cell>
          <cell r="AQ440">
            <v>1310.4499999999971</v>
          </cell>
          <cell r="AR440">
            <v>1322.9399999999987</v>
          </cell>
          <cell r="AS440">
            <v>1485.6399999999994</v>
          </cell>
          <cell r="AT440">
            <v>1647.6600000000035</v>
          </cell>
          <cell r="AU440">
            <v>1566.5299999999952</v>
          </cell>
          <cell r="AV440">
            <v>1576.4700000000012</v>
          </cell>
          <cell r="AW440">
            <v>1460.9900000000016</v>
          </cell>
          <cell r="AX440">
            <v>1304.0599999999977</v>
          </cell>
        </row>
        <row r="441">
          <cell r="AC441">
            <v>-2.3100000000000023</v>
          </cell>
          <cell r="AD441">
            <v>-25.129999999999995</v>
          </cell>
          <cell r="AE441">
            <v>-52.590000000000032</v>
          </cell>
          <cell r="AF441">
            <v>-48.909999999999854</v>
          </cell>
          <cell r="AG441">
            <v>-9.5199999999999818</v>
          </cell>
          <cell r="AH441">
            <v>37.260000000000218</v>
          </cell>
          <cell r="AI441">
            <v>34.900000000000546</v>
          </cell>
          <cell r="AJ441">
            <v>35.260000000000218</v>
          </cell>
          <cell r="AK441">
            <v>33.880000000000109</v>
          </cell>
          <cell r="AL441">
            <v>27.329999999999927</v>
          </cell>
          <cell r="AM441">
            <v>24.530000000000655</v>
          </cell>
          <cell r="AN441">
            <v>-24.399999999998727</v>
          </cell>
          <cell r="AO441">
            <v>292.63999999999965</v>
          </cell>
          <cell r="AP441">
            <v>159.39999999999986</v>
          </cell>
          <cell r="AQ441">
            <v>168.27000000000021</v>
          </cell>
          <cell r="AR441">
            <v>161.3599999999999</v>
          </cell>
          <cell r="AS441">
            <v>188.62999999999988</v>
          </cell>
          <cell r="AT441">
            <v>335.44999999999982</v>
          </cell>
          <cell r="AU441">
            <v>333.17000000000007</v>
          </cell>
          <cell r="AV441">
            <v>341.91999999999962</v>
          </cell>
          <cell r="AW441">
            <v>325.44000000000005</v>
          </cell>
          <cell r="AX441">
            <v>166.11999999999966</v>
          </cell>
        </row>
      </sheetData>
      <sheetData sheetId="6">
        <row r="55">
          <cell r="AA55">
            <v>8.57</v>
          </cell>
          <cell r="AB55">
            <v>26.6</v>
          </cell>
          <cell r="AC55">
            <v>46.07</v>
          </cell>
          <cell r="AD55">
            <v>9.81</v>
          </cell>
          <cell r="AE55">
            <v>14.04</v>
          </cell>
          <cell r="AF55">
            <v>20.02</v>
          </cell>
          <cell r="AG55">
            <v>29.89</v>
          </cell>
          <cell r="AH55">
            <v>31.76</v>
          </cell>
          <cell r="AI55">
            <v>26.96</v>
          </cell>
          <cell r="AJ55">
            <v>22.86</v>
          </cell>
          <cell r="AK55">
            <v>18.57</v>
          </cell>
          <cell r="AL55">
            <v>8.06</v>
          </cell>
          <cell r="AM55">
            <v>-16.920000000000002</v>
          </cell>
          <cell r="AN55">
            <v>-46.3</v>
          </cell>
          <cell r="AO55">
            <v>-76.5</v>
          </cell>
          <cell r="AP55">
            <v>-110.57</v>
          </cell>
          <cell r="AQ55">
            <v>-145.94</v>
          </cell>
          <cell r="AR55">
            <v>-195.79</v>
          </cell>
          <cell r="AS55">
            <v>-265.38</v>
          </cell>
          <cell r="AT55">
            <v>-341.77</v>
          </cell>
          <cell r="AU55">
            <v>-411.3</v>
          </cell>
          <cell r="AV55">
            <v>-468.67</v>
          </cell>
        </row>
        <row r="56">
          <cell r="AA56">
            <v>0</v>
          </cell>
          <cell r="AB56">
            <v>-0.01</v>
          </cell>
          <cell r="AC56">
            <v>-0.13</v>
          </cell>
          <cell r="AD56">
            <v>-0.08</v>
          </cell>
          <cell r="AE56">
            <v>-0.25</v>
          </cell>
          <cell r="AF56">
            <v>-0.66</v>
          </cell>
          <cell r="AG56">
            <v>-1.7</v>
          </cell>
          <cell r="AH56">
            <v>-3.42</v>
          </cell>
          <cell r="AI56">
            <v>-5.63</v>
          </cell>
          <cell r="AJ56">
            <v>-8.06</v>
          </cell>
          <cell r="AK56">
            <v>-11.01</v>
          </cell>
          <cell r="AL56">
            <v>-16.010000000000002</v>
          </cell>
          <cell r="AM56">
            <v>-41.12</v>
          </cell>
          <cell r="AN56">
            <v>-38.630000000000003</v>
          </cell>
          <cell r="AO56">
            <v>-36.340000000000003</v>
          </cell>
          <cell r="AP56">
            <v>-34.81</v>
          </cell>
          <cell r="AQ56">
            <v>-32.090000000000003</v>
          </cell>
          <cell r="AR56">
            <v>-28.19</v>
          </cell>
          <cell r="AS56">
            <v>-27.83</v>
          </cell>
          <cell r="AT56">
            <v>-31.54</v>
          </cell>
          <cell r="AU56">
            <v>-30.65</v>
          </cell>
          <cell r="AV56">
            <v>-27.38</v>
          </cell>
        </row>
        <row r="58">
          <cell r="AA58">
            <v>0.02</v>
          </cell>
          <cell r="AB58">
            <v>0.05</v>
          </cell>
          <cell r="AC58">
            <v>0</v>
          </cell>
          <cell r="AD58">
            <v>-0.04</v>
          </cell>
          <cell r="AE58">
            <v>-0.14000000000000001</v>
          </cell>
          <cell r="AF58">
            <v>-0.31</v>
          </cell>
          <cell r="AG58">
            <v>-0.66</v>
          </cell>
          <cell r="AH58">
            <v>-1.1599999999999999</v>
          </cell>
          <cell r="AI58">
            <v>-1.87</v>
          </cell>
          <cell r="AJ58">
            <v>-2.8</v>
          </cell>
          <cell r="AK58">
            <v>-3.91</v>
          </cell>
          <cell r="AL58">
            <v>-5.64</v>
          </cell>
          <cell r="AM58">
            <v>-14.1</v>
          </cell>
          <cell r="AN58">
            <v>-12.54</v>
          </cell>
          <cell r="AO58">
            <v>-11.03</v>
          </cell>
          <cell r="AP58">
            <v>-9.65</v>
          </cell>
          <cell r="AQ58">
            <v>-7.78</v>
          </cell>
          <cell r="AR58">
            <v>-5.46</v>
          </cell>
          <cell r="AS58">
            <v>-2.83</v>
          </cell>
          <cell r="AT58">
            <v>-0.17</v>
          </cell>
          <cell r="AU58">
            <v>2.46</v>
          </cell>
          <cell r="AV58">
            <v>4.6500000000000004</v>
          </cell>
        </row>
        <row r="59">
          <cell r="AA59">
            <v>0</v>
          </cell>
          <cell r="AB59">
            <v>-0.04</v>
          </cell>
          <cell r="AC59">
            <v>-0.16</v>
          </cell>
          <cell r="AD59">
            <v>-0.05</v>
          </cell>
          <cell r="AE59">
            <v>-7.0000000000000007E-2</v>
          </cell>
          <cell r="AF59">
            <v>-7.0000000000000007E-2</v>
          </cell>
          <cell r="AG59">
            <v>-0.04</v>
          </cell>
          <cell r="AH59">
            <v>0.02</v>
          </cell>
          <cell r="AI59">
            <v>0.12</v>
          </cell>
          <cell r="AJ59">
            <v>0.21</v>
          </cell>
          <cell r="AK59">
            <v>0.28000000000000003</v>
          </cell>
          <cell r="AL59">
            <v>0.12</v>
          </cell>
          <cell r="AM59">
            <v>-0.04</v>
          </cell>
          <cell r="AN59">
            <v>0.32</v>
          </cell>
          <cell r="AO59">
            <v>0.66</v>
          </cell>
          <cell r="AP59">
            <v>1.04</v>
          </cell>
          <cell r="AQ59">
            <v>1.45</v>
          </cell>
          <cell r="AR59">
            <v>2.08</v>
          </cell>
          <cell r="AS59">
            <v>2.93</v>
          </cell>
          <cell r="AT59">
            <v>3.81</v>
          </cell>
          <cell r="AU59">
            <v>4.6900000000000004</v>
          </cell>
          <cell r="AV59">
            <v>5.41</v>
          </cell>
        </row>
      </sheetData>
      <sheetData sheetId="7" refreshError="1"/>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 Final EM&amp;V"/>
      <sheetName val="Tariff Table"/>
      <sheetName val="EMV Results"/>
    </sheetNames>
    <sheetDataSet>
      <sheetData sheetId="0">
        <row r="20">
          <cell r="R20">
            <v>1600473.2590000001</v>
          </cell>
          <cell r="V20">
            <v>310910.24</v>
          </cell>
          <cell r="X20">
            <v>318131.55000000005</v>
          </cell>
          <cell r="Y20">
            <v>264768.76</v>
          </cell>
        </row>
      </sheetData>
      <sheetData sheetId="1" refreshError="1"/>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2 Final EM&amp;V"/>
      <sheetName val="Tariff Table"/>
      <sheetName val="EMV Results"/>
    </sheetNames>
    <sheetDataSet>
      <sheetData sheetId="0">
        <row r="20">
          <cell r="AL20">
            <v>2070956.0390000003</v>
          </cell>
          <cell r="AP20">
            <v>283722.18000000005</v>
          </cell>
          <cell r="AR20">
            <v>576681.62</v>
          </cell>
          <cell r="AS20">
            <v>212408.31999999998</v>
          </cell>
        </row>
      </sheetData>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refreshError="1"/>
      <sheetData sheetId="1" refreshError="1"/>
      <sheetData sheetId="2" refreshError="1"/>
      <sheetData sheetId="3" refreshError="1"/>
      <sheetData sheetId="4">
        <row r="571">
          <cell r="Q571">
            <v>-2408.8799999999901</v>
          </cell>
          <cell r="R571">
            <v>-3144.3899999999994</v>
          </cell>
          <cell r="S571">
            <v>-3624.8499999999913</v>
          </cell>
          <cell r="T571">
            <v>-4133.4499999999825</v>
          </cell>
          <cell r="U571">
            <v>-4927.1300000000047</v>
          </cell>
          <cell r="V571">
            <v>-9414.859999999986</v>
          </cell>
          <cell r="W571">
            <v>-13776.20000000007</v>
          </cell>
          <cell r="X571">
            <v>-15688.630000000063</v>
          </cell>
          <cell r="Y571">
            <v>-13694.340000000026</v>
          </cell>
          <cell r="Z571">
            <v>-8529.5599999999686</v>
          </cell>
          <cell r="AA571">
            <v>-8619.4300000000803</v>
          </cell>
          <cell r="AB571">
            <v>-9770.2200000000303</v>
          </cell>
          <cell r="AC571">
            <v>-5600.5100000000093</v>
          </cell>
          <cell r="AD571">
            <v>-5358.5399999999936</v>
          </cell>
          <cell r="AE571">
            <v>-5788.1200000000099</v>
          </cell>
          <cell r="AF571">
            <v>-5570.9100000000035</v>
          </cell>
          <cell r="AG571">
            <v>-6492.6600000000035</v>
          </cell>
          <cell r="AH571">
            <v>-11105.249999999942</v>
          </cell>
          <cell r="AI571">
            <v>-15519.619999999995</v>
          </cell>
          <cell r="AJ571">
            <v>-14596.25999999998</v>
          </cell>
          <cell r="AK571">
            <v>-10082.270000000019</v>
          </cell>
          <cell r="AL571">
            <v>-5946.570000000007</v>
          </cell>
          <cell r="AM571">
            <v>-5830.9099999999889</v>
          </cell>
          <cell r="AN571">
            <v>-6187.6000000000058</v>
          </cell>
        </row>
        <row r="572">
          <cell r="Q572">
            <v>1.6299999999999955</v>
          </cell>
          <cell r="R572">
            <v>16.759999999999991</v>
          </cell>
          <cell r="S572">
            <v>46.529999999999973</v>
          </cell>
          <cell r="T572">
            <v>71.809999999999491</v>
          </cell>
          <cell r="U572">
            <v>107.01999999999862</v>
          </cell>
          <cell r="V572">
            <v>198.73999999999978</v>
          </cell>
          <cell r="W572">
            <v>461.02999999999702</v>
          </cell>
          <cell r="X572">
            <v>599.27000000000044</v>
          </cell>
          <cell r="Y572">
            <v>312.79999999999927</v>
          </cell>
          <cell r="Z572">
            <v>231.96999999999753</v>
          </cell>
          <cell r="AA572">
            <v>205.54999999999927</v>
          </cell>
          <cell r="AB572">
            <v>161.16999999999825</v>
          </cell>
          <cell r="AC572">
            <v>191.80999999999767</v>
          </cell>
          <cell r="AD572">
            <v>172.09000000000015</v>
          </cell>
          <cell r="AE572">
            <v>180.79999999999927</v>
          </cell>
          <cell r="AF572">
            <v>192.27999999999884</v>
          </cell>
          <cell r="AG572">
            <v>200.09000000000015</v>
          </cell>
          <cell r="AH572">
            <v>257.07999999999447</v>
          </cell>
          <cell r="AI572">
            <v>1125.7099999999991</v>
          </cell>
          <cell r="AJ572">
            <v>1030.3699999999953</v>
          </cell>
          <cell r="AK572">
            <v>245.56999999999971</v>
          </cell>
          <cell r="AL572">
            <v>197.08999999999651</v>
          </cell>
          <cell r="AM572">
            <v>184.08999999999651</v>
          </cell>
          <cell r="AN572">
            <v>173.14999999999782</v>
          </cell>
        </row>
        <row r="574">
          <cell r="Q574">
            <v>4.9999999999997158E-2</v>
          </cell>
          <cell r="R574">
            <v>-7.1299999999998818</v>
          </cell>
          <cell r="S574">
            <v>-13.030000000000655</v>
          </cell>
          <cell r="T574">
            <v>0.93000000000029104</v>
          </cell>
          <cell r="U574">
            <v>17.470000000000255</v>
          </cell>
          <cell r="V574">
            <v>-2.4700000000011642</v>
          </cell>
          <cell r="W574">
            <v>83.980000000001382</v>
          </cell>
          <cell r="X574">
            <v>195.82999999999447</v>
          </cell>
          <cell r="Y574">
            <v>93.070000000003347</v>
          </cell>
          <cell r="Z574">
            <v>41.729999999999563</v>
          </cell>
          <cell r="AA574">
            <v>-31.609999999996944</v>
          </cell>
          <cell r="AB574">
            <v>-244.1299999999901</v>
          </cell>
          <cell r="AC574">
            <v>-268.50999999999476</v>
          </cell>
          <cell r="AD574">
            <v>-255.41000000000349</v>
          </cell>
          <cell r="AE574">
            <v>-295.27000000001135</v>
          </cell>
          <cell r="AF574">
            <v>-285.25</v>
          </cell>
          <cell r="AG574">
            <v>-313.41999999999825</v>
          </cell>
          <cell r="AH574">
            <v>-431.2300000000032</v>
          </cell>
          <cell r="AI574">
            <v>-437.60999999999331</v>
          </cell>
          <cell r="AJ574">
            <v>-443.7899999999936</v>
          </cell>
          <cell r="AK574">
            <v>-420.31999999999971</v>
          </cell>
          <cell r="AL574">
            <v>-307.58000000000902</v>
          </cell>
          <cell r="AM574">
            <v>-301.67000000001281</v>
          </cell>
          <cell r="AN574">
            <v>-279.20999999999185</v>
          </cell>
        </row>
        <row r="575">
          <cell r="Q575">
            <v>0</v>
          </cell>
          <cell r="R575">
            <v>0.13999999999999968</v>
          </cell>
          <cell r="S575">
            <v>-1.0299999999999976</v>
          </cell>
          <cell r="T575">
            <v>-3.8400000000000034</v>
          </cell>
          <cell r="U575">
            <v>-17.829999999999927</v>
          </cell>
          <cell r="V575">
            <v>-45.049999999999955</v>
          </cell>
          <cell r="W575">
            <v>-51.879999999999882</v>
          </cell>
          <cell r="X575">
            <v>-72.019999999999982</v>
          </cell>
          <cell r="Y575">
            <v>-93.360000000000127</v>
          </cell>
          <cell r="Z575">
            <v>-69.070000000000164</v>
          </cell>
          <cell r="AA575">
            <v>-70.5600000000004</v>
          </cell>
          <cell r="AB575">
            <v>-66.819999999999709</v>
          </cell>
          <cell r="AC575">
            <v>-52.699999999999818</v>
          </cell>
          <cell r="AD575">
            <v>-49.630000000001019</v>
          </cell>
          <cell r="AE575">
            <v>-63.199999999999818</v>
          </cell>
          <cell r="AF575">
            <v>-61.780000000000655</v>
          </cell>
          <cell r="AG575">
            <v>-69.429999999999382</v>
          </cell>
          <cell r="AH575">
            <v>-134.48000000000047</v>
          </cell>
          <cell r="AI575">
            <v>-140.8100000000004</v>
          </cell>
          <cell r="AJ575">
            <v>-140.13000000000102</v>
          </cell>
          <cell r="AK575">
            <v>-130.97000000000025</v>
          </cell>
          <cell r="AL575">
            <v>-68.569999999999709</v>
          </cell>
          <cell r="AM575">
            <v>-67.409999999999854</v>
          </cell>
          <cell r="AN575">
            <v>-57.869999999998981</v>
          </cell>
        </row>
      </sheetData>
      <sheetData sheetId="5">
        <row r="436">
          <cell r="Q436">
            <v>-641.34000000001106</v>
          </cell>
          <cell r="R436">
            <v>-2901.9800000000105</v>
          </cell>
          <cell r="S436">
            <v>-5866.820000000007</v>
          </cell>
          <cell r="T436">
            <v>-7720.0300000000134</v>
          </cell>
          <cell r="U436">
            <v>-11625.00999999998</v>
          </cell>
          <cell r="V436">
            <v>-20929.540000000008</v>
          </cell>
          <cell r="W436">
            <v>-27117.840000000026</v>
          </cell>
          <cell r="X436">
            <v>-31034.819999999949</v>
          </cell>
          <cell r="Y436">
            <v>-33735.23000000004</v>
          </cell>
          <cell r="Z436">
            <v>-24111.200000000012</v>
          </cell>
          <cell r="AA436">
            <v>-26395.179999999993</v>
          </cell>
          <cell r="AB436">
            <v>-33283.26999999996</v>
          </cell>
          <cell r="AC436">
            <v>4184.2200000000012</v>
          </cell>
          <cell r="AD436">
            <v>4029.7399999999907</v>
          </cell>
          <cell r="AE436">
            <v>3844.75</v>
          </cell>
          <cell r="AF436">
            <v>3750.8899999999994</v>
          </cell>
          <cell r="AG436">
            <v>4126.3699999999953</v>
          </cell>
          <cell r="AH436">
            <v>4376.1999999999825</v>
          </cell>
          <cell r="AI436">
            <v>4220.7799999999988</v>
          </cell>
          <cell r="AJ436">
            <v>4502.6599999999744</v>
          </cell>
          <cell r="AK436">
            <v>5462.4899999999907</v>
          </cell>
          <cell r="AL436">
            <v>3851.5299999999988</v>
          </cell>
          <cell r="AM436">
            <v>3828.6600000000035</v>
          </cell>
          <cell r="AN436">
            <v>4652.0900000000111</v>
          </cell>
        </row>
        <row r="437">
          <cell r="Q437">
            <v>-15.120000000000005</v>
          </cell>
          <cell r="R437">
            <v>-98.520000000000095</v>
          </cell>
          <cell r="S437">
            <v>-309.26</v>
          </cell>
          <cell r="T437">
            <v>-515.55999999999995</v>
          </cell>
          <cell r="U437">
            <v>-720.84999999999945</v>
          </cell>
          <cell r="V437">
            <v>-1334.5500000000002</v>
          </cell>
          <cell r="W437">
            <v>-1769.0399999999991</v>
          </cell>
          <cell r="X437">
            <v>-2306.9800000000014</v>
          </cell>
          <cell r="Y437">
            <v>-2446.1499999999996</v>
          </cell>
          <cell r="Z437">
            <v>-1833.9199999999983</v>
          </cell>
          <cell r="AA437">
            <v>-1944.33</v>
          </cell>
          <cell r="AB437">
            <v>-2420.2099999999991</v>
          </cell>
          <cell r="AC437">
            <v>-2126.239999999998</v>
          </cell>
          <cell r="AD437">
            <v>-1934.0200000000004</v>
          </cell>
          <cell r="AE437">
            <v>-2156.7700000000004</v>
          </cell>
          <cell r="AF437">
            <v>-2239.5400000000009</v>
          </cell>
          <cell r="AG437">
            <v>-2384.0600000000013</v>
          </cell>
          <cell r="AH437">
            <v>-3589.9500000000007</v>
          </cell>
          <cell r="AI437">
            <v>-3619.6899999999951</v>
          </cell>
          <cell r="AJ437">
            <v>-3702.1699999999983</v>
          </cell>
          <cell r="AK437">
            <v>-3463.3000000000029</v>
          </cell>
          <cell r="AL437">
            <v>-2356.2199999999975</v>
          </cell>
          <cell r="AM437">
            <v>-2241.0199999999968</v>
          </cell>
          <cell r="AN437">
            <v>-2039.4599999999991</v>
          </cell>
        </row>
        <row r="439">
          <cell r="Q439">
            <v>-3.6199999999999974</v>
          </cell>
          <cell r="R439">
            <v>-139.03999999999996</v>
          </cell>
          <cell r="S439">
            <v>-329.15999999999985</v>
          </cell>
          <cell r="T439">
            <v>-509.73000000000047</v>
          </cell>
          <cell r="U439">
            <v>-780.57000000000062</v>
          </cell>
          <cell r="V439">
            <v>-1342.9899999999998</v>
          </cell>
          <cell r="W439">
            <v>-2306.1900000000023</v>
          </cell>
          <cell r="X439">
            <v>-3080.489999999998</v>
          </cell>
          <cell r="Y439">
            <v>-3427.7099999999991</v>
          </cell>
          <cell r="Z439">
            <v>-3507.8899999999994</v>
          </cell>
          <cell r="AA439">
            <v>-3799.9599999999991</v>
          </cell>
          <cell r="AB439">
            <v>-4648.1300000000047</v>
          </cell>
          <cell r="AC439">
            <v>-2158.9800000000032</v>
          </cell>
          <cell r="AD439">
            <v>-2065.2000000000044</v>
          </cell>
          <cell r="AE439">
            <v>-2305.9499999999971</v>
          </cell>
          <cell r="AF439">
            <v>-2169.6299999999974</v>
          </cell>
          <cell r="AG439">
            <v>-2406.0200000000041</v>
          </cell>
          <cell r="AH439">
            <v>-2692.2900000000009</v>
          </cell>
          <cell r="AI439">
            <v>-2661.8899999999994</v>
          </cell>
          <cell r="AJ439">
            <v>-2747.4799999999959</v>
          </cell>
          <cell r="AK439">
            <v>-2588.080000000009</v>
          </cell>
          <cell r="AL439">
            <v>-2301.4199999999983</v>
          </cell>
          <cell r="AM439">
            <v>-2234.5</v>
          </cell>
          <cell r="AN439">
            <v>-2144.0300000000061</v>
          </cell>
        </row>
        <row r="440">
          <cell r="Q440">
            <v>0</v>
          </cell>
          <cell r="R440">
            <v>-0.6599999999999997</v>
          </cell>
          <cell r="S440">
            <v>-1.4800000000000004</v>
          </cell>
          <cell r="T440">
            <v>-8.9399999999999977</v>
          </cell>
          <cell r="U440">
            <v>-64.460000000000036</v>
          </cell>
          <cell r="V440">
            <v>-139.69000000000005</v>
          </cell>
          <cell r="W440">
            <v>-156.40000000000009</v>
          </cell>
          <cell r="X440">
            <v>-191.63999999999987</v>
          </cell>
          <cell r="Y440">
            <v>-213.69000000000005</v>
          </cell>
          <cell r="Z440">
            <v>-190.38999999999987</v>
          </cell>
          <cell r="AA440">
            <v>-198.24999999999977</v>
          </cell>
          <cell r="AB440">
            <v>-459.0600000000004</v>
          </cell>
          <cell r="AC440">
            <v>-362.24999999999909</v>
          </cell>
          <cell r="AD440">
            <v>-322.57999999999902</v>
          </cell>
          <cell r="AE440">
            <v>-359.64999999999964</v>
          </cell>
          <cell r="AF440">
            <v>-321.63000000000011</v>
          </cell>
          <cell r="AG440">
            <v>-354.65000000000055</v>
          </cell>
          <cell r="AH440">
            <v>-402.84999999999945</v>
          </cell>
          <cell r="AI440">
            <v>-409.61000000000058</v>
          </cell>
          <cell r="AJ440">
            <v>-417.38000000000011</v>
          </cell>
          <cell r="AK440">
            <v>-397.27999999999884</v>
          </cell>
          <cell r="AL440">
            <v>-336.59000000000015</v>
          </cell>
          <cell r="AM440">
            <v>-320.32999999999993</v>
          </cell>
          <cell r="AN440">
            <v>-344.88000000000011</v>
          </cell>
        </row>
      </sheetData>
      <sheetData sheetId="6">
        <row r="55">
          <cell r="O55">
            <v>-4.3899999999999997</v>
          </cell>
          <cell r="P55">
            <v>-14.16</v>
          </cell>
          <cell r="Q55">
            <v>-13.34</v>
          </cell>
          <cell r="R55">
            <v>-27.74</v>
          </cell>
          <cell r="S55">
            <v>-46.27</v>
          </cell>
          <cell r="T55">
            <v>-73.83</v>
          </cell>
          <cell r="U55">
            <v>-121.78</v>
          </cell>
          <cell r="V55">
            <v>-192.53</v>
          </cell>
          <cell r="W55">
            <v>-273.61</v>
          </cell>
          <cell r="X55">
            <v>-369.74</v>
          </cell>
          <cell r="Y55">
            <v>-473.02</v>
          </cell>
          <cell r="Z55">
            <v>-589.34</v>
          </cell>
          <cell r="AA55">
            <v>-876.02</v>
          </cell>
          <cell r="AB55">
            <v>-887.48</v>
          </cell>
          <cell r="AC55">
            <v>-927.54</v>
          </cell>
          <cell r="AD55">
            <v>-148.76</v>
          </cell>
          <cell r="AE55">
            <v>-176.92</v>
          </cell>
          <cell r="AF55">
            <v>-213.4</v>
          </cell>
          <cell r="AG55">
            <v>-291.57</v>
          </cell>
          <cell r="AH55">
            <v>-362.76</v>
          </cell>
          <cell r="AI55">
            <v>-433.39</v>
          </cell>
          <cell r="AJ55">
            <v>-501.69</v>
          </cell>
          <cell r="AK55">
            <v>-574.44000000000005</v>
          </cell>
          <cell r="AL55">
            <v>-664.26</v>
          </cell>
        </row>
        <row r="56">
          <cell r="O56">
            <v>-0.02</v>
          </cell>
          <cell r="P56">
            <v>-0.13</v>
          </cell>
          <cell r="Q56">
            <v>-0.22</v>
          </cell>
          <cell r="R56">
            <v>-0.66</v>
          </cell>
          <cell r="S56">
            <v>-1.32</v>
          </cell>
          <cell r="T56">
            <v>-2.35</v>
          </cell>
          <cell r="U56">
            <v>-3.99</v>
          </cell>
          <cell r="V56">
            <v>-6.41</v>
          </cell>
          <cell r="W56">
            <v>-9.6199999999999992</v>
          </cell>
          <cell r="X56">
            <v>-13.74</v>
          </cell>
          <cell r="Y56">
            <v>-18.32</v>
          </cell>
          <cell r="Z56">
            <v>-23.77</v>
          </cell>
          <cell r="AA56">
            <v>-38.57</v>
          </cell>
          <cell r="AB56">
            <v>-43.95</v>
          </cell>
          <cell r="AC56">
            <v>-50.99</v>
          </cell>
          <cell r="AD56">
            <v>-9.01</v>
          </cell>
          <cell r="AE56">
            <v>-11.77</v>
          </cell>
          <cell r="AF56">
            <v>-15.73</v>
          </cell>
          <cell r="AG56">
            <v>-23.37</v>
          </cell>
          <cell r="AH56">
            <v>-30.82</v>
          </cell>
          <cell r="AI56">
            <v>-39.56</v>
          </cell>
          <cell r="AJ56">
            <v>-48.98</v>
          </cell>
          <cell r="AK56">
            <v>-59.01</v>
          </cell>
          <cell r="AL56">
            <v>-71.38</v>
          </cell>
        </row>
        <row r="58">
          <cell r="O58">
            <v>-0.01</v>
          </cell>
          <cell r="P58">
            <v>-0.18</v>
          </cell>
          <cell r="Q58">
            <v>-0.31</v>
          </cell>
          <cell r="R58">
            <v>-0.84</v>
          </cell>
          <cell r="S58">
            <v>-1.65</v>
          </cell>
          <cell r="T58">
            <v>-2.89</v>
          </cell>
          <cell r="U58">
            <v>-5.26</v>
          </cell>
          <cell r="V58">
            <v>-9.2100000000000009</v>
          </cell>
          <cell r="W58">
            <v>-14.33</v>
          </cell>
          <cell r="X58">
            <v>-21.46</v>
          </cell>
          <cell r="Y58">
            <v>-30.48</v>
          </cell>
          <cell r="Z58">
            <v>-41.58</v>
          </cell>
          <cell r="AA58">
            <v>-67.45</v>
          </cell>
          <cell r="AB58">
            <v>-74.510000000000005</v>
          </cell>
          <cell r="AC58">
            <v>-84.45</v>
          </cell>
          <cell r="AD58">
            <v>-14.57</v>
          </cell>
          <cell r="AE58">
            <v>-18.579999999999998</v>
          </cell>
          <cell r="AF58">
            <v>-23.95</v>
          </cell>
          <cell r="AG58">
            <v>-34.47</v>
          </cell>
          <cell r="AH58">
            <v>-44.79</v>
          </cell>
          <cell r="AI58">
            <v>-56.09</v>
          </cell>
          <cell r="AJ58">
            <v>-68.11</v>
          </cell>
          <cell r="AK58">
            <v>-81.510000000000005</v>
          </cell>
          <cell r="AL58">
            <v>-98.19</v>
          </cell>
        </row>
        <row r="59">
          <cell r="O59">
            <v>0</v>
          </cell>
          <cell r="P59">
            <v>0</v>
          </cell>
          <cell r="Q59">
            <v>0</v>
          </cell>
          <cell r="R59">
            <v>-0.01</v>
          </cell>
          <cell r="S59">
            <v>-7.0000000000000007E-2</v>
          </cell>
          <cell r="T59">
            <v>-0.23</v>
          </cell>
          <cell r="U59">
            <v>-0.48</v>
          </cell>
          <cell r="V59">
            <v>-0.85</v>
          </cell>
          <cell r="W59">
            <v>-1.32</v>
          </cell>
          <cell r="X59">
            <v>-1.92</v>
          </cell>
          <cell r="Y59">
            <v>-2.62</v>
          </cell>
          <cell r="Z59">
            <v>-3.62</v>
          </cell>
          <cell r="AA59">
            <v>-6.28</v>
          </cell>
          <cell r="AB59">
            <v>-7.41</v>
          </cell>
          <cell r="AC59">
            <v>-8.83</v>
          </cell>
          <cell r="AD59">
            <v>-1.58</v>
          </cell>
          <cell r="AE59">
            <v>-2.08</v>
          </cell>
          <cell r="AF59">
            <v>-2.78</v>
          </cell>
          <cell r="AG59">
            <v>-4.16</v>
          </cell>
          <cell r="AH59">
            <v>-5.58</v>
          </cell>
          <cell r="AI59">
            <v>-7.17</v>
          </cell>
          <cell r="AJ59">
            <v>-8.85</v>
          </cell>
          <cell r="AK59">
            <v>-10.69</v>
          </cell>
          <cell r="AL59">
            <v>-13</v>
          </cell>
        </row>
      </sheetData>
      <sheetData sheetId="7" refreshError="1"/>
      <sheetData sheetId="8" refreshError="1"/>
      <sheetData sheetId="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5 Budget"/>
      <sheetName val="MO West by program and class"/>
      <sheetName val="order"/>
    </sheetNames>
    <sheetDataSet>
      <sheetData sheetId="0" refreshError="1"/>
      <sheetData sheetId="1">
        <row r="31">
          <cell r="Q31">
            <v>8442516.4199999981</v>
          </cell>
          <cell r="R31">
            <v>2498809.1599999997</v>
          </cell>
          <cell r="T31">
            <v>3365065.4200000004</v>
          </cell>
          <cell r="U31">
            <v>1864043.5699999998</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Summary"/>
      <sheetName val="Monthly Program Costs"/>
      <sheetName val="Monthly Program Costs Ext"/>
      <sheetName val="Monthly TD Calc"/>
      <sheetName val="Monthly TD Calc Ext"/>
      <sheetName val="Monthly kWh-kW"/>
      <sheetName val="R&amp;P"/>
      <sheetName val="TRC Ext"/>
      <sheetName val="ICF PY4 Bridge Yr Projections "/>
      <sheetName val="Tstats Ext"/>
      <sheetName val="Simple"/>
      <sheetName val="BDR Ext"/>
      <sheetName val="Internal Mktg Ext"/>
      <sheetName val="Labor &amp; Oth Admin"/>
      <sheetName val="EM&amp;V Ext"/>
      <sheetName val="EO Ex Post TD Calc"/>
      <sheetName val="EO NTG TD Calc"/>
      <sheetName val="EMV Results"/>
      <sheetName val="ICF SOW Amdt 2"/>
      <sheetName val="TRC SOW Amdt 1"/>
      <sheetName val="MO West EO Matrix @Meter"/>
      <sheetName val="MO West EO Table"/>
      <sheetName val="PAYS"/>
      <sheetName val="Mktg Forecast"/>
      <sheetName val="MEEIA Labor Alloc"/>
      <sheetName val="Other Admin"/>
      <sheetName val="EMV Costs"/>
      <sheetName val="Implementer Contract Rates"/>
      <sheetName val="Billed kWh Sales"/>
      <sheetName val="DSIM Revenue"/>
    </sheetNames>
    <sheetDataSet>
      <sheetData sheetId="0"/>
      <sheetData sheetId="1"/>
      <sheetData sheetId="2"/>
      <sheetData sheetId="3">
        <row r="290">
          <cell r="BB290">
            <v>0</v>
          </cell>
          <cell r="BC290">
            <v>0</v>
          </cell>
        </row>
        <row r="291">
          <cell r="BB291">
            <v>0</v>
          </cell>
          <cell r="BC291">
            <v>0</v>
          </cell>
        </row>
        <row r="293">
          <cell r="BB293">
            <v>0</v>
          </cell>
          <cell r="BC293">
            <v>0</v>
          </cell>
        </row>
        <row r="294">
          <cell r="BB294">
            <v>0</v>
          </cell>
          <cell r="BC294">
            <v>0</v>
          </cell>
        </row>
      </sheetData>
      <sheetData sheetId="4">
        <row r="290">
          <cell r="BB290">
            <v>574380.17000000004</v>
          </cell>
          <cell r="BC290">
            <v>923248.66999999993</v>
          </cell>
          <cell r="BD290">
            <v>12289.41</v>
          </cell>
          <cell r="BE290">
            <v>12289.41</v>
          </cell>
          <cell r="BF290">
            <v>12289.41</v>
          </cell>
          <cell r="BG290">
            <v>12289.41</v>
          </cell>
          <cell r="BH290">
            <v>12289.41</v>
          </cell>
          <cell r="BI290">
            <v>12289.41</v>
          </cell>
          <cell r="BJ290">
            <v>0</v>
          </cell>
          <cell r="BK290">
            <v>0</v>
          </cell>
          <cell r="BL290">
            <v>0</v>
          </cell>
          <cell r="BM290">
            <v>0</v>
          </cell>
          <cell r="BN290">
            <v>0</v>
          </cell>
          <cell r="BO290">
            <v>0</v>
          </cell>
        </row>
        <row r="291">
          <cell r="BB291">
            <v>318141.7</v>
          </cell>
          <cell r="BC291">
            <v>565953.18000000005</v>
          </cell>
          <cell r="BD291">
            <v>6803.54</v>
          </cell>
          <cell r="BE291">
            <v>6803.54</v>
          </cell>
          <cell r="BF291">
            <v>6803.54</v>
          </cell>
          <cell r="BG291">
            <v>6803.54</v>
          </cell>
          <cell r="BH291">
            <v>6803.54</v>
          </cell>
          <cell r="BI291">
            <v>6803.54</v>
          </cell>
          <cell r="BJ291">
            <v>0</v>
          </cell>
          <cell r="BK291">
            <v>0</v>
          </cell>
          <cell r="BL291">
            <v>0</v>
          </cell>
          <cell r="BM291">
            <v>0</v>
          </cell>
          <cell r="BN291">
            <v>0</v>
          </cell>
          <cell r="BO291">
            <v>0</v>
          </cell>
        </row>
        <row r="293">
          <cell r="BB293">
            <v>305347.27999999997</v>
          </cell>
          <cell r="BC293">
            <v>543192.75</v>
          </cell>
          <cell r="BD293">
            <v>6529.9199999999992</v>
          </cell>
          <cell r="BE293">
            <v>6529.9199999999992</v>
          </cell>
          <cell r="BF293">
            <v>6529.9199999999992</v>
          </cell>
          <cell r="BG293">
            <v>6529.9199999999992</v>
          </cell>
          <cell r="BH293">
            <v>6529.9199999999992</v>
          </cell>
          <cell r="BI293">
            <v>6529.9199999999992</v>
          </cell>
          <cell r="BJ293">
            <v>0</v>
          </cell>
          <cell r="BK293">
            <v>0</v>
          </cell>
          <cell r="BL293">
            <v>0</v>
          </cell>
          <cell r="BM293">
            <v>0</v>
          </cell>
          <cell r="BN293">
            <v>0</v>
          </cell>
          <cell r="BO293">
            <v>0</v>
          </cell>
        </row>
        <row r="294">
          <cell r="BB294">
            <v>224694.3</v>
          </cell>
          <cell r="BC294">
            <v>399716.38</v>
          </cell>
          <cell r="BD294">
            <v>4805.1499999999996</v>
          </cell>
          <cell r="BE294">
            <v>4805.1499999999996</v>
          </cell>
          <cell r="BF294">
            <v>4805.1499999999996</v>
          </cell>
          <cell r="BG294">
            <v>4805.1499999999996</v>
          </cell>
          <cell r="BH294">
            <v>4805.1499999999996</v>
          </cell>
          <cell r="BI294">
            <v>4805.1499999999996</v>
          </cell>
          <cell r="BJ294">
            <v>0</v>
          </cell>
          <cell r="BK294">
            <v>0</v>
          </cell>
          <cell r="BL294">
            <v>0</v>
          </cell>
          <cell r="BM294">
            <v>0</v>
          </cell>
          <cell r="BN294">
            <v>0</v>
          </cell>
          <cell r="BO294">
            <v>0</v>
          </cell>
        </row>
      </sheetData>
      <sheetData sheetId="5">
        <row r="462">
          <cell r="AY462">
            <v>1886771.1263328185</v>
          </cell>
          <cell r="AZ462">
            <v>2264227.1840785174</v>
          </cell>
          <cell r="BA462">
            <v>2268145.7076064362</v>
          </cell>
          <cell r="BB462">
            <v>2052955.2550772545</v>
          </cell>
          <cell r="BC462">
            <v>2010756.9165646387</v>
          </cell>
          <cell r="BD462">
            <v>1941083.7325115884</v>
          </cell>
          <cell r="BE462">
            <v>2036075.2812161483</v>
          </cell>
          <cell r="BF462">
            <v>1841156.1568917814</v>
          </cell>
          <cell r="BG462">
            <v>2192580.4348849822</v>
          </cell>
          <cell r="BH462">
            <v>2125264.1468757996</v>
          </cell>
          <cell r="BI462">
            <v>1816194.8204809376</v>
          </cell>
          <cell r="BJ462">
            <v>1954425.6197791183</v>
          </cell>
          <cell r="BK462">
            <v>1886771.1263328185</v>
          </cell>
          <cell r="BL462">
            <v>2264227.1840785174</v>
          </cell>
        </row>
        <row r="463">
          <cell r="AY463">
            <v>585415.43581181695</v>
          </cell>
          <cell r="AZ463">
            <v>587484.25410190038</v>
          </cell>
          <cell r="BA463">
            <v>618474.48921467317</v>
          </cell>
          <cell r="BB463">
            <v>559381.74893588596</v>
          </cell>
          <cell r="BC463">
            <v>620027.19149757572</v>
          </cell>
          <cell r="BD463">
            <v>590022.37745431252</v>
          </cell>
          <cell r="BE463">
            <v>620498.50764716126</v>
          </cell>
          <cell r="BF463">
            <v>594353.37431583577</v>
          </cell>
          <cell r="BG463">
            <v>670851.52100383409</v>
          </cell>
          <cell r="BH463">
            <v>674925.75973283476</v>
          </cell>
          <cell r="BI463">
            <v>578983.11024355714</v>
          </cell>
          <cell r="BJ463">
            <v>619318.93147436483</v>
          </cell>
          <cell r="BK463">
            <v>585415.43581181695</v>
          </cell>
          <cell r="BL463">
            <v>587484.25410190038</v>
          </cell>
        </row>
        <row r="465">
          <cell r="AY465">
            <v>1410604.7994368006</v>
          </cell>
          <cell r="AZ465">
            <v>1415457.5687820227</v>
          </cell>
          <cell r="BA465">
            <v>1483295.5887133887</v>
          </cell>
          <cell r="BB465">
            <v>1340950.390618583</v>
          </cell>
          <cell r="BC465">
            <v>1484945.4605711882</v>
          </cell>
          <cell r="BD465">
            <v>1418573.0821850128</v>
          </cell>
          <cell r="BE465">
            <v>1486541.5015311404</v>
          </cell>
          <cell r="BF465">
            <v>1425804.7787961524</v>
          </cell>
          <cell r="BG465">
            <v>1464908.0449105839</v>
          </cell>
          <cell r="BH465">
            <v>1492076.6899551055</v>
          </cell>
          <cell r="BI465">
            <v>1392990.6358722448</v>
          </cell>
          <cell r="BJ465">
            <v>1489975.9669986879</v>
          </cell>
          <cell r="BK465">
            <v>1410604.7994368006</v>
          </cell>
          <cell r="BL465">
            <v>1415457.5687820227</v>
          </cell>
        </row>
        <row r="466">
          <cell r="AY466">
            <v>339942.83588674001</v>
          </cell>
          <cell r="AZ466">
            <v>341100.64337413327</v>
          </cell>
          <cell r="BA466">
            <v>359193.02658951207</v>
          </cell>
          <cell r="BB466">
            <v>324875.90435435122</v>
          </cell>
          <cell r="BC466">
            <v>360170.64025624929</v>
          </cell>
          <cell r="BD466">
            <v>342656.21869201883</v>
          </cell>
          <cell r="BE466">
            <v>360441.27480073861</v>
          </cell>
          <cell r="BF466">
            <v>345347.26354334294</v>
          </cell>
          <cell r="BG466">
            <v>354634.25080033665</v>
          </cell>
          <cell r="BH466">
            <v>361392.68908791704</v>
          </cell>
          <cell r="BI466">
            <v>336342.59135880152</v>
          </cell>
          <cell r="BJ466">
            <v>359661.0082512449</v>
          </cell>
          <cell r="BK466">
            <v>339942.83588674001</v>
          </cell>
          <cell r="BL466">
            <v>341100.64337413327</v>
          </cell>
        </row>
        <row r="564">
          <cell r="AY564">
            <v>65545.89</v>
          </cell>
          <cell r="AZ564">
            <v>70792.56</v>
          </cell>
          <cell r="BA564">
            <v>63674.26999999999</v>
          </cell>
          <cell r="BB564">
            <v>58978.22</v>
          </cell>
          <cell r="BC564">
            <v>63428.310000000005</v>
          </cell>
          <cell r="BD564">
            <v>63863.83</v>
          </cell>
          <cell r="BE564">
            <v>68519</v>
          </cell>
          <cell r="BF564">
            <v>111424.59999999999</v>
          </cell>
          <cell r="BG564">
            <v>140951.69999999998</v>
          </cell>
          <cell r="BH564">
            <v>136149.75</v>
          </cell>
          <cell r="BI564">
            <v>111086.54000000001</v>
          </cell>
          <cell r="BJ564">
            <v>64736.869999999995</v>
          </cell>
          <cell r="BK564">
            <v>65545.89</v>
          </cell>
          <cell r="BL564">
            <v>70792.56</v>
          </cell>
        </row>
        <row r="565">
          <cell r="AY565">
            <v>19574.750000000004</v>
          </cell>
          <cell r="AZ565">
            <v>19103.579999999998</v>
          </cell>
          <cell r="BA565">
            <v>18966.05</v>
          </cell>
          <cell r="BB565">
            <v>16770.09</v>
          </cell>
          <cell r="BC565">
            <v>19264.71</v>
          </cell>
          <cell r="BD565">
            <v>19581.830000000002</v>
          </cell>
          <cell r="BE565">
            <v>21061.31</v>
          </cell>
          <cell r="BF565">
            <v>31195.190000000002</v>
          </cell>
          <cell r="BG565">
            <v>35063.14</v>
          </cell>
          <cell r="BH565">
            <v>34953.050000000003</v>
          </cell>
          <cell r="BI565">
            <v>29421.949999999997</v>
          </cell>
          <cell r="BJ565">
            <v>20872.989999999998</v>
          </cell>
          <cell r="BK565">
            <v>19574.750000000004</v>
          </cell>
          <cell r="BL565">
            <v>19103.579999999998</v>
          </cell>
        </row>
        <row r="567">
          <cell r="AY567">
            <v>27320.52</v>
          </cell>
          <cell r="AZ567">
            <v>25426.25</v>
          </cell>
          <cell r="BA567">
            <v>24977.919999999998</v>
          </cell>
          <cell r="BB567">
            <v>22950.2</v>
          </cell>
          <cell r="BC567">
            <v>27159.43</v>
          </cell>
          <cell r="BD567">
            <v>27536.129999999997</v>
          </cell>
          <cell r="BE567">
            <v>30787.989999999998</v>
          </cell>
          <cell r="BF567">
            <v>34506.35</v>
          </cell>
          <cell r="BG567">
            <v>32881.620000000003</v>
          </cell>
          <cell r="BH567">
            <v>33061.86</v>
          </cell>
          <cell r="BI567">
            <v>30747.039999999997</v>
          </cell>
          <cell r="BJ567">
            <v>27185.07</v>
          </cell>
          <cell r="BK567">
            <v>27320.52</v>
          </cell>
          <cell r="BL567">
            <v>25426.25</v>
          </cell>
        </row>
        <row r="568">
          <cell r="AY568">
            <v>1230.9900000000002</v>
          </cell>
          <cell r="AZ568">
            <v>1247.99</v>
          </cell>
          <cell r="BA568">
            <v>1226.67</v>
          </cell>
          <cell r="BB568">
            <v>1115.1600000000001</v>
          </cell>
          <cell r="BC568">
            <v>1215.17</v>
          </cell>
          <cell r="BD568">
            <v>1174.53</v>
          </cell>
          <cell r="BE568">
            <v>1353.88</v>
          </cell>
          <cell r="BF568">
            <v>2470.5200000000004</v>
          </cell>
          <cell r="BG568">
            <v>2476.9900000000002</v>
          </cell>
          <cell r="BH568">
            <v>2529.7599999999998</v>
          </cell>
          <cell r="BI568">
            <v>2403.1099999999997</v>
          </cell>
          <cell r="BJ568">
            <v>1216.6100000000001</v>
          </cell>
          <cell r="BK568">
            <v>1230.9900000000002</v>
          </cell>
          <cell r="BL568">
            <v>1247.99</v>
          </cell>
        </row>
      </sheetData>
      <sheetData sheetId="6">
        <row r="462">
          <cell r="AY462">
            <v>599596.72588622326</v>
          </cell>
          <cell r="AZ462">
            <v>700015.13760441705</v>
          </cell>
          <cell r="BA462">
            <v>781775.33102353394</v>
          </cell>
          <cell r="BB462">
            <v>696227.98307156982</v>
          </cell>
          <cell r="BC462">
            <v>830177.99466168392</v>
          </cell>
          <cell r="BD462">
            <v>791100.54553260794</v>
          </cell>
          <cell r="BE462">
            <v>874566.95397324022</v>
          </cell>
          <cell r="BF462">
            <v>1166728.544491488</v>
          </cell>
          <cell r="BG462">
            <v>1839911.2095300995</v>
          </cell>
          <cell r="BH462">
            <v>1691958.5278548566</v>
          </cell>
          <cell r="BI462">
            <v>951231.19354504463</v>
          </cell>
          <cell r="BJ462">
            <v>840082.05977090774</v>
          </cell>
          <cell r="BK462">
            <v>798779.9196108554</v>
          </cell>
          <cell r="BL462">
            <v>770952.42246744595</v>
          </cell>
        </row>
        <row r="463">
          <cell r="AY463">
            <v>333751.68128304923</v>
          </cell>
          <cell r="AZ463">
            <v>516768.90445084294</v>
          </cell>
          <cell r="BA463">
            <v>661367.530409422</v>
          </cell>
          <cell r="BB463">
            <v>597921.54619335383</v>
          </cell>
          <cell r="BC463">
            <v>663126.81325976981</v>
          </cell>
          <cell r="BD463">
            <v>632389.36419237987</v>
          </cell>
          <cell r="BE463">
            <v>663802.74205630913</v>
          </cell>
          <cell r="BF463">
            <v>638011.48976948159</v>
          </cell>
          <cell r="BG463">
            <v>659129.81127744995</v>
          </cell>
          <cell r="BH463">
            <v>670767.50343259971</v>
          </cell>
          <cell r="BI463">
            <v>622357.42581098562</v>
          </cell>
          <cell r="BJ463">
            <v>664107.18993112899</v>
          </cell>
          <cell r="BK463">
            <v>628358.77809517179</v>
          </cell>
          <cell r="BL463">
            <v>629912.01357866288</v>
          </cell>
        </row>
        <row r="465">
          <cell r="AY465">
            <v>370958.81014703913</v>
          </cell>
          <cell r="AZ465">
            <v>546776.12943229231</v>
          </cell>
          <cell r="BA465">
            <v>687735.57784220774</v>
          </cell>
          <cell r="BB465">
            <v>621733.32622013381</v>
          </cell>
          <cell r="BC465">
            <v>689413.15711840533</v>
          </cell>
          <cell r="BD465">
            <v>657752.64024345402</v>
          </cell>
          <cell r="BE465">
            <v>690137.29401681828</v>
          </cell>
          <cell r="BF465">
            <v>663312.34329105751</v>
          </cell>
          <cell r="BG465">
            <v>681431.97984496702</v>
          </cell>
          <cell r="BH465">
            <v>693988.48033989768</v>
          </cell>
          <cell r="BI465">
            <v>647266.10353193269</v>
          </cell>
          <cell r="BJ465">
            <v>690789.18427480047</v>
          </cell>
          <cell r="BK465">
            <v>653717.96226513456</v>
          </cell>
          <cell r="BL465">
            <v>655369.06541777449</v>
          </cell>
        </row>
        <row r="466">
          <cell r="AY466">
            <v>86890.915944092063</v>
          </cell>
          <cell r="AZ466">
            <v>215548.9118060818</v>
          </cell>
          <cell r="BA466">
            <v>310102.71425790287</v>
          </cell>
          <cell r="BB466">
            <v>280309.78013361752</v>
          </cell>
          <cell r="BC466">
            <v>311127.80733487505</v>
          </cell>
          <cell r="BD466">
            <v>296768.26641704788</v>
          </cell>
          <cell r="BE466">
            <v>311470.97239814349</v>
          </cell>
          <cell r="BF466">
            <v>300017.08776868542</v>
          </cell>
          <cell r="BG466">
            <v>308219.49051423493</v>
          </cell>
          <cell r="BH466">
            <v>313828.1048460927</v>
          </cell>
          <cell r="BI466">
            <v>292643.99829894677</v>
          </cell>
          <cell r="BJ466">
            <v>311692.81471817556</v>
          </cell>
          <cell r="BK466">
            <v>294963.40381207271</v>
          </cell>
          <cell r="BL466">
            <v>295458.62360897561</v>
          </cell>
        </row>
        <row r="564">
          <cell r="AY564">
            <v>26364.93</v>
          </cell>
          <cell r="AZ564">
            <v>27945.55</v>
          </cell>
          <cell r="BA564">
            <v>28017.42</v>
          </cell>
          <cell r="BB564">
            <v>25486.400000000001</v>
          </cell>
          <cell r="BC564">
            <v>33211.14</v>
          </cell>
          <cell r="BD564">
            <v>32995.43</v>
          </cell>
          <cell r="BE564">
            <v>37287.25</v>
          </cell>
          <cell r="BF564">
            <v>88059.6</v>
          </cell>
          <cell r="BG564">
            <v>141065.44</v>
          </cell>
          <cell r="BH564">
            <v>130018.62999999999</v>
          </cell>
          <cell r="BI564">
            <v>73129.180000000008</v>
          </cell>
          <cell r="BJ564">
            <v>35234.770000000004</v>
          </cell>
          <cell r="BK564">
            <v>35123.24</v>
          </cell>
          <cell r="BL564">
            <v>30777.47</v>
          </cell>
        </row>
        <row r="565">
          <cell r="AY565">
            <v>11709.04</v>
          </cell>
          <cell r="AZ565">
            <v>17673.43</v>
          </cell>
          <cell r="BA565">
            <v>21344.579999999998</v>
          </cell>
          <cell r="BB565">
            <v>18871.390000000003</v>
          </cell>
          <cell r="BC565">
            <v>21697.87</v>
          </cell>
          <cell r="BD565">
            <v>22097.3</v>
          </cell>
          <cell r="BE565">
            <v>23722.579999999998</v>
          </cell>
          <cell r="BF565">
            <v>35299</v>
          </cell>
          <cell r="BG565">
            <v>35526.410000000003</v>
          </cell>
          <cell r="BH565">
            <v>35929.56</v>
          </cell>
          <cell r="BI565">
            <v>33356.42</v>
          </cell>
          <cell r="BJ565">
            <v>23563.35</v>
          </cell>
          <cell r="BK565">
            <v>22128.86</v>
          </cell>
          <cell r="BL565">
            <v>21563.279999999999</v>
          </cell>
        </row>
        <row r="567">
          <cell r="AY567">
            <v>7397.8399999999992</v>
          </cell>
          <cell r="AZ567">
            <v>10205.189999999999</v>
          </cell>
          <cell r="BA567">
            <v>12090.58</v>
          </cell>
          <cell r="BB567">
            <v>11108.17</v>
          </cell>
          <cell r="BC567">
            <v>13184.35</v>
          </cell>
          <cell r="BD567">
            <v>13346.070000000002</v>
          </cell>
          <cell r="BE567">
            <v>14924.750000000002</v>
          </cell>
          <cell r="BF567">
            <v>17057.73</v>
          </cell>
          <cell r="BG567">
            <v>16323.46</v>
          </cell>
          <cell r="BH567">
            <v>16410.91</v>
          </cell>
          <cell r="BI567">
            <v>15253.91</v>
          </cell>
          <cell r="BJ567">
            <v>13199.76</v>
          </cell>
          <cell r="BK567">
            <v>13258</v>
          </cell>
          <cell r="BL567">
            <v>12306.890000000001</v>
          </cell>
        </row>
        <row r="568">
          <cell r="AY568">
            <v>313.55</v>
          </cell>
          <cell r="AZ568">
            <v>878.94999999999993</v>
          </cell>
          <cell r="BA568">
            <v>1237.8899999999999</v>
          </cell>
          <cell r="BB568">
            <v>1124.81</v>
          </cell>
          <cell r="BC568">
            <v>1255.3800000000001</v>
          </cell>
          <cell r="BD568">
            <v>1222.56</v>
          </cell>
          <cell r="BE568">
            <v>1392.6</v>
          </cell>
          <cell r="BF568">
            <v>2592.23</v>
          </cell>
          <cell r="BG568">
            <v>2617.1099999999997</v>
          </cell>
          <cell r="BH568">
            <v>2662.98</v>
          </cell>
          <cell r="BI568">
            <v>2529.29</v>
          </cell>
          <cell r="BJ568">
            <v>1272.3</v>
          </cell>
          <cell r="BK568">
            <v>1287.3</v>
          </cell>
          <cell r="BL568">
            <v>1272.7399999999998</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refreshError="1"/>
      <sheetData sheetId="1">
        <row r="44">
          <cell r="CZ44">
            <v>0.39209287804949344</v>
          </cell>
          <cell r="DB44">
            <v>0.45435908608374953</v>
          </cell>
          <cell r="DC44">
            <v>0.15354803586675725</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Oct 2020"/>
      <sheetName val="Nov 2020"/>
      <sheetName val="Dec 2020"/>
      <sheetName val="Jan 2021"/>
      <sheetName val="Feb 2021"/>
      <sheetName val="Aug 2021"/>
      <sheetName val="Mar 2021"/>
      <sheetName val="Apr 2021"/>
      <sheetName val="May 2021"/>
      <sheetName val="Jun 2021"/>
      <sheetName val="Jul 2021"/>
      <sheetName val="Sep 2021"/>
      <sheetName val="Oct 2021"/>
      <sheetName val="Nov 2021"/>
      <sheetName val="Dec 2021"/>
      <sheetName val="Jan 2022"/>
      <sheetName val="Feb 2022"/>
      <sheetName val="Mar 2022"/>
      <sheetName val="Apr 2022"/>
      <sheetName val="May 2022"/>
      <sheetName val="Jun 2022"/>
      <sheetName val="Jul 2022"/>
      <sheetName val="Aug 2022"/>
      <sheetName val="Sep 2022"/>
      <sheetName val="Oct 2022"/>
      <sheetName val="Nov 2022"/>
      <sheetName val="Dec 2022"/>
      <sheetName val="Jan 2023"/>
      <sheetName val="Feb 2023"/>
      <sheetName val="Mar 2023"/>
      <sheetName val="Apr 2023"/>
      <sheetName val="May 2023"/>
      <sheetName val="June 2023"/>
      <sheetName val="July 2023"/>
      <sheetName val="August 2023"/>
      <sheetName val="September 2023"/>
      <sheetName val="October 20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ow r="36">
          <cell r="G36">
            <v>0</v>
          </cell>
        </row>
        <row r="37">
          <cell r="G37">
            <v>21.01</v>
          </cell>
        </row>
        <row r="38">
          <cell r="G38">
            <v>23.79</v>
          </cell>
        </row>
        <row r="39">
          <cell r="G39">
            <v>7.68</v>
          </cell>
        </row>
        <row r="44">
          <cell r="G44">
            <v>0</v>
          </cell>
        </row>
        <row r="45">
          <cell r="G45">
            <v>-2732.34</v>
          </cell>
        </row>
        <row r="46">
          <cell r="G46">
            <v>-2548.31</v>
          </cell>
        </row>
        <row r="47">
          <cell r="G47">
            <v>-1166.1400000000001</v>
          </cell>
        </row>
        <row r="52">
          <cell r="G52">
            <v>42277.5</v>
          </cell>
        </row>
        <row r="53">
          <cell r="G53">
            <v>17336.560000000001</v>
          </cell>
        </row>
        <row r="54">
          <cell r="G54">
            <v>19573.920000000002</v>
          </cell>
        </row>
        <row r="55">
          <cell r="G55">
            <v>6422.0700000000006</v>
          </cell>
        </row>
        <row r="60">
          <cell r="G60">
            <v>-2114.16</v>
          </cell>
        </row>
        <row r="64">
          <cell r="G64">
            <v>0</v>
          </cell>
        </row>
        <row r="68">
          <cell r="G68">
            <v>-6342.72</v>
          </cell>
        </row>
        <row r="69">
          <cell r="G69">
            <v>10945.372010283516</v>
          </cell>
        </row>
        <row r="70">
          <cell r="G70">
            <v>11912.182747286182</v>
          </cell>
        </row>
        <row r="71">
          <cell r="G71">
            <v>4085.9752424303024</v>
          </cell>
        </row>
        <row r="76">
          <cell r="G76">
            <v>503059.05</v>
          </cell>
        </row>
        <row r="77">
          <cell r="G77">
            <v>213464.66</v>
          </cell>
        </row>
        <row r="78">
          <cell r="G78">
            <v>280874.05</v>
          </cell>
        </row>
        <row r="79">
          <cell r="G79">
            <v>145972.76</v>
          </cell>
        </row>
        <row r="83">
          <cell r="G83">
            <v>-10568.18</v>
          </cell>
        </row>
        <row r="84">
          <cell r="G84">
            <v>-55624.17</v>
          </cell>
        </row>
        <row r="85">
          <cell r="G85">
            <v>8511.33</v>
          </cell>
        </row>
        <row r="86">
          <cell r="G86">
            <v>-50798.52</v>
          </cell>
        </row>
        <row r="90">
          <cell r="G90">
            <v>90894.15</v>
          </cell>
        </row>
        <row r="91">
          <cell r="G91">
            <v>39223.83</v>
          </cell>
        </row>
        <row r="92">
          <cell r="G92">
            <v>49365.74</v>
          </cell>
        </row>
        <row r="93">
          <cell r="G93">
            <v>9342.26</v>
          </cell>
        </row>
        <row r="97">
          <cell r="G97">
            <v>-25359.279999999999</v>
          </cell>
        </row>
        <row r="98">
          <cell r="G98">
            <v>0</v>
          </cell>
        </row>
        <row r="99">
          <cell r="G99">
            <v>0</v>
          </cell>
        </row>
        <row r="100">
          <cell r="G100">
            <v>0</v>
          </cell>
        </row>
        <row r="104">
          <cell r="G104">
            <v>27483.07</v>
          </cell>
        </row>
        <row r="105">
          <cell r="G105">
            <v>7298.97</v>
          </cell>
        </row>
        <row r="106">
          <cell r="G106">
            <v>7660.2</v>
          </cell>
        </row>
        <row r="107">
          <cell r="G107">
            <v>5255.02</v>
          </cell>
        </row>
        <row r="123">
          <cell r="G123">
            <v>211355608.33752501</v>
          </cell>
        </row>
        <row r="124">
          <cell r="G124">
            <v>91213893.700500011</v>
          </cell>
        </row>
        <row r="125">
          <cell r="G125">
            <v>85113348.173199996</v>
          </cell>
        </row>
        <row r="126">
          <cell r="G126">
            <v>58389103.798200004</v>
          </cell>
        </row>
      </sheetData>
      <sheetData sheetId="41">
        <row r="36">
          <cell r="G36">
            <v>0</v>
          </cell>
        </row>
        <row r="37">
          <cell r="G37">
            <v>145.91</v>
          </cell>
        </row>
        <row r="38">
          <cell r="G38">
            <v>18.62</v>
          </cell>
        </row>
        <row r="39">
          <cell r="G39">
            <v>5.65</v>
          </cell>
        </row>
        <row r="44">
          <cell r="G44">
            <v>0</v>
          </cell>
        </row>
        <row r="45">
          <cell r="G45">
            <v>-3290.49</v>
          </cell>
        </row>
        <row r="46">
          <cell r="G46">
            <v>-2907.42</v>
          </cell>
        </row>
        <row r="47">
          <cell r="G47">
            <v>-1251.45</v>
          </cell>
        </row>
        <row r="52">
          <cell r="G52">
            <v>57127.75</v>
          </cell>
        </row>
        <row r="53">
          <cell r="G53">
            <v>21116.54</v>
          </cell>
        </row>
        <row r="54">
          <cell r="G54">
            <v>22319.230000000003</v>
          </cell>
        </row>
        <row r="55">
          <cell r="G55">
            <v>6889.13</v>
          </cell>
        </row>
        <row r="60">
          <cell r="G60">
            <v>-2856.22</v>
          </cell>
        </row>
        <row r="64">
          <cell r="G64">
            <v>0</v>
          </cell>
        </row>
        <row r="68">
          <cell r="G68">
            <v>-8563.0400000000009</v>
          </cell>
        </row>
        <row r="69">
          <cell r="G69">
            <v>13358.681362335345</v>
          </cell>
        </row>
        <row r="70">
          <cell r="G70">
            <v>13583.928218056382</v>
          </cell>
        </row>
        <row r="71">
          <cell r="G71">
            <v>4383.4604196082737</v>
          </cell>
        </row>
        <row r="76">
          <cell r="G76">
            <v>679743.65</v>
          </cell>
        </row>
        <row r="77">
          <cell r="G77">
            <v>258384.72</v>
          </cell>
        </row>
        <row r="78">
          <cell r="G78">
            <v>320254.23</v>
          </cell>
        </row>
        <row r="79">
          <cell r="G79">
            <v>156582.09</v>
          </cell>
        </row>
        <row r="83">
          <cell r="G83">
            <v>-14280.48</v>
          </cell>
        </row>
        <row r="84">
          <cell r="G84">
            <v>-67218.69</v>
          </cell>
        </row>
        <row r="85">
          <cell r="G85">
            <v>9704.67</v>
          </cell>
        </row>
        <row r="86">
          <cell r="G86">
            <v>-54490.57</v>
          </cell>
        </row>
        <row r="90">
          <cell r="G90">
            <v>122817.26</v>
          </cell>
        </row>
        <row r="91">
          <cell r="G91">
            <v>47480.22</v>
          </cell>
        </row>
        <row r="92">
          <cell r="G92">
            <v>56287.11</v>
          </cell>
        </row>
        <row r="93">
          <cell r="G93">
            <v>10021.25</v>
          </cell>
        </row>
        <row r="97">
          <cell r="G97">
            <v>-34269.49</v>
          </cell>
        </row>
        <row r="98">
          <cell r="G98">
            <v>0</v>
          </cell>
        </row>
        <row r="99">
          <cell r="G99">
            <v>0</v>
          </cell>
        </row>
        <row r="100">
          <cell r="G100">
            <v>0</v>
          </cell>
        </row>
        <row r="104">
          <cell r="G104">
            <v>37128.68</v>
          </cell>
        </row>
        <row r="105">
          <cell r="G105">
            <v>8838.43</v>
          </cell>
        </row>
        <row r="106">
          <cell r="G106">
            <v>8734.2099999999991</v>
          </cell>
        </row>
        <row r="107">
          <cell r="G107">
            <v>5636.96</v>
          </cell>
        </row>
        <row r="127">
          <cell r="G127">
            <v>285596520.592875</v>
          </cell>
        </row>
        <row r="128">
          <cell r="G128">
            <v>110394790.70376669</v>
          </cell>
        </row>
        <row r="129">
          <cell r="G129">
            <v>97046737.498199999</v>
          </cell>
        </row>
        <row r="130">
          <cell r="G130">
            <v>62632837.365800016</v>
          </cell>
        </row>
      </sheetData>
      <sheetData sheetId="42">
        <row r="36">
          <cell r="G36">
            <v>0</v>
          </cell>
        </row>
        <row r="37">
          <cell r="G37">
            <v>6.77</v>
          </cell>
        </row>
        <row r="38">
          <cell r="G38">
            <v>6.22</v>
          </cell>
        </row>
        <row r="39">
          <cell r="G39">
            <v>1.86</v>
          </cell>
        </row>
        <row r="44">
          <cell r="G44">
            <v>0</v>
          </cell>
        </row>
        <row r="45">
          <cell r="G45">
            <v>-3727.96</v>
          </cell>
        </row>
        <row r="46">
          <cell r="G46">
            <v>-3138.3</v>
          </cell>
        </row>
        <row r="47">
          <cell r="G47">
            <v>-1330.29</v>
          </cell>
        </row>
        <row r="52">
          <cell r="G52">
            <v>73004.340000000011</v>
          </cell>
        </row>
        <row r="53">
          <cell r="G53">
            <v>23593.13</v>
          </cell>
        </row>
        <row r="54">
          <cell r="G54">
            <v>24064.180000000004</v>
          </cell>
        </row>
        <row r="55">
          <cell r="G55">
            <v>7316.84</v>
          </cell>
        </row>
        <row r="60">
          <cell r="G60">
            <v>-3650.3500000000004</v>
          </cell>
        </row>
        <row r="64">
          <cell r="G64">
            <v>0</v>
          </cell>
        </row>
        <row r="68">
          <cell r="G68">
            <v>-10952.16</v>
          </cell>
        </row>
        <row r="69">
          <cell r="G69">
            <v>14886.987454145676</v>
          </cell>
        </row>
        <row r="70">
          <cell r="G70">
            <v>14646.983270488618</v>
          </cell>
        </row>
        <row r="71">
          <cell r="G71">
            <v>4655.9192753657098</v>
          </cell>
        </row>
        <row r="76">
          <cell r="G76">
            <v>868769.41999999993</v>
          </cell>
        </row>
        <row r="77">
          <cell r="G77">
            <v>291697.07</v>
          </cell>
        </row>
        <row r="78">
          <cell r="G78">
            <v>345359.31</v>
          </cell>
        </row>
        <row r="79">
          <cell r="G79">
            <v>166335.44</v>
          </cell>
        </row>
        <row r="83">
          <cell r="G83">
            <v>-18251.45</v>
          </cell>
        </row>
        <row r="84">
          <cell r="G84">
            <v>-76154.27</v>
          </cell>
        </row>
        <row r="85">
          <cell r="G85">
            <v>10465.43</v>
          </cell>
        </row>
        <row r="86">
          <cell r="G86">
            <v>-57884.73</v>
          </cell>
        </row>
        <row r="90">
          <cell r="G90">
            <v>156957.4</v>
          </cell>
        </row>
        <row r="91">
          <cell r="G91">
            <v>53597.2</v>
          </cell>
        </row>
        <row r="92">
          <cell r="G92">
            <v>60699.51</v>
          </cell>
        </row>
        <row r="93">
          <cell r="G93">
            <v>10645.47</v>
          </cell>
        </row>
        <row r="97">
          <cell r="G97">
            <v>-43804.45</v>
          </cell>
        </row>
        <row r="98">
          <cell r="G98">
            <v>0</v>
          </cell>
        </row>
        <row r="99">
          <cell r="G99">
            <v>0</v>
          </cell>
        </row>
        <row r="100">
          <cell r="G100">
            <v>0</v>
          </cell>
        </row>
        <row r="104">
          <cell r="G104">
            <v>47455.01</v>
          </cell>
        </row>
        <row r="105">
          <cell r="G105">
            <v>9964.0499999999993</v>
          </cell>
        </row>
        <row r="106">
          <cell r="G106">
            <v>9418.89</v>
          </cell>
        </row>
        <row r="107">
          <cell r="G107">
            <v>5988.08</v>
          </cell>
        </row>
        <row r="127">
          <cell r="G127">
            <v>365031532.99315</v>
          </cell>
        </row>
        <row r="128">
          <cell r="G128">
            <v>124677089.14916666</v>
          </cell>
        </row>
        <row r="129">
          <cell r="G129">
            <v>104654334.94990002</v>
          </cell>
        </row>
        <row r="130">
          <cell r="G130">
            <v>66534177.74660001</v>
          </cell>
        </row>
      </sheetData>
      <sheetData sheetId="43">
        <row r="36">
          <cell r="G36">
            <v>0</v>
          </cell>
        </row>
        <row r="37">
          <cell r="G37">
            <v>-2.87</v>
          </cell>
        </row>
        <row r="38">
          <cell r="G38">
            <v>-0.73</v>
          </cell>
        </row>
        <row r="39">
          <cell r="G39">
            <v>-0.28000000000000003</v>
          </cell>
        </row>
        <row r="44">
          <cell r="G44">
            <v>0</v>
          </cell>
        </row>
        <row r="45">
          <cell r="G45">
            <v>-1295.8</v>
          </cell>
        </row>
        <row r="46">
          <cell r="G46">
            <v>-3214.48</v>
          </cell>
        </row>
        <row r="47">
          <cell r="G47">
            <v>-692.2</v>
          </cell>
        </row>
        <row r="52">
          <cell r="G52">
            <v>59927.950000000004</v>
          </cell>
        </row>
        <row r="53">
          <cell r="G53">
            <v>18165.814140562539</v>
          </cell>
        </row>
        <row r="54">
          <cell r="G54">
            <v>18228.294258002061</v>
          </cell>
        </row>
        <row r="55">
          <cell r="G55">
            <v>6172.9916014354039</v>
          </cell>
        </row>
        <row r="60">
          <cell r="G60">
            <v>-3745.78</v>
          </cell>
        </row>
        <row r="64">
          <cell r="G64">
            <v>0</v>
          </cell>
        </row>
        <row r="68">
          <cell r="G68">
            <v>-3756.2</v>
          </cell>
        </row>
        <row r="69">
          <cell r="G69">
            <v>6480.6688714561324</v>
          </cell>
        </row>
        <row r="70">
          <cell r="G70">
            <v>6428.8169678262702</v>
          </cell>
        </row>
        <row r="71">
          <cell r="G71">
            <v>2763.0841607175976</v>
          </cell>
        </row>
        <row r="76">
          <cell r="G76">
            <v>614226.88</v>
          </cell>
        </row>
        <row r="77">
          <cell r="G77">
            <v>246732.11</v>
          </cell>
        </row>
        <row r="78">
          <cell r="G78">
            <v>218866.96</v>
          </cell>
        </row>
        <row r="79">
          <cell r="G79">
            <v>153508.48000000001</v>
          </cell>
        </row>
        <row r="83">
          <cell r="G83">
            <v>-119804.01000000001</v>
          </cell>
        </row>
        <row r="84">
          <cell r="G84">
            <v>-83037.739999999991</v>
          </cell>
        </row>
        <row r="85">
          <cell r="G85">
            <v>-30056.51</v>
          </cell>
        </row>
        <row r="86">
          <cell r="G86">
            <v>-73008.679999999993</v>
          </cell>
        </row>
        <row r="90">
          <cell r="G90">
            <v>134809.82999999999</v>
          </cell>
        </row>
        <row r="91">
          <cell r="G91">
            <v>19524.86</v>
          </cell>
        </row>
        <row r="92">
          <cell r="G92">
            <v>36476.959999999999</v>
          </cell>
        </row>
        <row r="93">
          <cell r="G93">
            <v>1506.1</v>
          </cell>
        </row>
        <row r="97">
          <cell r="G97">
            <v>-26214.71</v>
          </cell>
        </row>
        <row r="98">
          <cell r="G98">
            <v>0</v>
          </cell>
        </row>
        <row r="99">
          <cell r="G99">
            <v>0</v>
          </cell>
        </row>
        <row r="100">
          <cell r="G100">
            <v>0</v>
          </cell>
        </row>
        <row r="104">
          <cell r="G104">
            <v>183440.07</v>
          </cell>
        </row>
        <row r="105">
          <cell r="G105">
            <v>25938.720000000001</v>
          </cell>
        </row>
        <row r="106">
          <cell r="G106">
            <v>50444.56</v>
          </cell>
        </row>
        <row r="107">
          <cell r="G107">
            <v>20992.58</v>
          </cell>
        </row>
        <row r="127">
          <cell r="G127">
            <v>374446184.758775</v>
          </cell>
        </row>
        <row r="128">
          <cell r="G128">
            <v>129787932.83900003</v>
          </cell>
        </row>
        <row r="129">
          <cell r="G129">
            <v>107305535.94329999</v>
          </cell>
        </row>
        <row r="130">
          <cell r="G130">
            <v>68416351.59360002</v>
          </cell>
        </row>
      </sheetData>
      <sheetData sheetId="44">
        <row r="36">
          <cell r="G36">
            <v>0</v>
          </cell>
        </row>
        <row r="37">
          <cell r="G37">
            <v>23.389999999999997</v>
          </cell>
        </row>
        <row r="38">
          <cell r="G38">
            <v>21.82</v>
          </cell>
        </row>
        <row r="39">
          <cell r="G39">
            <v>8.14</v>
          </cell>
        </row>
        <row r="44">
          <cell r="G44">
            <v>0</v>
          </cell>
        </row>
        <row r="45">
          <cell r="G45">
            <v>-1273.56</v>
          </cell>
        </row>
        <row r="46">
          <cell r="G46">
            <v>-3212.21</v>
          </cell>
        </row>
        <row r="47">
          <cell r="G47">
            <v>-666</v>
          </cell>
        </row>
        <row r="52">
          <cell r="G52">
            <v>58236.4</v>
          </cell>
        </row>
        <row r="53">
          <cell r="G53">
            <v>17873.54</v>
          </cell>
        </row>
        <row r="54">
          <cell r="G54">
            <v>18222.02</v>
          </cell>
        </row>
        <row r="55">
          <cell r="G55">
            <v>5995.22</v>
          </cell>
        </row>
        <row r="60">
          <cell r="G60">
            <v>-3639.59</v>
          </cell>
        </row>
        <row r="64">
          <cell r="G64">
            <v>0</v>
          </cell>
        </row>
        <row r="68">
          <cell r="G68">
            <v>-3640.7</v>
          </cell>
        </row>
        <row r="69">
          <cell r="G69">
            <v>6394.2955914074209</v>
          </cell>
        </row>
        <row r="70">
          <cell r="G70">
            <v>6427.3326570908321</v>
          </cell>
        </row>
        <row r="71">
          <cell r="G71">
            <v>2666.5417515017466</v>
          </cell>
        </row>
        <row r="76">
          <cell r="G76">
            <v>596771.85</v>
          </cell>
        </row>
        <row r="77">
          <cell r="G77">
            <v>242317.26</v>
          </cell>
        </row>
        <row r="78">
          <cell r="G78">
            <v>218747.39</v>
          </cell>
        </row>
        <row r="79">
          <cell r="G79">
            <v>149225.65</v>
          </cell>
        </row>
        <row r="83">
          <cell r="G83">
            <v>-116388.16</v>
          </cell>
        </row>
        <row r="84">
          <cell r="G84">
            <v>-81574.559999999998</v>
          </cell>
        </row>
        <row r="85">
          <cell r="G85">
            <v>-30024.15</v>
          </cell>
        </row>
        <row r="86">
          <cell r="G86">
            <v>-71224.929999999993</v>
          </cell>
        </row>
        <row r="90">
          <cell r="G90">
            <v>131006.15</v>
          </cell>
        </row>
        <row r="91">
          <cell r="G91">
            <v>19161.14</v>
          </cell>
        </row>
        <row r="92">
          <cell r="G92">
            <v>36457.9</v>
          </cell>
        </row>
        <row r="93">
          <cell r="G93">
            <v>1356.56</v>
          </cell>
        </row>
        <row r="97">
          <cell r="G97">
            <v>-25464.73</v>
          </cell>
        </row>
        <row r="98">
          <cell r="G98">
            <v>0</v>
          </cell>
        </row>
        <row r="99">
          <cell r="G99">
            <v>0</v>
          </cell>
        </row>
        <row r="100">
          <cell r="G100">
            <v>0</v>
          </cell>
        </row>
        <row r="104">
          <cell r="G104">
            <v>178235.24</v>
          </cell>
        </row>
        <row r="105">
          <cell r="G105">
            <v>25491.73</v>
          </cell>
        </row>
        <row r="106">
          <cell r="G106">
            <v>50397.68</v>
          </cell>
        </row>
        <row r="107">
          <cell r="G107">
            <v>20606.78</v>
          </cell>
        </row>
        <row r="127">
          <cell r="G127">
            <v>363799400.02147496</v>
          </cell>
        </row>
        <row r="128">
          <cell r="G128">
            <v>127505846.82459998</v>
          </cell>
        </row>
        <row r="129">
          <cell r="G129">
            <v>107229106.0633</v>
          </cell>
        </row>
        <row r="130">
          <cell r="G130">
            <v>66598199.146399997</v>
          </cell>
        </row>
      </sheetData>
      <sheetData sheetId="45">
        <row r="36">
          <cell r="G36">
            <v>0</v>
          </cell>
        </row>
        <row r="37">
          <cell r="G37">
            <v>3.61</v>
          </cell>
        </row>
        <row r="38">
          <cell r="G38">
            <v>3.45</v>
          </cell>
        </row>
        <row r="39">
          <cell r="G39">
            <v>1.44</v>
          </cell>
        </row>
        <row r="44">
          <cell r="G44">
            <v>0</v>
          </cell>
        </row>
        <row r="45">
          <cell r="G45">
            <v>-1088.57</v>
          </cell>
        </row>
        <row r="46">
          <cell r="G46">
            <v>-2813.75</v>
          </cell>
        </row>
        <row r="47">
          <cell r="G47">
            <v>-652.75</v>
          </cell>
        </row>
        <row r="52">
          <cell r="G52">
            <v>40258.1</v>
          </cell>
        </row>
        <row r="53">
          <cell r="G53">
            <v>15249.3</v>
          </cell>
        </row>
        <row r="54">
          <cell r="G54">
            <v>15947.949999999999</v>
          </cell>
        </row>
        <row r="55">
          <cell r="G55">
            <v>5877.29</v>
          </cell>
        </row>
        <row r="60">
          <cell r="G60">
            <v>-2516.06</v>
          </cell>
        </row>
        <row r="64">
          <cell r="G64">
            <v>0</v>
          </cell>
        </row>
        <row r="68">
          <cell r="G68">
            <v>-2516.2000000000003</v>
          </cell>
        </row>
        <row r="69">
          <cell r="G69">
            <v>5445.7862109497428</v>
          </cell>
        </row>
        <row r="70">
          <cell r="G70">
            <v>5628.1392959355817</v>
          </cell>
        </row>
        <row r="71">
          <cell r="G71">
            <v>2611.8644931146764</v>
          </cell>
        </row>
        <row r="76">
          <cell r="G76">
            <v>412659.51</v>
          </cell>
        </row>
        <row r="77">
          <cell r="G77">
            <v>206963.5</v>
          </cell>
        </row>
        <row r="78">
          <cell r="G78">
            <v>191385.14</v>
          </cell>
        </row>
        <row r="79">
          <cell r="G79">
            <v>146285.91</v>
          </cell>
        </row>
        <row r="83">
          <cell r="G83">
            <v>-80515.960000000006</v>
          </cell>
        </row>
        <row r="84">
          <cell r="G84">
            <v>-69713.460000000006</v>
          </cell>
        </row>
        <row r="85">
          <cell r="G85">
            <v>-26268.55</v>
          </cell>
        </row>
        <row r="86">
          <cell r="G86">
            <v>-69877.64</v>
          </cell>
        </row>
        <row r="90">
          <cell r="G90">
            <v>90583.02</v>
          </cell>
        </row>
        <row r="91">
          <cell r="G91">
            <v>16339.99</v>
          </cell>
        </row>
        <row r="92">
          <cell r="G92">
            <v>31897.52</v>
          </cell>
        </row>
        <row r="93">
          <cell r="G93">
            <v>1306.1199999999999</v>
          </cell>
        </row>
        <row r="97">
          <cell r="G97">
            <v>-17613.91</v>
          </cell>
        </row>
        <row r="98">
          <cell r="G98">
            <v>0</v>
          </cell>
        </row>
        <row r="99">
          <cell r="G99">
            <v>0</v>
          </cell>
        </row>
        <row r="100">
          <cell r="G100">
            <v>0</v>
          </cell>
        </row>
        <row r="104">
          <cell r="G104">
            <v>123290.55</v>
          </cell>
        </row>
        <row r="105">
          <cell r="G105">
            <v>21785.11</v>
          </cell>
        </row>
        <row r="106">
          <cell r="G106">
            <v>44093.64</v>
          </cell>
        </row>
        <row r="107">
          <cell r="G107">
            <v>20244.919999999998</v>
          </cell>
        </row>
        <row r="127">
          <cell r="G127">
            <v>251619273.30189997</v>
          </cell>
        </row>
        <row r="128">
          <cell r="G128">
            <v>108927432.45650001</v>
          </cell>
        </row>
        <row r="129">
          <cell r="G129">
            <v>93816244.750000015</v>
          </cell>
        </row>
        <row r="130">
          <cell r="G130">
            <v>65306209.4824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52023 06062023"/>
      <sheetName val="Input"/>
      <sheetName val="Program Descriptions"/>
    </sheetNames>
    <sheetDataSet>
      <sheetData sheetId="0">
        <row r="27">
          <cell r="N27">
            <v>641693.78</v>
          </cell>
          <cell r="O27">
            <v>230269.61000000002</v>
          </cell>
          <cell r="Q27">
            <v>153247.32</v>
          </cell>
          <cell r="R27">
            <v>41535.839999999938</v>
          </cell>
        </row>
      </sheetData>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62023 07072023"/>
      <sheetName val="Input"/>
      <sheetName val="Program Descriptions"/>
    </sheetNames>
    <sheetDataSet>
      <sheetData sheetId="0">
        <row r="27">
          <cell r="N27">
            <v>523001.17</v>
          </cell>
          <cell r="O27">
            <v>218399.39</v>
          </cell>
          <cell r="Q27">
            <v>176401.13</v>
          </cell>
          <cell r="R27">
            <v>175526.34999999998</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72023 08072023"/>
      <sheetName val="Input"/>
      <sheetName val="Program Descriptions"/>
    </sheetNames>
    <sheetDataSet>
      <sheetData sheetId="0">
        <row r="27">
          <cell r="N27">
            <v>835520</v>
          </cell>
          <cell r="O27">
            <v>135968.04</v>
          </cell>
          <cell r="Q27">
            <v>334617.96999999997</v>
          </cell>
          <cell r="R27">
            <v>68206.489999999889</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82023 09112023"/>
      <sheetName val="Input"/>
      <sheetName val="Program Descriptions"/>
    </sheetNames>
    <sheetDataSet>
      <sheetData sheetId="0">
        <row r="27">
          <cell r="N27">
            <v>755986.74</v>
          </cell>
          <cell r="O27">
            <v>92777.66</v>
          </cell>
          <cell r="Q27">
            <v>-71033.409999999989</v>
          </cell>
          <cell r="R27">
            <v>81643.169999999562</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92023 10062023"/>
      <sheetName val="Input"/>
      <sheetName val="Program Descriptions"/>
    </sheetNames>
    <sheetDataSet>
      <sheetData sheetId="0">
        <row r="27">
          <cell r="N27">
            <v>773448.92</v>
          </cell>
          <cell r="O27">
            <v>174256.08</v>
          </cell>
          <cell r="Q27">
            <v>303772.82999999996</v>
          </cell>
          <cell r="R27">
            <v>63381.21999999987</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E246-9D86-4653-B38B-6571C92E4A18}">
  <dimension ref="A1:C72"/>
  <sheetViews>
    <sheetView workbookViewId="0">
      <selection activeCell="F7" sqref="F7"/>
    </sheetView>
  </sheetViews>
  <sheetFormatPr defaultColWidth="8.7109375" defaultRowHeight="15" x14ac:dyDescent="0.25"/>
  <cols>
    <col min="1" max="1" width="17" style="3" bestFit="1" customWidth="1"/>
    <col min="2" max="2" width="62.28515625" style="281" customWidth="1"/>
    <col min="3" max="3" width="63.42578125" style="281" customWidth="1"/>
    <col min="4" max="16384" width="8.7109375" style="46"/>
  </cols>
  <sheetData>
    <row r="1" spans="1:3" x14ac:dyDescent="0.25">
      <c r="A1" s="3" t="str">
        <f>+'PPC Cycle 3'!A1</f>
        <v>Evergy Missouri West, Inc. - DSIM Rider Update Filed 12/01/2023</v>
      </c>
    </row>
    <row r="4" spans="1:3" s="3" customFormat="1" x14ac:dyDescent="0.25">
      <c r="A4" s="282" t="s">
        <v>189</v>
      </c>
      <c r="B4" s="283" t="s">
        <v>190</v>
      </c>
      <c r="C4" s="283" t="s">
        <v>191</v>
      </c>
    </row>
    <row r="5" spans="1:3" s="286" customFormat="1" ht="30" x14ac:dyDescent="0.25">
      <c r="A5" s="284" t="s">
        <v>192</v>
      </c>
      <c r="B5" s="285" t="s">
        <v>269</v>
      </c>
      <c r="C5" s="285" t="s">
        <v>193</v>
      </c>
    </row>
    <row r="6" spans="1:3" s="286" customFormat="1" ht="30" x14ac:dyDescent="0.25">
      <c r="A6" s="284" t="s">
        <v>194</v>
      </c>
      <c r="B6" s="285" t="s">
        <v>195</v>
      </c>
      <c r="C6" s="285" t="s">
        <v>196</v>
      </c>
    </row>
    <row r="7" spans="1:3" s="286" customFormat="1" ht="90" x14ac:dyDescent="0.25">
      <c r="A7" s="284" t="s">
        <v>197</v>
      </c>
      <c r="B7" s="285" t="s">
        <v>270</v>
      </c>
      <c r="C7" s="285" t="s">
        <v>198</v>
      </c>
    </row>
    <row r="8" spans="1:3" s="286" customFormat="1" ht="75" x14ac:dyDescent="0.25">
      <c r="A8" s="284" t="s">
        <v>199</v>
      </c>
      <c r="B8" s="285" t="s">
        <v>271</v>
      </c>
      <c r="C8" s="285" t="s">
        <v>200</v>
      </c>
    </row>
    <row r="9" spans="1:3" s="286" customFormat="1" ht="135" x14ac:dyDescent="0.25">
      <c r="A9" s="284" t="s">
        <v>201</v>
      </c>
      <c r="B9" s="285" t="s">
        <v>272</v>
      </c>
      <c r="C9" s="285" t="s">
        <v>202</v>
      </c>
    </row>
    <row r="10" spans="1:3" s="286" customFormat="1" ht="45" x14ac:dyDescent="0.25">
      <c r="A10" s="284" t="s">
        <v>203</v>
      </c>
      <c r="B10" s="285" t="s">
        <v>273</v>
      </c>
      <c r="C10" s="285" t="s">
        <v>204</v>
      </c>
    </row>
    <row r="11" spans="1:3" s="286" customFormat="1" ht="75" x14ac:dyDescent="0.25">
      <c r="A11" s="284" t="s">
        <v>205</v>
      </c>
      <c r="B11" s="285" t="s">
        <v>274</v>
      </c>
      <c r="C11" s="285" t="s">
        <v>206</v>
      </c>
    </row>
    <row r="12" spans="1:3" s="286" customFormat="1" ht="180" x14ac:dyDescent="0.25">
      <c r="A12" s="284" t="s">
        <v>207</v>
      </c>
      <c r="B12" s="285" t="s">
        <v>275</v>
      </c>
      <c r="C12" s="285" t="s">
        <v>208</v>
      </c>
    </row>
    <row r="13" spans="1:3" s="286" customFormat="1" ht="210" x14ac:dyDescent="0.25">
      <c r="A13" s="284" t="s">
        <v>209</v>
      </c>
      <c r="B13" s="285" t="s">
        <v>276</v>
      </c>
      <c r="C13" s="285" t="s">
        <v>210</v>
      </c>
    </row>
    <row r="14" spans="1:3" s="286" customFormat="1" ht="180" x14ac:dyDescent="0.25">
      <c r="A14" s="284" t="s">
        <v>211</v>
      </c>
      <c r="B14" s="285" t="s">
        <v>277</v>
      </c>
      <c r="C14" s="285" t="s">
        <v>212</v>
      </c>
    </row>
    <row r="15" spans="1:3" s="286" customFormat="1" ht="200.45" customHeight="1" x14ac:dyDescent="0.25">
      <c r="A15" s="284" t="s">
        <v>213</v>
      </c>
      <c r="B15" s="285" t="s">
        <v>278</v>
      </c>
      <c r="C15" s="285" t="s">
        <v>279</v>
      </c>
    </row>
    <row r="16" spans="1:3" s="286" customFormat="1" ht="105" x14ac:dyDescent="0.25">
      <c r="A16" s="284" t="s">
        <v>214</v>
      </c>
      <c r="B16" s="285" t="s">
        <v>280</v>
      </c>
      <c r="C16" s="285" t="s">
        <v>215</v>
      </c>
    </row>
    <row r="17" spans="1:3" s="286" customFormat="1" ht="105" x14ac:dyDescent="0.25">
      <c r="A17" s="284" t="s">
        <v>216</v>
      </c>
      <c r="B17" s="285" t="s">
        <v>281</v>
      </c>
      <c r="C17" s="285" t="s">
        <v>217</v>
      </c>
    </row>
    <row r="18" spans="1:3" s="286" customFormat="1" ht="30" x14ac:dyDescent="0.25">
      <c r="A18" s="284" t="s">
        <v>218</v>
      </c>
      <c r="B18" s="285" t="s">
        <v>282</v>
      </c>
      <c r="C18" s="285" t="s">
        <v>286</v>
      </c>
    </row>
    <row r="19" spans="1:3" s="286" customFormat="1" ht="30" x14ac:dyDescent="0.25">
      <c r="A19" s="284" t="s">
        <v>219</v>
      </c>
      <c r="B19" s="285" t="s">
        <v>283</v>
      </c>
      <c r="C19" s="285" t="s">
        <v>287</v>
      </c>
    </row>
    <row r="20" spans="1:3" s="286" customFormat="1" ht="75" x14ac:dyDescent="0.25">
      <c r="A20" s="284" t="s">
        <v>220</v>
      </c>
      <c r="B20" s="285" t="s">
        <v>284</v>
      </c>
      <c r="C20" s="285" t="s">
        <v>221</v>
      </c>
    </row>
    <row r="21" spans="1:3" s="286" customFormat="1" ht="75" x14ac:dyDescent="0.25">
      <c r="A21" s="284" t="s">
        <v>222</v>
      </c>
      <c r="B21" s="285" t="s">
        <v>285</v>
      </c>
      <c r="C21" s="285" t="s">
        <v>221</v>
      </c>
    </row>
    <row r="22" spans="1:3" s="286" customFormat="1" x14ac:dyDescent="0.25">
      <c r="A22" s="287"/>
      <c r="B22" s="288"/>
      <c r="C22" s="288"/>
    </row>
    <row r="23" spans="1:3" s="286" customFormat="1" x14ac:dyDescent="0.25">
      <c r="A23" s="287"/>
      <c r="B23" s="288"/>
      <c r="C23" s="288"/>
    </row>
    <row r="24" spans="1:3" s="286" customFormat="1" x14ac:dyDescent="0.25">
      <c r="A24" s="287"/>
      <c r="B24" s="288"/>
      <c r="C24" s="288"/>
    </row>
    <row r="25" spans="1:3" s="286" customFormat="1" x14ac:dyDescent="0.25">
      <c r="A25" s="287"/>
      <c r="B25" s="288"/>
      <c r="C25" s="288"/>
    </row>
    <row r="26" spans="1:3" s="286" customFormat="1" x14ac:dyDescent="0.25">
      <c r="A26" s="287"/>
      <c r="B26" s="288"/>
      <c r="C26" s="288"/>
    </row>
    <row r="27" spans="1:3" s="286" customFormat="1" x14ac:dyDescent="0.25">
      <c r="A27" s="287"/>
      <c r="B27" s="288"/>
      <c r="C27" s="288"/>
    </row>
    <row r="28" spans="1:3" s="286" customFormat="1" x14ac:dyDescent="0.25">
      <c r="A28" s="287"/>
      <c r="B28" s="288"/>
      <c r="C28" s="288"/>
    </row>
    <row r="29" spans="1:3" s="286" customFormat="1" x14ac:dyDescent="0.25">
      <c r="A29" s="287"/>
      <c r="B29" s="288"/>
      <c r="C29" s="288"/>
    </row>
    <row r="30" spans="1:3" s="286" customFormat="1" x14ac:dyDescent="0.25">
      <c r="A30" s="287"/>
      <c r="B30" s="288"/>
      <c r="C30" s="288"/>
    </row>
    <row r="31" spans="1:3" s="286" customFormat="1" x14ac:dyDescent="0.25">
      <c r="A31" s="287"/>
      <c r="B31" s="288"/>
      <c r="C31" s="288"/>
    </row>
    <row r="32" spans="1:3" s="286" customFormat="1" x14ac:dyDescent="0.25">
      <c r="A32" s="287"/>
      <c r="B32" s="288"/>
      <c r="C32" s="288"/>
    </row>
    <row r="33" spans="1:3" s="286" customFormat="1" x14ac:dyDescent="0.25">
      <c r="A33" s="287"/>
      <c r="B33" s="288"/>
      <c r="C33" s="288"/>
    </row>
    <row r="34" spans="1:3" s="286" customFormat="1" x14ac:dyDescent="0.25">
      <c r="A34" s="287"/>
      <c r="B34" s="288"/>
      <c r="C34" s="288"/>
    </row>
    <row r="35" spans="1:3" s="286" customFormat="1" x14ac:dyDescent="0.25">
      <c r="A35" s="287"/>
      <c r="B35" s="288"/>
      <c r="C35" s="288"/>
    </row>
    <row r="36" spans="1:3" s="286" customFormat="1" x14ac:dyDescent="0.25">
      <c r="A36" s="287"/>
      <c r="B36" s="288"/>
      <c r="C36" s="288"/>
    </row>
    <row r="37" spans="1:3" s="286" customFormat="1" x14ac:dyDescent="0.25">
      <c r="A37" s="287"/>
      <c r="B37" s="288"/>
      <c r="C37" s="288"/>
    </row>
    <row r="38" spans="1:3" s="286" customFormat="1" x14ac:dyDescent="0.25">
      <c r="A38" s="287"/>
      <c r="B38" s="288"/>
      <c r="C38" s="288"/>
    </row>
    <row r="39" spans="1:3" s="286" customFormat="1" x14ac:dyDescent="0.25">
      <c r="A39" s="287"/>
      <c r="B39" s="288"/>
      <c r="C39" s="288"/>
    </row>
    <row r="40" spans="1:3" s="286" customFormat="1" x14ac:dyDescent="0.25">
      <c r="A40" s="287"/>
      <c r="B40" s="288"/>
      <c r="C40" s="288"/>
    </row>
    <row r="41" spans="1:3" s="286" customFormat="1" x14ac:dyDescent="0.25">
      <c r="A41" s="287"/>
      <c r="B41" s="288"/>
      <c r="C41" s="288"/>
    </row>
    <row r="42" spans="1:3" s="286" customFormat="1" x14ac:dyDescent="0.25">
      <c r="A42" s="287"/>
      <c r="B42" s="288"/>
      <c r="C42" s="288"/>
    </row>
    <row r="43" spans="1:3" s="286" customFormat="1" x14ac:dyDescent="0.25">
      <c r="A43" s="287"/>
      <c r="B43" s="288"/>
      <c r="C43" s="288"/>
    </row>
    <row r="44" spans="1:3" s="286" customFormat="1" x14ac:dyDescent="0.25">
      <c r="A44" s="287"/>
      <c r="B44" s="288"/>
      <c r="C44" s="288"/>
    </row>
    <row r="45" spans="1:3" s="286" customFormat="1" x14ac:dyDescent="0.25">
      <c r="A45" s="287"/>
      <c r="B45" s="288"/>
      <c r="C45" s="288"/>
    </row>
    <row r="46" spans="1:3" s="286" customFormat="1" x14ac:dyDescent="0.25">
      <c r="A46" s="287"/>
      <c r="B46" s="288"/>
      <c r="C46" s="288"/>
    </row>
    <row r="47" spans="1:3" s="286" customFormat="1" x14ac:dyDescent="0.25">
      <c r="A47" s="287"/>
      <c r="B47" s="288"/>
      <c r="C47" s="288"/>
    </row>
    <row r="48" spans="1:3" s="286" customFormat="1" x14ac:dyDescent="0.25">
      <c r="A48" s="287"/>
      <c r="B48" s="288"/>
      <c r="C48" s="288"/>
    </row>
    <row r="49" spans="1:3" s="286" customFormat="1" x14ac:dyDescent="0.25">
      <c r="A49" s="287"/>
      <c r="B49" s="288"/>
      <c r="C49" s="288"/>
    </row>
    <row r="50" spans="1:3" s="286" customFormat="1" x14ac:dyDescent="0.25">
      <c r="A50" s="287"/>
      <c r="B50" s="288"/>
      <c r="C50" s="288"/>
    </row>
    <row r="51" spans="1:3" s="286" customFormat="1" x14ac:dyDescent="0.25">
      <c r="A51" s="287"/>
      <c r="B51" s="288"/>
      <c r="C51" s="288"/>
    </row>
    <row r="52" spans="1:3" s="286" customFormat="1" x14ac:dyDescent="0.25">
      <c r="A52" s="287"/>
      <c r="B52" s="288"/>
      <c r="C52" s="288"/>
    </row>
    <row r="53" spans="1:3" s="286" customFormat="1" x14ac:dyDescent="0.25">
      <c r="A53" s="287"/>
      <c r="B53" s="288"/>
      <c r="C53" s="288"/>
    </row>
    <row r="54" spans="1:3" s="286" customFormat="1" x14ac:dyDescent="0.25">
      <c r="A54" s="287"/>
      <c r="B54" s="288"/>
      <c r="C54" s="288"/>
    </row>
    <row r="55" spans="1:3" s="286" customFormat="1" x14ac:dyDescent="0.25">
      <c r="A55" s="287"/>
      <c r="B55" s="288"/>
      <c r="C55" s="288"/>
    </row>
    <row r="56" spans="1:3" s="286" customFormat="1" x14ac:dyDescent="0.25">
      <c r="A56" s="287"/>
      <c r="B56" s="288"/>
      <c r="C56" s="288"/>
    </row>
    <row r="57" spans="1:3" s="286" customFormat="1" x14ac:dyDescent="0.25">
      <c r="A57" s="287"/>
      <c r="B57" s="288"/>
      <c r="C57" s="288"/>
    </row>
    <row r="58" spans="1:3" s="286" customFormat="1" x14ac:dyDescent="0.25">
      <c r="A58" s="287"/>
      <c r="B58" s="288"/>
      <c r="C58" s="288"/>
    </row>
    <row r="59" spans="1:3" s="286" customFormat="1" x14ac:dyDescent="0.25">
      <c r="A59" s="287"/>
      <c r="B59" s="288"/>
      <c r="C59" s="288"/>
    </row>
    <row r="60" spans="1:3" s="286" customFormat="1" x14ac:dyDescent="0.25">
      <c r="A60" s="287"/>
      <c r="B60" s="288"/>
      <c r="C60" s="288"/>
    </row>
    <row r="61" spans="1:3" s="286" customFormat="1" x14ac:dyDescent="0.25">
      <c r="A61" s="287"/>
      <c r="B61" s="288"/>
      <c r="C61" s="288"/>
    </row>
    <row r="62" spans="1:3" s="286" customFormat="1" x14ac:dyDescent="0.25">
      <c r="A62" s="287"/>
      <c r="B62" s="288"/>
      <c r="C62" s="288"/>
    </row>
    <row r="63" spans="1:3" s="286" customFormat="1" x14ac:dyDescent="0.25">
      <c r="A63" s="287"/>
      <c r="B63" s="288"/>
      <c r="C63" s="288"/>
    </row>
    <row r="64" spans="1:3" s="286" customFormat="1" x14ac:dyDescent="0.25">
      <c r="A64" s="287"/>
      <c r="B64" s="288"/>
      <c r="C64" s="288"/>
    </row>
    <row r="65" spans="1:3" s="286" customFormat="1" x14ac:dyDescent="0.25">
      <c r="A65" s="287"/>
      <c r="B65" s="288"/>
      <c r="C65" s="288"/>
    </row>
    <row r="66" spans="1:3" s="286" customFormat="1" x14ac:dyDescent="0.25">
      <c r="A66" s="287"/>
      <c r="B66" s="288"/>
      <c r="C66" s="288"/>
    </row>
    <row r="67" spans="1:3" s="286" customFormat="1" x14ac:dyDescent="0.25">
      <c r="A67" s="287"/>
      <c r="B67" s="288"/>
      <c r="C67" s="288"/>
    </row>
    <row r="68" spans="1:3" s="286" customFormat="1" x14ac:dyDescent="0.25">
      <c r="A68" s="287"/>
      <c r="B68" s="288"/>
      <c r="C68" s="288"/>
    </row>
    <row r="69" spans="1:3" s="286" customFormat="1" x14ac:dyDescent="0.25">
      <c r="A69" s="287"/>
      <c r="B69" s="288"/>
      <c r="C69" s="288"/>
    </row>
    <row r="70" spans="1:3" s="286" customFormat="1" x14ac:dyDescent="0.25">
      <c r="A70" s="287"/>
      <c r="B70" s="288"/>
      <c r="C70" s="288"/>
    </row>
    <row r="71" spans="1:3" s="286" customFormat="1" x14ac:dyDescent="0.25">
      <c r="A71" s="287"/>
      <c r="B71" s="288"/>
      <c r="C71" s="288"/>
    </row>
    <row r="72" spans="1:3" s="286" customFormat="1" x14ac:dyDescent="0.25">
      <c r="A72" s="287"/>
      <c r="B72" s="288"/>
      <c r="C72" s="288"/>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J66"/>
  <sheetViews>
    <sheetView workbookViewId="0">
      <selection activeCell="N3" sqref="N3"/>
    </sheetView>
  </sheetViews>
  <sheetFormatPr defaultColWidth="9.140625" defaultRowHeight="15" outlineLevelCol="1" x14ac:dyDescent="0.25"/>
  <cols>
    <col min="1" max="1" width="61.7109375" style="46" customWidth="1"/>
    <col min="2" max="2" width="12.140625" style="46" customWidth="1"/>
    <col min="3" max="3" width="12.42578125" style="46" customWidth="1"/>
    <col min="4" max="4" width="12.42578125" style="46" hidden="1" customWidth="1" outlineLevel="1"/>
    <col min="5" max="5" width="15.42578125" style="46" customWidth="1" collapsed="1"/>
    <col min="6" max="6" width="15.85546875" style="46" customWidth="1"/>
    <col min="7" max="7" width="12.28515625" style="46" customWidth="1"/>
    <col min="8" max="9" width="13.28515625" style="46" customWidth="1"/>
    <col min="10" max="10" width="12.28515625" style="46" bestFit="1" customWidth="1"/>
    <col min="11" max="11" width="11.5703125" style="46" bestFit="1" customWidth="1"/>
    <col min="12" max="12" width="12.85546875" style="46" customWidth="1"/>
    <col min="13" max="13" width="12.28515625" style="46" bestFit="1" customWidth="1"/>
    <col min="14" max="14" width="15" style="46" bestFit="1" customWidth="1"/>
    <col min="15" max="15" width="16" style="46" bestFit="1" customWidth="1"/>
    <col min="16" max="16" width="17.85546875" style="174" customWidth="1" outlineLevel="1"/>
    <col min="17" max="17" width="15.28515625" style="46" bestFit="1" customWidth="1"/>
    <col min="18" max="18" width="17.42578125" style="46" bestFit="1" customWidth="1"/>
    <col min="19" max="19" width="16.28515625" style="46" bestFit="1" customWidth="1"/>
    <col min="20" max="20" width="15.28515625" style="46" bestFit="1" customWidth="1"/>
    <col min="21" max="21" width="12.42578125" style="46" customWidth="1"/>
    <col min="22" max="23" width="14.28515625" style="46" bestFit="1" customWidth="1"/>
    <col min="24" max="16384" width="9.140625" style="46"/>
  </cols>
  <sheetData>
    <row r="1" spans="1:36" x14ac:dyDescent="0.25">
      <c r="A1" s="3" t="str">
        <f>+'PPC Cycle 3'!A1</f>
        <v>Evergy Missouri West, Inc. - DSIM Rider Update Filed 12/01/2023</v>
      </c>
      <c r="B1" s="3"/>
      <c r="C1" s="3"/>
      <c r="D1" s="3"/>
    </row>
    <row r="2" spans="1:36" x14ac:dyDescent="0.25">
      <c r="E2" s="3" t="s">
        <v>139</v>
      </c>
    </row>
    <row r="3" spans="1:36" ht="30" x14ac:dyDescent="0.25">
      <c r="E3" s="48" t="s">
        <v>46</v>
      </c>
      <c r="F3" s="70" t="s">
        <v>71</v>
      </c>
      <c r="G3" s="70" t="s">
        <v>54</v>
      </c>
      <c r="H3" s="48" t="s">
        <v>3</v>
      </c>
      <c r="I3" s="70" t="s">
        <v>55</v>
      </c>
      <c r="J3" s="48" t="s">
        <v>10</v>
      </c>
      <c r="K3" s="48" t="s">
        <v>9</v>
      </c>
      <c r="T3" s="48"/>
    </row>
    <row r="4" spans="1:36" x14ac:dyDescent="0.25">
      <c r="A4" s="20" t="s">
        <v>24</v>
      </c>
      <c r="B4" s="20"/>
      <c r="C4" s="20"/>
      <c r="D4" s="20"/>
      <c r="E4" s="22">
        <f>SUM(C15:M15)</f>
        <v>704208.89</v>
      </c>
      <c r="F4" s="128">
        <f>N21</f>
        <v>16953344.563978218</v>
      </c>
      <c r="G4" s="22">
        <f>SUM(C27:L27)</f>
        <v>869544.18</v>
      </c>
      <c r="H4" s="22">
        <f>G4-E4</f>
        <v>165335.29000000004</v>
      </c>
      <c r="I4" s="22">
        <f>+B41</f>
        <v>-378729.88999999984</v>
      </c>
      <c r="J4" s="22">
        <f>SUM(C48:L48)</f>
        <v>-3284.0199999999995</v>
      </c>
      <c r="K4" s="25">
        <f>SUM(H4:J4)</f>
        <v>-216678.61999999979</v>
      </c>
      <c r="L4" s="47">
        <f>+K4-M41</f>
        <v>0</v>
      </c>
    </row>
    <row r="5" spans="1:36" x14ac:dyDescent="0.25">
      <c r="A5" s="20" t="s">
        <v>107</v>
      </c>
      <c r="B5" s="20"/>
      <c r="C5" s="20"/>
      <c r="D5" s="20"/>
      <c r="E5" s="22">
        <f>SUM(C16:M16)</f>
        <v>100807.40000000002</v>
      </c>
      <c r="F5" s="128">
        <f>N22</f>
        <v>5612478.8817912498</v>
      </c>
      <c r="G5" s="22">
        <f>SUM(C28:L28)</f>
        <v>243276.32</v>
      </c>
      <c r="H5" s="22">
        <f t="shared" ref="H5:H6" si="0">G5-E5</f>
        <v>142468.91999999998</v>
      </c>
      <c r="I5" s="22">
        <f>+B42</f>
        <v>-337709.34</v>
      </c>
      <c r="J5" s="22">
        <f>SUM(C49:L49)</f>
        <v>-8104.6</v>
      </c>
      <c r="K5" s="25">
        <f t="shared" ref="K5:K6" si="1">SUM(H5:J5)</f>
        <v>-203345.02000000005</v>
      </c>
      <c r="L5" s="47">
        <f t="shared" ref="L5:L6" si="2">+K5-M42</f>
        <v>0</v>
      </c>
    </row>
    <row r="6" spans="1:36" x14ac:dyDescent="0.25">
      <c r="A6" s="20" t="s">
        <v>108</v>
      </c>
      <c r="B6" s="20"/>
      <c r="C6" s="20"/>
      <c r="D6" s="20"/>
      <c r="E6" s="22">
        <f>SUM(C17:M17)</f>
        <v>195217.82</v>
      </c>
      <c r="F6" s="128">
        <f>N23</f>
        <v>10740497.851917183</v>
      </c>
      <c r="G6" s="22">
        <f>SUM(C29:L29)</f>
        <v>232968.46000000002</v>
      </c>
      <c r="H6" s="22">
        <f t="shared" si="0"/>
        <v>37750.640000000014</v>
      </c>
      <c r="I6" s="22">
        <f>+B43</f>
        <v>-94651.449999999939</v>
      </c>
      <c r="J6" s="22">
        <f>SUM(C50:L50)</f>
        <v>-1193.48</v>
      </c>
      <c r="K6" s="25">
        <f t="shared" si="1"/>
        <v>-58094.289999999928</v>
      </c>
      <c r="L6" s="47">
        <f t="shared" si="2"/>
        <v>0</v>
      </c>
    </row>
    <row r="7" spans="1:36" ht="15.75" thickBot="1" x14ac:dyDescent="0.3">
      <c r="A7" s="20" t="s">
        <v>109</v>
      </c>
      <c r="B7" s="20"/>
      <c r="C7" s="20"/>
      <c r="D7" s="20"/>
      <c r="E7" s="22">
        <f>SUM(C18:M18)</f>
        <v>6574.24</v>
      </c>
      <c r="F7" s="128">
        <f>N24</f>
        <v>2754510.8468862828</v>
      </c>
      <c r="G7" s="22">
        <f>SUM(C30:L30)</f>
        <v>28518.789999999997</v>
      </c>
      <c r="H7" s="22">
        <f>G7-E7</f>
        <v>21944.549999999996</v>
      </c>
      <c r="I7" s="22">
        <f>+B44</f>
        <v>-29825.889999999981</v>
      </c>
      <c r="J7" s="22">
        <f>SUM(C51:L51)</f>
        <v>-405.26</v>
      </c>
      <c r="K7" s="25">
        <f>SUM(H7:J7)</f>
        <v>-8286.5999999999858</v>
      </c>
      <c r="L7" s="47">
        <f>+K7-M44</f>
        <v>0</v>
      </c>
    </row>
    <row r="8" spans="1:36" ht="16.5" thickTop="1" thickBot="1" x14ac:dyDescent="0.3">
      <c r="E8" s="27">
        <f t="shared" ref="E8:K8" si="3">SUM(E4:E7)</f>
        <v>1006808.3500000001</v>
      </c>
      <c r="F8" s="129">
        <f t="shared" si="3"/>
        <v>36060832.144572936</v>
      </c>
      <c r="G8" s="27">
        <f t="shared" si="3"/>
        <v>1374307.75</v>
      </c>
      <c r="H8" s="27">
        <f t="shared" si="3"/>
        <v>367499.4</v>
      </c>
      <c r="I8" s="27">
        <f t="shared" si="3"/>
        <v>-840916.56999999983</v>
      </c>
      <c r="J8" s="27">
        <f t="shared" si="3"/>
        <v>-12987.359999999999</v>
      </c>
      <c r="K8" s="27">
        <f t="shared" si="3"/>
        <v>-486404.52999999974</v>
      </c>
      <c r="U8" s="5"/>
    </row>
    <row r="9" spans="1:36" ht="16.5" thickTop="1" thickBot="1" x14ac:dyDescent="0.3">
      <c r="W9" s="4"/>
      <c r="X9" s="5"/>
    </row>
    <row r="10" spans="1:36" ht="105.75" thickBot="1" x14ac:dyDescent="0.3">
      <c r="B10" s="112" t="str">
        <f>+'PCR Cycle 2'!B13</f>
        <v>Cumulative Over/Under Carryover From 06/01/2023 Filing</v>
      </c>
      <c r="C10" s="143" t="str">
        <f>+'PCR Cycle 2'!C13</f>
        <v>Reverse May 2023 - July 2023 Forecast From 06/01/2023 Filing</v>
      </c>
      <c r="D10" s="196"/>
      <c r="E10" s="375" t="s">
        <v>33</v>
      </c>
      <c r="F10" s="363"/>
      <c r="G10" s="364"/>
      <c r="H10" s="372" t="s">
        <v>33</v>
      </c>
      <c r="I10" s="373"/>
      <c r="J10" s="374"/>
      <c r="K10" s="359" t="s">
        <v>8</v>
      </c>
      <c r="L10" s="360"/>
      <c r="M10" s="361"/>
      <c r="P10" s="281" t="s">
        <v>247</v>
      </c>
    </row>
    <row r="11" spans="1:36" x14ac:dyDescent="0.25">
      <c r="A11" s="46" t="s">
        <v>63</v>
      </c>
      <c r="C11" s="102"/>
      <c r="D11" s="197"/>
      <c r="E11" s="19">
        <f>+'PCR Cycle 2'!D14</f>
        <v>45077</v>
      </c>
      <c r="F11" s="19">
        <f t="shared" ref="F11:M11" si="4">EOMONTH(E11,1)</f>
        <v>45107</v>
      </c>
      <c r="G11" s="19">
        <f t="shared" si="4"/>
        <v>45138</v>
      </c>
      <c r="H11" s="14">
        <f t="shared" si="4"/>
        <v>45169</v>
      </c>
      <c r="I11" s="19">
        <f t="shared" si="4"/>
        <v>45199</v>
      </c>
      <c r="J11" s="15">
        <f t="shared" si="4"/>
        <v>45230</v>
      </c>
      <c r="K11" s="19">
        <f t="shared" si="4"/>
        <v>45260</v>
      </c>
      <c r="L11" s="19">
        <f t="shared" si="4"/>
        <v>45291</v>
      </c>
      <c r="M11" s="15">
        <f t="shared" si="4"/>
        <v>45322</v>
      </c>
      <c r="AA11" s="1"/>
      <c r="AB11" s="1"/>
      <c r="AC11" s="1"/>
      <c r="AD11" s="1"/>
      <c r="AE11" s="1"/>
      <c r="AF11" s="1"/>
      <c r="AG11" s="1"/>
      <c r="AH11" s="1"/>
      <c r="AI11" s="1"/>
      <c r="AJ11" s="1"/>
    </row>
    <row r="12" spans="1:36" x14ac:dyDescent="0.25">
      <c r="A12" s="46" t="s">
        <v>5</v>
      </c>
      <c r="C12" s="177">
        <v>-349116.61</v>
      </c>
      <c r="D12" s="180"/>
      <c r="E12" s="106">
        <f>SUM(E27:E30)</f>
        <v>139390.01999999999</v>
      </c>
      <c r="F12" s="106">
        <f t="shared" ref="F12:L12" si="5">SUM(F27:F30)</f>
        <v>229762.22</v>
      </c>
      <c r="G12" s="107">
        <f t="shared" si="5"/>
        <v>299388.61</v>
      </c>
      <c r="H12" s="16">
        <f t="shared" si="5"/>
        <v>304777.2</v>
      </c>
      <c r="I12" s="55">
        <f t="shared" si="5"/>
        <v>251721.87</v>
      </c>
      <c r="J12" s="154">
        <f t="shared" si="5"/>
        <v>165653.43</v>
      </c>
      <c r="K12" s="147">
        <f t="shared" si="5"/>
        <v>159457.51000000004</v>
      </c>
      <c r="L12" s="77">
        <f t="shared" si="5"/>
        <v>173273.5</v>
      </c>
      <c r="M12" s="78"/>
      <c r="P12" s="174">
        <f>-SUM(K12:M12)</f>
        <v>-332731.01</v>
      </c>
    </row>
    <row r="13" spans="1:36" x14ac:dyDescent="0.25">
      <c r="C13" s="98"/>
      <c r="D13" s="181"/>
      <c r="E13" s="17"/>
      <c r="F13" s="17"/>
      <c r="G13" s="17"/>
      <c r="H13" s="10"/>
      <c r="I13" s="17"/>
      <c r="J13" s="11"/>
      <c r="K13" s="31"/>
      <c r="L13" s="31"/>
      <c r="M13" s="29"/>
    </row>
    <row r="14" spans="1:36" x14ac:dyDescent="0.25">
      <c r="A14" s="46" t="s">
        <v>62</v>
      </c>
      <c r="C14" s="98"/>
      <c r="D14" s="181"/>
      <c r="E14" s="18"/>
      <c r="F14" s="18"/>
      <c r="G14" s="18"/>
      <c r="H14" s="90"/>
      <c r="I14" s="18"/>
      <c r="J14" s="155"/>
      <c r="K14" s="31"/>
      <c r="L14" s="31"/>
      <c r="M14" s="29"/>
      <c r="N14" s="3" t="s">
        <v>68</v>
      </c>
      <c r="O14" s="39"/>
    </row>
    <row r="15" spans="1:36" x14ac:dyDescent="0.25">
      <c r="A15" s="46" t="s">
        <v>24</v>
      </c>
      <c r="C15" s="177">
        <v>-366175.67000000004</v>
      </c>
      <c r="D15" s="180">
        <v>0</v>
      </c>
      <c r="E15" s="126">
        <f>ROUND('[4]May 2023'!$G90,2)</f>
        <v>90894.15</v>
      </c>
      <c r="F15" s="126">
        <f>ROUND('[4]June 2023'!$G90,2)</f>
        <v>122817.26</v>
      </c>
      <c r="G15" s="126">
        <f>ROUND('[4]July 2023'!$G90,2)</f>
        <v>156957.4</v>
      </c>
      <c r="H15" s="16">
        <f>ROUND('[4]August 2023'!$G90,2)</f>
        <v>134809.82999999999</v>
      </c>
      <c r="I15" s="55">
        <f>ROUND('[4]September 2023'!$G90,2)</f>
        <v>131006.15</v>
      </c>
      <c r="J15" s="232">
        <f>ROUND('[4]October 2023'!$G90,2)</f>
        <v>90583.02</v>
      </c>
      <c r="K15" s="116">
        <f>ROUND('PCR Cycle 2'!J26*'TDR Cycle 3'!$N15,2)</f>
        <v>84020.5</v>
      </c>
      <c r="L15" s="41">
        <f>ROUND('PCR Cycle 2'!K26*'TDR Cycle 3'!$N15,2)</f>
        <v>116484.42</v>
      </c>
      <c r="M15" s="61">
        <f>ROUND('PCR Cycle 2'!L26*'TDR Cycle 3'!$N15,2)</f>
        <v>142811.82999999999</v>
      </c>
      <c r="N15" s="72">
        <v>3.6000000000000002E-4</v>
      </c>
      <c r="O15" s="4"/>
      <c r="P15" s="174">
        <f t="shared" ref="P15:P18" si="6">-SUM(K15:M15)</f>
        <v>-343316.75</v>
      </c>
    </row>
    <row r="16" spans="1:36" x14ac:dyDescent="0.25">
      <c r="A16" s="46" t="s">
        <v>107</v>
      </c>
      <c r="C16" s="177">
        <v>-140736.13999999998</v>
      </c>
      <c r="D16" s="180">
        <v>0</v>
      </c>
      <c r="E16" s="126">
        <f>ROUND('[4]May 2023'!$G91,2)</f>
        <v>39223.83</v>
      </c>
      <c r="F16" s="126">
        <f>ROUND('[4]June 2023'!$G91,2)</f>
        <v>47480.22</v>
      </c>
      <c r="G16" s="126">
        <f>ROUND('[4]July 2023'!$G91,2)</f>
        <v>53597.2</v>
      </c>
      <c r="H16" s="16">
        <f>ROUND('[4]August 2023'!$G91,2)</f>
        <v>19524.86</v>
      </c>
      <c r="I16" s="55">
        <f>ROUND('[4]September 2023'!$G91,2)</f>
        <v>19161.14</v>
      </c>
      <c r="J16" s="232">
        <f>ROUND('[4]October 2023'!$G91,2)</f>
        <v>16339.99</v>
      </c>
      <c r="K16" s="116">
        <f>ROUND('PCR Cycle 2'!J27*'TDR Cycle 3'!$N16,2)</f>
        <v>14849.95</v>
      </c>
      <c r="L16" s="41">
        <f>ROUND('PCR Cycle 2'!K27*'TDR Cycle 3'!$N16,2)</f>
        <v>15311.83</v>
      </c>
      <c r="M16" s="61">
        <f>ROUND('PCR Cycle 2'!L27*'TDR Cycle 3'!$N16,2)</f>
        <v>16054.52</v>
      </c>
      <c r="N16" s="72">
        <v>1.5000000000000001E-4</v>
      </c>
      <c r="O16" s="4"/>
      <c r="P16" s="174">
        <f t="shared" si="6"/>
        <v>-46216.3</v>
      </c>
    </row>
    <row r="17" spans="1:16" x14ac:dyDescent="0.25">
      <c r="A17" s="46" t="s">
        <v>108</v>
      </c>
      <c r="C17" s="177">
        <v>-169510.6</v>
      </c>
      <c r="D17" s="180">
        <v>0</v>
      </c>
      <c r="E17" s="126">
        <f>ROUND('[4]May 2023'!$G92,2)</f>
        <v>49365.74</v>
      </c>
      <c r="F17" s="126">
        <f>ROUND('[4]June 2023'!$G92,2)</f>
        <v>56287.11</v>
      </c>
      <c r="G17" s="126">
        <f>ROUND('[4]July 2023'!$G92,2)</f>
        <v>60699.51</v>
      </c>
      <c r="H17" s="16">
        <f>ROUND('[4]August 2023'!$G92,2)</f>
        <v>36476.959999999999</v>
      </c>
      <c r="I17" s="55">
        <f>ROUND('[4]September 2023'!$G92,2)</f>
        <v>36457.9</v>
      </c>
      <c r="J17" s="232">
        <f>ROUND('[4]October 2023'!$G92,2)</f>
        <v>31897.52</v>
      </c>
      <c r="K17" s="116">
        <f>ROUND('PCR Cycle 2'!J28*'TDR Cycle 3'!$N17,2)</f>
        <v>30056.9</v>
      </c>
      <c r="L17" s="41">
        <f>ROUND('PCR Cycle 2'!K28*'TDR Cycle 3'!$N17,2)</f>
        <v>30991.77</v>
      </c>
      <c r="M17" s="61">
        <f>ROUND('PCR Cycle 2'!L28*'TDR Cycle 3'!$N17,2)</f>
        <v>32495.01</v>
      </c>
      <c r="N17" s="72">
        <v>3.4000000000000002E-4</v>
      </c>
      <c r="O17" s="4"/>
      <c r="P17" s="174">
        <f t="shared" si="6"/>
        <v>-93543.679999999993</v>
      </c>
    </row>
    <row r="18" spans="1:16" x14ac:dyDescent="0.25">
      <c r="A18" s="46" t="s">
        <v>109</v>
      </c>
      <c r="C18" s="177">
        <v>-31284.9</v>
      </c>
      <c r="D18" s="180">
        <v>0</v>
      </c>
      <c r="E18" s="126">
        <f>ROUND('[4]May 2023'!$G93,2)</f>
        <v>9342.26</v>
      </c>
      <c r="F18" s="126">
        <f>ROUND('[4]June 2023'!$G93,2)</f>
        <v>10021.25</v>
      </c>
      <c r="G18" s="126">
        <f>ROUND('[4]July 2023'!$G93,2)</f>
        <v>10645.47</v>
      </c>
      <c r="H18" s="16">
        <f>ROUND('[4]August 2023'!$G93,2)</f>
        <v>1506.1</v>
      </c>
      <c r="I18" s="55">
        <f>ROUND('[4]September 2023'!$G93,2)</f>
        <v>1356.56</v>
      </c>
      <c r="J18" s="232">
        <f>ROUND('[4]October 2023'!$G93,2)</f>
        <v>1306.1199999999999</v>
      </c>
      <c r="K18" s="116">
        <f>ROUND('PCR Cycle 2'!J29*'TDR Cycle 3'!$N18,2)</f>
        <v>1182.8800000000001</v>
      </c>
      <c r="L18" s="41">
        <f>ROUND('PCR Cycle 2'!K29*'TDR Cycle 3'!$N18,2)</f>
        <v>1219.67</v>
      </c>
      <c r="M18" s="61">
        <f>ROUND('PCR Cycle 2'!L29*'TDR Cycle 3'!$N18,2)</f>
        <v>1278.83</v>
      </c>
      <c r="N18" s="72">
        <v>1.9999999999999998E-5</v>
      </c>
      <c r="O18" s="4"/>
      <c r="P18" s="174">
        <f t="shared" si="6"/>
        <v>-3681.38</v>
      </c>
    </row>
    <row r="19" spans="1:16" x14ac:dyDescent="0.25">
      <c r="C19" s="67"/>
      <c r="D19" s="182"/>
      <c r="E19" s="68"/>
      <c r="F19" s="68"/>
      <c r="G19" s="68"/>
      <c r="H19" s="67"/>
      <c r="I19" s="68"/>
      <c r="J19" s="156"/>
      <c r="K19" s="56"/>
      <c r="L19" s="56"/>
      <c r="M19" s="13"/>
      <c r="O19" s="4"/>
    </row>
    <row r="20" spans="1:16" x14ac:dyDescent="0.25">
      <c r="A20" s="39" t="s">
        <v>66</v>
      </c>
      <c r="B20" s="39"/>
      <c r="C20" s="67"/>
      <c r="D20" s="182"/>
      <c r="E20" s="68"/>
      <c r="F20" s="68"/>
      <c r="G20" s="68"/>
      <c r="H20" s="67"/>
      <c r="I20" s="68"/>
      <c r="J20" s="344"/>
      <c r="K20" s="68"/>
      <c r="L20" s="68"/>
      <c r="M20" s="13"/>
      <c r="N20" s="7"/>
    </row>
    <row r="21" spans="1:16" x14ac:dyDescent="0.25">
      <c r="A21" s="46" t="s">
        <v>24</v>
      </c>
      <c r="C21" s="178">
        <v>-4384259.2754323138</v>
      </c>
      <c r="D21" s="183"/>
      <c r="E21" s="108">
        <f>+'[12]Monthly TD Calc-PY1-3'!$AS461+'[12]Monthly TD Calc-PY4'!$AS469</f>
        <v>2325073.4057635427</v>
      </c>
      <c r="F21" s="108">
        <f>+'[12]Monthly TD Calc-PY1-3'!$AT461+'[12]Monthly TD Calc-PY4'!$AT469</f>
        <v>2302866.6298812134</v>
      </c>
      <c r="G21" s="108">
        <f>+'[12]Monthly TD Calc-PY1-3'!$AU461+'[12]Monthly TD Calc-PY4'!$AU469</f>
        <v>3060733.5311522968</v>
      </c>
      <c r="H21" s="73">
        <f>+'[12]Monthly TD Calc-PY1-3'!$AV461+'[12]Monthly TD Calc-PY4'!$AV469</f>
        <v>3087209.3233780377</v>
      </c>
      <c r="I21" s="74">
        <f>+'[12]Monthly TD Calc-PY1-3'!$AW461+'[12]Monthly TD Calc-PY4'!$AW469</f>
        <v>2473112.0373591306</v>
      </c>
      <c r="J21" s="157">
        <f>+'[12]Monthly TD Calc-PY1-3'!$AX461+'[12]Monthly TD Calc-PY4'!$AX469</f>
        <v>2637998.737974335</v>
      </c>
      <c r="K21" s="148">
        <f>+'[2]Monthly TD Calc'!$AY462+'[2]Monthly TD Calc Ext'!$AY462</f>
        <v>2486367.8522190419</v>
      </c>
      <c r="L21" s="134">
        <f>+'[2]Monthly TD Calc'!$AZ462+'[2]Monthly TD Calc Ext'!$AZ462</f>
        <v>2964242.3216829346</v>
      </c>
      <c r="M21" s="79"/>
      <c r="N21" s="59">
        <f>SUM(C21:L21)</f>
        <v>16953344.563978218</v>
      </c>
      <c r="P21" s="174">
        <f t="shared" ref="P21:P24" si="7">-SUM(K21:M21)</f>
        <v>-5450610.173901977</v>
      </c>
    </row>
    <row r="22" spans="1:16" x14ac:dyDescent="0.25">
      <c r="A22" s="46" t="s">
        <v>107</v>
      </c>
      <c r="C22" s="178">
        <v>-1403734.3933188822</v>
      </c>
      <c r="D22" s="183"/>
      <c r="E22" s="108">
        <f>+'[12]Monthly TD Calc-PY1-3'!$AS462+'[12]Monthly TD Calc-PY4'!$AS470</f>
        <v>715994.95660686388</v>
      </c>
      <c r="F22" s="108">
        <f>+'[12]Monthly TD Calc-PY1-3'!$AT462+'[12]Monthly TD Calc-PY4'!$AT470</f>
        <v>739958.3378561117</v>
      </c>
      <c r="G22" s="108">
        <f>+'[12]Monthly TD Calc-PY1-3'!$AU462+'[12]Monthly TD Calc-PY4'!$AU470</f>
        <v>859977.78438025259</v>
      </c>
      <c r="H22" s="73">
        <f>+'[12]Monthly TD Calc-PY1-3'!$AV462+'[12]Monthly TD Calc-PY4'!$AV470</f>
        <v>889165.58780317078</v>
      </c>
      <c r="I22" s="74">
        <f>+'[12]Monthly TD Calc-PY1-3'!$AW462+'[12]Monthly TD Calc-PY4'!$AW470</f>
        <v>826953.06589332852</v>
      </c>
      <c r="J22" s="157">
        <f>+'[12]Monthly TD Calc-PY1-3'!$AX462+'[12]Monthly TD Calc-PY4'!$AX470</f>
        <v>960743.26692279463</v>
      </c>
      <c r="K22" s="148">
        <f>+'[2]Monthly TD Calc'!$AY463+'[2]Monthly TD Calc Ext'!$AY463</f>
        <v>919167.11709486623</v>
      </c>
      <c r="L22" s="134">
        <f>+'[2]Monthly TD Calc'!$AZ463+'[2]Monthly TD Calc Ext'!$AZ463</f>
        <v>1104253.1585527433</v>
      </c>
      <c r="M22" s="79"/>
      <c r="N22" s="59">
        <f t="shared" ref="N22:N24" si="8">SUM(C22:L22)</f>
        <v>5612478.8817912498</v>
      </c>
      <c r="P22" s="174">
        <f t="shared" si="7"/>
        <v>-2023420.2756476095</v>
      </c>
    </row>
    <row r="23" spans="1:16" x14ac:dyDescent="0.25">
      <c r="A23" s="46" t="s">
        <v>108</v>
      </c>
      <c r="C23" s="178">
        <v>-3095216.6262983019</v>
      </c>
      <c r="D23" s="183"/>
      <c r="E23" s="108">
        <f>+'[12]Monthly TD Calc-PY1-3'!$AS464+'[12]Monthly TD Calc-PY4'!$AS472</f>
        <v>1589779.1073083368</v>
      </c>
      <c r="F23" s="108">
        <f>+'[12]Monthly TD Calc-PY1-3'!$AT464+'[12]Monthly TD Calc-PY4'!$AT472</f>
        <v>1572685.1093266911</v>
      </c>
      <c r="G23" s="108">
        <f>+'[12]Monthly TD Calc-PY1-3'!$AU464+'[12]Monthly TD Calc-PY4'!$AU472</f>
        <v>1663439.2504867462</v>
      </c>
      <c r="H23" s="73">
        <f>+'[12]Monthly TD Calc-PY1-3'!$AV464+'[12]Monthly TD Calc-PY4'!$AV472</f>
        <v>1735736.6965196135</v>
      </c>
      <c r="I23" s="74">
        <f>+'[12]Monthly TD Calc-PY1-3'!$AW464+'[12]Monthly TD Calc-PY4'!$AW472</f>
        <v>1665421.5788363016</v>
      </c>
      <c r="J23" s="157">
        <f>+'[12]Monthly TD Calc-PY1-3'!$AX464+'[12]Monthly TD Calc-PY4'!$AX472</f>
        <v>1864855.4279396408</v>
      </c>
      <c r="K23" s="148">
        <f>+'[2]Monthly TD Calc'!$AY465+'[2]Monthly TD Calc Ext'!$AY465</f>
        <v>1781563.6095838398</v>
      </c>
      <c r="L23" s="134">
        <f>+'[2]Monthly TD Calc'!$AZ465+'[2]Monthly TD Calc Ext'!$AZ465</f>
        <v>1962233.6982143149</v>
      </c>
      <c r="M23" s="79"/>
      <c r="N23" s="59">
        <f t="shared" si="8"/>
        <v>10740497.851917183</v>
      </c>
      <c r="P23" s="174">
        <f t="shared" si="7"/>
        <v>-3743797.3077981547</v>
      </c>
    </row>
    <row r="24" spans="1:16" x14ac:dyDescent="0.25">
      <c r="A24" s="46" t="s">
        <v>109</v>
      </c>
      <c r="C24" s="178">
        <v>-790151.04410359508</v>
      </c>
      <c r="D24" s="183"/>
      <c r="E24" s="108">
        <f>+'[12]Monthly TD Calc-PY1-3'!$AS465+'[12]Monthly TD Calc-PY4'!$AS473</f>
        <v>389445.78155948443</v>
      </c>
      <c r="F24" s="108">
        <f>+'[12]Monthly TD Calc-PY1-3'!$AT465+'[12]Monthly TD Calc-PY4'!$AT473</f>
        <v>402180.79117697536</v>
      </c>
      <c r="G24" s="108">
        <f>+'[12]Monthly TD Calc-PY1-3'!$AU465+'[12]Monthly TD Calc-PY4'!$AU473</f>
        <v>433950.54748224822</v>
      </c>
      <c r="H24" s="73">
        <f>+'[12]Monthly TD Calc-PY1-3'!$AV465+'[12]Monthly TD Calc-PY4'!$AV473</f>
        <v>444525.30882048351</v>
      </c>
      <c r="I24" s="74">
        <f>+'[12]Monthly TD Calc-PY1-3'!$AW465+'[12]Monthly TD Calc-PY4'!$AW473</f>
        <v>425600.77963057155</v>
      </c>
      <c r="J24" s="157">
        <f>+'[12]Monthly TD Calc-PY1-3'!$AX465+'[12]Monthly TD Calc-PY4'!$AX473</f>
        <v>465475.37530906778</v>
      </c>
      <c r="K24" s="148">
        <f>+'[2]Monthly TD Calc'!$AY466+'[2]Monthly TD Calc Ext'!$AY466</f>
        <v>426833.7518308321</v>
      </c>
      <c r="L24" s="134">
        <f>+'[2]Monthly TD Calc'!$AZ466+'[2]Monthly TD Calc Ext'!$AZ466</f>
        <v>556649.55518021504</v>
      </c>
      <c r="M24" s="79"/>
      <c r="N24" s="59">
        <f t="shared" si="8"/>
        <v>2754510.8468862828</v>
      </c>
      <c r="P24" s="174">
        <f t="shared" si="7"/>
        <v>-983483.30701104715</v>
      </c>
    </row>
    <row r="25" spans="1:16" x14ac:dyDescent="0.25">
      <c r="C25" s="67"/>
      <c r="D25" s="182"/>
      <c r="E25" s="345"/>
      <c r="F25" s="345"/>
      <c r="G25" s="37"/>
      <c r="H25" s="36"/>
      <c r="I25" s="345"/>
      <c r="J25" s="158"/>
      <c r="K25" s="52"/>
      <c r="L25" s="56"/>
      <c r="M25" s="13"/>
    </row>
    <row r="26" spans="1:16" x14ac:dyDescent="0.25">
      <c r="A26" s="46" t="s">
        <v>69</v>
      </c>
      <c r="C26" s="36"/>
      <c r="D26" s="184"/>
      <c r="E26" s="37"/>
      <c r="F26" s="37"/>
      <c r="G26" s="37"/>
      <c r="H26" s="36"/>
      <c r="I26" s="37"/>
      <c r="J26" s="158"/>
      <c r="K26" s="52"/>
      <c r="L26" s="52"/>
      <c r="M26" s="38"/>
    </row>
    <row r="27" spans="1:16" x14ac:dyDescent="0.25">
      <c r="A27" s="46" t="s">
        <v>24</v>
      </c>
      <c r="C27" s="177">
        <v>-213614.96</v>
      </c>
      <c r="D27" s="180"/>
      <c r="E27" s="106">
        <f>ROUND('[12]Monthly TD Calc-PY1-3'!$AS563+'[12]Monthly TD Calc-PY4'!$AS575,2)</f>
        <v>79814.41</v>
      </c>
      <c r="F27" s="106">
        <f>ROUND('[12]Monthly TD Calc-PY1-3'!$AT563+'[12]Monthly TD Calc-PY4'!$AT575,2)</f>
        <v>144748.68</v>
      </c>
      <c r="G27" s="106">
        <f>ROUND('[12]Monthly TD Calc-PY1-3'!$AU563+'[12]Monthly TD Calc-PY4'!$AU575,2)</f>
        <v>206517.21</v>
      </c>
      <c r="H27" s="16">
        <f>ROUND('[12]Monthly TD Calc-PY1-3'!$AV563+'[12]Monthly TD Calc-PY4'!$AV575,2)</f>
        <v>209004.79</v>
      </c>
      <c r="I27" s="55">
        <f>ROUND('[12]Monthly TD Calc-PY1-3'!$AW563+'[12]Monthly TD Calc-PY4'!$AW575,2)</f>
        <v>159987.72</v>
      </c>
      <c r="J27" s="232">
        <f>ROUND('[12]Monthly TD Calc-PY1-3'!$AX563+'[12]Monthly TD Calc-PY4'!$AX575,2)</f>
        <v>92437.4</v>
      </c>
      <c r="K27" s="149">
        <f>ROUND(+'[2]Monthly TD Calc'!$AY564+'[2]Monthly TD Calc Ext'!$AY564,2)</f>
        <v>91910.82</v>
      </c>
      <c r="L27" s="149">
        <f>ROUND(+'[2]Monthly TD Calc'!$AZ564+'[2]Monthly TD Calc Ext'!$AZ564,2)</f>
        <v>98738.11</v>
      </c>
      <c r="M27" s="78"/>
      <c r="P27" s="174">
        <f t="shared" ref="P27:P32" si="9">-SUM(K27:M27)</f>
        <v>-190648.93</v>
      </c>
    </row>
    <row r="28" spans="1:16" x14ac:dyDescent="0.25">
      <c r="A28" s="46" t="s">
        <v>107</v>
      </c>
      <c r="C28" s="177">
        <v>-61329.75</v>
      </c>
      <c r="D28" s="180"/>
      <c r="E28" s="106">
        <f>ROUND('[12]Monthly TD Calc-PY1-3'!$AS564+'[12]Monthly TD Calc-PY4'!$AS576,2)</f>
        <v>24520.98</v>
      </c>
      <c r="F28" s="106">
        <f>ROUND('[12]Monthly TD Calc-PY1-3'!$AT564+'[12]Monthly TD Calc-PY4'!$AT576,2)</f>
        <v>39996.400000000001</v>
      </c>
      <c r="G28" s="106">
        <f>ROUND('[12]Monthly TD Calc-PY1-3'!$AU564+'[12]Monthly TD Calc-PY4'!$AU576,2)</f>
        <v>46497.2</v>
      </c>
      <c r="H28" s="16">
        <f>ROUND('[12]Monthly TD Calc-PY1-3'!$AV564+'[12]Monthly TD Calc-PY4'!$AV576,2)</f>
        <v>47772.26</v>
      </c>
      <c r="I28" s="55">
        <f>ROUND('[12]Monthly TD Calc-PY1-3'!$AW564+'[12]Monthly TD Calc-PY4'!$AW576,2)</f>
        <v>44311.37</v>
      </c>
      <c r="J28" s="232">
        <f>ROUND('[12]Monthly TD Calc-PY1-3'!$AX564+'[12]Monthly TD Calc-PY4'!$AX576,2)</f>
        <v>33447.06</v>
      </c>
      <c r="K28" s="149">
        <f>ROUND(+'[2]Monthly TD Calc'!$AY565+'[2]Monthly TD Calc Ext'!$AY565,2)</f>
        <v>31283.79</v>
      </c>
      <c r="L28" s="149">
        <f>ROUND(+'[2]Monthly TD Calc'!$AZ565+'[2]Monthly TD Calc Ext'!$AZ565,2)</f>
        <v>36777.01</v>
      </c>
      <c r="M28" s="78"/>
      <c r="P28" s="174">
        <f t="shared" si="9"/>
        <v>-68060.800000000003</v>
      </c>
    </row>
    <row r="29" spans="1:16" x14ac:dyDescent="0.25">
      <c r="A29" s="46" t="s">
        <v>108</v>
      </c>
      <c r="C29" s="177">
        <v>-69727.16</v>
      </c>
      <c r="D29" s="180"/>
      <c r="E29" s="106">
        <f>ROUND('[12]Monthly TD Calc-PY1-3'!$AS566+'[12]Monthly TD Calc-PY4'!$AS578,2)</f>
        <v>33225.050000000003</v>
      </c>
      <c r="F29" s="106">
        <f>ROUND('[12]Monthly TD Calc-PY1-3'!$AT566+'[12]Monthly TD Calc-PY4'!$AT578,2)</f>
        <v>40137.75</v>
      </c>
      <c r="G29" s="106">
        <f>ROUND('[12]Monthly TD Calc-PY1-3'!$AU566+'[12]Monthly TD Calc-PY4'!$AU578,2)</f>
        <v>40450.82</v>
      </c>
      <c r="H29" s="16">
        <f>ROUND('[12]Monthly TD Calc-PY1-3'!$AV566+'[12]Monthly TD Calc-PY4'!$AV578,2)</f>
        <v>41808.81</v>
      </c>
      <c r="I29" s="55">
        <f>ROUND('[12]Monthly TD Calc-PY1-3'!$AW566+'[12]Monthly TD Calc-PY4'!$AW578,2)</f>
        <v>40734.410000000003</v>
      </c>
      <c r="J29" s="232">
        <f>ROUND('[12]Monthly TD Calc-PY1-3'!$AX566+'[12]Monthly TD Calc-PY4'!$AX578,2)</f>
        <v>35988.980000000003</v>
      </c>
      <c r="K29" s="149">
        <f>ROUND(+'[2]Monthly TD Calc'!$AY567+'[2]Monthly TD Calc Ext'!$AY567,2)</f>
        <v>34718.36</v>
      </c>
      <c r="L29" s="149">
        <f>ROUND(+'[2]Monthly TD Calc'!$AZ567+'[2]Monthly TD Calc Ext'!$AZ567,2)</f>
        <v>35631.440000000002</v>
      </c>
      <c r="M29" s="78"/>
      <c r="P29" s="174">
        <f t="shared" si="9"/>
        <v>-70349.8</v>
      </c>
    </row>
    <row r="30" spans="1:16" x14ac:dyDescent="0.25">
      <c r="A30" s="46" t="s">
        <v>109</v>
      </c>
      <c r="C30" s="177">
        <v>-4444.74</v>
      </c>
      <c r="D30" s="180"/>
      <c r="E30" s="106">
        <f>ROUND('[12]Monthly TD Calc-PY1-3'!$AS567+'[12]Monthly TD Calc-PY4'!$AS579,2)</f>
        <v>1829.58</v>
      </c>
      <c r="F30" s="106">
        <f>ROUND('[12]Monthly TD Calc-PY1-3'!$AT567+'[12]Monthly TD Calc-PY4'!$AT579,2)</f>
        <v>4879.3900000000003</v>
      </c>
      <c r="G30" s="106">
        <f>ROUND('[12]Monthly TD Calc-PY1-3'!$AU567+'[12]Monthly TD Calc-PY4'!$AU579,2)</f>
        <v>5923.38</v>
      </c>
      <c r="H30" s="16">
        <f>ROUND('[12]Monthly TD Calc-PY1-3'!$AV567+'[12]Monthly TD Calc-PY4'!$AV579,2)</f>
        <v>6191.34</v>
      </c>
      <c r="I30" s="55">
        <f>ROUND('[12]Monthly TD Calc-PY1-3'!$AW567+'[12]Monthly TD Calc-PY4'!$AW579,2)</f>
        <v>6688.37</v>
      </c>
      <c r="J30" s="232">
        <f>ROUND('[12]Monthly TD Calc-PY1-3'!$AX567+'[12]Monthly TD Calc-PY4'!$AX579,2)</f>
        <v>3779.99</v>
      </c>
      <c r="K30" s="149">
        <f>ROUND(+'[2]Monthly TD Calc'!$AY568+'[2]Monthly TD Calc Ext'!$AY568,2)</f>
        <v>1544.54</v>
      </c>
      <c r="L30" s="149">
        <f>ROUND(+'[2]Monthly TD Calc'!$AZ568+'[2]Monthly TD Calc Ext'!$AZ568,2)</f>
        <v>2126.94</v>
      </c>
      <c r="M30" s="78"/>
      <c r="O30" s="47"/>
      <c r="P30" s="174">
        <f t="shared" si="9"/>
        <v>-3671.48</v>
      </c>
    </row>
    <row r="31" spans="1:16" x14ac:dyDescent="0.25">
      <c r="C31" s="98"/>
      <c r="D31" s="181"/>
      <c r="E31" s="18"/>
      <c r="F31" s="18"/>
      <c r="G31" s="18"/>
      <c r="H31" s="90"/>
      <c r="I31" s="18"/>
      <c r="J31" s="155"/>
      <c r="K31" s="56"/>
      <c r="L31" s="56"/>
      <c r="M31" s="13"/>
    </row>
    <row r="32" spans="1:16" ht="15.75" thickBot="1" x14ac:dyDescent="0.3">
      <c r="A32" s="3" t="s">
        <v>15</v>
      </c>
      <c r="B32" s="3"/>
      <c r="C32" s="179">
        <v>5460.9499999999989</v>
      </c>
      <c r="D32" s="185">
        <v>0.14999999999999947</v>
      </c>
      <c r="E32" s="126">
        <v>-2664.81</v>
      </c>
      <c r="F32" s="126">
        <v>-2852.9</v>
      </c>
      <c r="G32" s="127">
        <v>-2909.46</v>
      </c>
      <c r="H32" s="26">
        <v>-2599.7199999999998</v>
      </c>
      <c r="I32" s="115">
        <v>-2126.7600000000002</v>
      </c>
      <c r="J32" s="159">
        <v>-1892.2900000000002</v>
      </c>
      <c r="K32" s="150">
        <v>-1750.06</v>
      </c>
      <c r="L32" s="135">
        <v>-1652.32</v>
      </c>
      <c r="M32" s="81"/>
      <c r="P32" s="174">
        <f t="shared" si="9"/>
        <v>3402.38</v>
      </c>
    </row>
    <row r="33" spans="1:16" x14ac:dyDescent="0.25">
      <c r="C33" s="64"/>
      <c r="D33" s="188"/>
      <c r="E33" s="66"/>
      <c r="F33" s="66"/>
      <c r="G33" s="33"/>
      <c r="H33" s="64"/>
      <c r="I33" s="33"/>
      <c r="J33" s="160"/>
      <c r="K33" s="34"/>
      <c r="L33" s="34"/>
      <c r="M33" s="60"/>
    </row>
    <row r="34" spans="1:16" x14ac:dyDescent="0.25">
      <c r="A34" s="46" t="s">
        <v>52</v>
      </c>
      <c r="C34" s="65"/>
      <c r="D34" s="189"/>
      <c r="E34" s="35"/>
      <c r="F34" s="35"/>
      <c r="G34" s="35"/>
      <c r="H34" s="65"/>
      <c r="I34" s="35"/>
      <c r="J34" s="161"/>
      <c r="K34" s="34"/>
      <c r="L34" s="34"/>
      <c r="M34" s="60"/>
    </row>
    <row r="35" spans="1:16" x14ac:dyDescent="0.25">
      <c r="A35" s="46" t="s">
        <v>24</v>
      </c>
      <c r="C35" s="186">
        <f t="shared" ref="C35:M35" si="10">C27-C15</f>
        <v>152560.71000000005</v>
      </c>
      <c r="D35" s="190">
        <f t="shared" si="10"/>
        <v>0</v>
      </c>
      <c r="E35" s="41">
        <f t="shared" si="10"/>
        <v>-11079.739999999991</v>
      </c>
      <c r="F35" s="41">
        <f t="shared" si="10"/>
        <v>21931.42</v>
      </c>
      <c r="G35" s="105">
        <f t="shared" si="10"/>
        <v>49559.81</v>
      </c>
      <c r="H35" s="40">
        <f t="shared" si="10"/>
        <v>74194.960000000021</v>
      </c>
      <c r="I35" s="41">
        <f t="shared" si="10"/>
        <v>28981.570000000007</v>
      </c>
      <c r="J35" s="61">
        <f t="shared" si="10"/>
        <v>1854.3799999999901</v>
      </c>
      <c r="K35" s="116">
        <f t="shared" si="10"/>
        <v>7890.320000000007</v>
      </c>
      <c r="L35" s="41">
        <f t="shared" si="10"/>
        <v>-17746.309999999998</v>
      </c>
      <c r="M35" s="61">
        <f t="shared" si="10"/>
        <v>-142811.82999999999</v>
      </c>
    </row>
    <row r="36" spans="1:16" x14ac:dyDescent="0.25">
      <c r="A36" s="46" t="s">
        <v>107</v>
      </c>
      <c r="C36" s="186">
        <f t="shared" ref="C36:M36" si="11">C28-C16</f>
        <v>79406.389999999985</v>
      </c>
      <c r="D36" s="190">
        <f t="shared" si="11"/>
        <v>0</v>
      </c>
      <c r="E36" s="41">
        <f t="shared" si="11"/>
        <v>-14702.850000000002</v>
      </c>
      <c r="F36" s="41">
        <f t="shared" si="11"/>
        <v>-7483.82</v>
      </c>
      <c r="G36" s="105">
        <f t="shared" si="11"/>
        <v>-7100</v>
      </c>
      <c r="H36" s="40">
        <f t="shared" si="11"/>
        <v>28247.4</v>
      </c>
      <c r="I36" s="41">
        <f t="shared" si="11"/>
        <v>25150.230000000003</v>
      </c>
      <c r="J36" s="61">
        <f t="shared" si="11"/>
        <v>17107.07</v>
      </c>
      <c r="K36" s="116">
        <f t="shared" si="11"/>
        <v>16433.84</v>
      </c>
      <c r="L36" s="41">
        <f t="shared" si="11"/>
        <v>21465.18</v>
      </c>
      <c r="M36" s="61">
        <f t="shared" si="11"/>
        <v>-16054.52</v>
      </c>
    </row>
    <row r="37" spans="1:16" x14ac:dyDescent="0.25">
      <c r="A37" s="46" t="s">
        <v>108</v>
      </c>
      <c r="C37" s="186">
        <f t="shared" ref="C37:M37" si="12">C29-C17</f>
        <v>99783.44</v>
      </c>
      <c r="D37" s="190">
        <f t="shared" si="12"/>
        <v>0</v>
      </c>
      <c r="E37" s="41">
        <f t="shared" si="12"/>
        <v>-16140.689999999995</v>
      </c>
      <c r="F37" s="41">
        <f t="shared" si="12"/>
        <v>-16149.36</v>
      </c>
      <c r="G37" s="105">
        <f t="shared" si="12"/>
        <v>-20248.690000000002</v>
      </c>
      <c r="H37" s="40">
        <f t="shared" si="12"/>
        <v>5331.8499999999985</v>
      </c>
      <c r="I37" s="41">
        <f t="shared" si="12"/>
        <v>4276.510000000002</v>
      </c>
      <c r="J37" s="61">
        <f t="shared" si="12"/>
        <v>4091.4600000000028</v>
      </c>
      <c r="K37" s="116">
        <f t="shared" si="12"/>
        <v>4661.4599999999991</v>
      </c>
      <c r="L37" s="41">
        <f t="shared" si="12"/>
        <v>4639.6700000000019</v>
      </c>
      <c r="M37" s="61">
        <f t="shared" si="12"/>
        <v>-32495.01</v>
      </c>
    </row>
    <row r="38" spans="1:16" x14ac:dyDescent="0.25">
      <c r="A38" s="46" t="s">
        <v>109</v>
      </c>
      <c r="C38" s="186">
        <f t="shared" ref="C38:M38" si="13">C30-C18</f>
        <v>26840.160000000003</v>
      </c>
      <c r="D38" s="190">
        <f t="shared" si="13"/>
        <v>0</v>
      </c>
      <c r="E38" s="41">
        <f t="shared" si="13"/>
        <v>-7512.68</v>
      </c>
      <c r="F38" s="41">
        <f t="shared" si="13"/>
        <v>-5141.8599999999997</v>
      </c>
      <c r="G38" s="105">
        <f t="shared" si="13"/>
        <v>-4722.0899999999992</v>
      </c>
      <c r="H38" s="40">
        <f t="shared" si="13"/>
        <v>4685.24</v>
      </c>
      <c r="I38" s="41">
        <f t="shared" si="13"/>
        <v>5331.8099999999995</v>
      </c>
      <c r="J38" s="61">
        <f t="shared" si="13"/>
        <v>2473.87</v>
      </c>
      <c r="K38" s="116">
        <f t="shared" si="13"/>
        <v>361.65999999999985</v>
      </c>
      <c r="L38" s="41">
        <f t="shared" si="13"/>
        <v>907.27</v>
      </c>
      <c r="M38" s="61">
        <f t="shared" si="13"/>
        <v>-1278.83</v>
      </c>
    </row>
    <row r="39" spans="1:16" x14ac:dyDescent="0.25">
      <c r="C39" s="98"/>
      <c r="D39" s="181"/>
      <c r="E39" s="17"/>
      <c r="F39" s="17"/>
      <c r="G39" s="17"/>
      <c r="H39" s="10"/>
      <c r="I39" s="17"/>
      <c r="J39" s="11"/>
      <c r="K39" s="17"/>
      <c r="L39" s="17"/>
      <c r="M39" s="11"/>
    </row>
    <row r="40" spans="1:16" ht="15.75" thickBot="1" x14ac:dyDescent="0.3">
      <c r="A40" s="46" t="s">
        <v>53</v>
      </c>
      <c r="C40" s="98"/>
      <c r="D40" s="181"/>
      <c r="E40" s="17"/>
      <c r="F40" s="17"/>
      <c r="G40" s="17"/>
      <c r="H40" s="10"/>
      <c r="I40" s="17"/>
      <c r="J40" s="11"/>
      <c r="K40" s="17"/>
      <c r="L40" s="17"/>
      <c r="M40" s="11"/>
    </row>
    <row r="41" spans="1:16" x14ac:dyDescent="0.25">
      <c r="A41" s="46" t="s">
        <v>24</v>
      </c>
      <c r="B41" s="312">
        <v>-378729.88999999984</v>
      </c>
      <c r="C41" s="186">
        <f t="shared" ref="C41:M41" si="14">+B41+C35+B48</f>
        <v>-226169.17999999979</v>
      </c>
      <c r="D41" s="190">
        <f t="shared" si="14"/>
        <v>-223776.41999999978</v>
      </c>
      <c r="E41" s="41">
        <f t="shared" si="14"/>
        <v>-234856.15999999977</v>
      </c>
      <c r="F41" s="41">
        <f t="shared" si="14"/>
        <v>-214143.04999999976</v>
      </c>
      <c r="G41" s="105">
        <f t="shared" si="14"/>
        <v>-165789.52999999977</v>
      </c>
      <c r="H41" s="40">
        <f t="shared" si="14"/>
        <v>-92640.869999999748</v>
      </c>
      <c r="I41" s="41">
        <f t="shared" si="14"/>
        <v>-64380.219999999739</v>
      </c>
      <c r="J41" s="61">
        <f t="shared" si="14"/>
        <v>-62964.539999999746</v>
      </c>
      <c r="K41" s="116">
        <f t="shared" si="14"/>
        <v>-55429.979999999741</v>
      </c>
      <c r="L41" s="41">
        <f t="shared" si="14"/>
        <v>-73506.899999999747</v>
      </c>
      <c r="M41" s="61">
        <f t="shared" si="14"/>
        <v>-216678.61999999976</v>
      </c>
    </row>
    <row r="42" spans="1:16" x14ac:dyDescent="0.25">
      <c r="A42" s="46" t="s">
        <v>107</v>
      </c>
      <c r="B42" s="319">
        <v>-337709.34</v>
      </c>
      <c r="C42" s="186">
        <f t="shared" ref="C42:M42" si="15">+B42+C36+B49</f>
        <v>-258302.95000000004</v>
      </c>
      <c r="D42" s="190">
        <f t="shared" si="15"/>
        <v>-255483.93000000005</v>
      </c>
      <c r="E42" s="41">
        <f t="shared" si="15"/>
        <v>-270186.78000000003</v>
      </c>
      <c r="F42" s="41">
        <f t="shared" si="15"/>
        <v>-279066.99000000005</v>
      </c>
      <c r="G42" s="105">
        <f t="shared" si="15"/>
        <v>-287642.37000000005</v>
      </c>
      <c r="H42" s="40">
        <f t="shared" si="15"/>
        <v>-260954.75000000006</v>
      </c>
      <c r="I42" s="41">
        <f t="shared" si="15"/>
        <v>-237333.05000000005</v>
      </c>
      <c r="J42" s="61">
        <f t="shared" si="15"/>
        <v>-221616.04000000004</v>
      </c>
      <c r="K42" s="116">
        <f t="shared" si="15"/>
        <v>-206463.81000000003</v>
      </c>
      <c r="L42" s="41">
        <f t="shared" si="15"/>
        <v>-186193.99000000002</v>
      </c>
      <c r="M42" s="61">
        <f t="shared" si="15"/>
        <v>-203345.02000000002</v>
      </c>
    </row>
    <row r="43" spans="1:16" x14ac:dyDescent="0.25">
      <c r="A43" s="46" t="s">
        <v>108</v>
      </c>
      <c r="B43" s="319">
        <v>-94651.449999999939</v>
      </c>
      <c r="C43" s="186">
        <f t="shared" ref="C43:M43" si="16">+B43+C37+B50</f>
        <v>5131.9900000000634</v>
      </c>
      <c r="D43" s="190">
        <f t="shared" si="16"/>
        <v>5270.5400000000636</v>
      </c>
      <c r="E43" s="41">
        <f t="shared" si="16"/>
        <v>-10870.149999999932</v>
      </c>
      <c r="F43" s="41">
        <f t="shared" si="16"/>
        <v>-27034.379999999932</v>
      </c>
      <c r="G43" s="105">
        <f t="shared" si="16"/>
        <v>-47384.669999999933</v>
      </c>
      <c r="H43" s="40">
        <f t="shared" si="16"/>
        <v>-42257.389999999934</v>
      </c>
      <c r="I43" s="41">
        <f t="shared" si="16"/>
        <v>-38230.509999999929</v>
      </c>
      <c r="J43" s="61">
        <f t="shared" si="16"/>
        <v>-34363.589999999931</v>
      </c>
      <c r="K43" s="116">
        <f t="shared" si="16"/>
        <v>-29904.859999999931</v>
      </c>
      <c r="L43" s="41">
        <f t="shared" si="16"/>
        <v>-25444.679999999931</v>
      </c>
      <c r="M43" s="61">
        <f t="shared" si="16"/>
        <v>-58094.289999999928</v>
      </c>
    </row>
    <row r="44" spans="1:16" ht="15.75" thickBot="1" x14ac:dyDescent="0.3">
      <c r="A44" s="46" t="s">
        <v>109</v>
      </c>
      <c r="B44" s="313">
        <v>-29825.889999999981</v>
      </c>
      <c r="C44" s="186">
        <f t="shared" ref="C44:M44" si="17">+B44+C38+B51</f>
        <v>-2985.7299999999777</v>
      </c>
      <c r="D44" s="190">
        <f t="shared" si="17"/>
        <v>-2875.1099999999778</v>
      </c>
      <c r="E44" s="41">
        <f t="shared" si="17"/>
        <v>-10387.789999999979</v>
      </c>
      <c r="F44" s="41">
        <f t="shared" si="17"/>
        <v>-15564.879999999979</v>
      </c>
      <c r="G44" s="105">
        <f t="shared" si="17"/>
        <v>-20356.59999999998</v>
      </c>
      <c r="H44" s="40">
        <f t="shared" si="17"/>
        <v>-15770.15999999998</v>
      </c>
      <c r="I44" s="41">
        <f t="shared" si="17"/>
        <v>-10538.99999999998</v>
      </c>
      <c r="J44" s="61">
        <f t="shared" si="17"/>
        <v>-8138.5799999999799</v>
      </c>
      <c r="K44" s="116">
        <f t="shared" si="17"/>
        <v>-7829.1199999999799</v>
      </c>
      <c r="L44" s="41">
        <f t="shared" si="17"/>
        <v>-6966.4499999999807</v>
      </c>
      <c r="M44" s="61">
        <f t="shared" si="17"/>
        <v>-8286.5999999999804</v>
      </c>
    </row>
    <row r="45" spans="1:16" x14ac:dyDescent="0.25">
      <c r="C45" s="98"/>
      <c r="D45" s="181"/>
      <c r="E45" s="17"/>
      <c r="F45" s="17"/>
      <c r="G45" s="17"/>
      <c r="H45" s="10"/>
      <c r="I45" s="17"/>
      <c r="J45" s="11"/>
      <c r="K45" s="17"/>
      <c r="L45" s="17"/>
      <c r="M45" s="11"/>
    </row>
    <row r="46" spans="1:16" x14ac:dyDescent="0.25">
      <c r="A46" s="39" t="s">
        <v>123</v>
      </c>
      <c r="B46" s="39"/>
      <c r="C46" s="101"/>
      <c r="D46" s="191"/>
      <c r="E46" s="325">
        <f>+'PCR Cycle 3'!E45</f>
        <v>5.3128000000000003E-3</v>
      </c>
      <c r="F46" s="325">
        <f>+'PCR Cycle 3'!F45</f>
        <v>5.3587000000000001E-3</v>
      </c>
      <c r="G46" s="325">
        <f>+'PCR Cycle 3'!G45</f>
        <v>5.4904100000000003E-3</v>
      </c>
      <c r="H46" s="326">
        <f>+'PCR Cycle 3'!H45</f>
        <v>5.5567100000000003E-3</v>
      </c>
      <c r="I46" s="325">
        <f>+'PCR Cycle 3'!I45</f>
        <v>5.5623000000000001E-3</v>
      </c>
      <c r="J46" s="327">
        <f>+'PCR Cycle 3'!J45</f>
        <v>5.5681000000000003E-3</v>
      </c>
      <c r="K46" s="82">
        <f>+'PCR Cycle 2'!J47</f>
        <v>5.5681000000000003E-3</v>
      </c>
      <c r="L46" s="82">
        <f>+'PCR Cycle 2'!K47</f>
        <v>5.5681000000000003E-3</v>
      </c>
      <c r="M46" s="84"/>
    </row>
    <row r="47" spans="1:16" x14ac:dyDescent="0.25">
      <c r="A47" s="39" t="s">
        <v>37</v>
      </c>
      <c r="B47" s="39"/>
      <c r="C47" s="103"/>
      <c r="D47" s="192"/>
      <c r="E47" s="82"/>
      <c r="F47" s="82"/>
      <c r="G47" s="82"/>
      <c r="H47" s="83"/>
      <c r="I47" s="82"/>
      <c r="J47" s="84"/>
      <c r="K47" s="82"/>
      <c r="L47" s="82"/>
      <c r="M47" s="84"/>
    </row>
    <row r="48" spans="1:16" x14ac:dyDescent="0.25">
      <c r="A48" s="46" t="s">
        <v>24</v>
      </c>
      <c r="C48" s="320">
        <v>2392.7600000000002</v>
      </c>
      <c r="D48" s="190"/>
      <c r="E48" s="41">
        <f t="shared" ref="E48:M48" si="18">ROUND((D41+D48+E35/2)*E$46,2)</f>
        <v>-1218.31</v>
      </c>
      <c r="F48" s="41">
        <f t="shared" si="18"/>
        <v>-1206.29</v>
      </c>
      <c r="G48" s="105">
        <f t="shared" si="18"/>
        <v>-1046.3</v>
      </c>
      <c r="H48" s="40">
        <f t="shared" si="18"/>
        <v>-720.92</v>
      </c>
      <c r="I48" s="116">
        <f t="shared" si="18"/>
        <v>-438.7</v>
      </c>
      <c r="J48" s="61">
        <f t="shared" si="18"/>
        <v>-355.76</v>
      </c>
      <c r="K48" s="151">
        <f t="shared" si="18"/>
        <v>-330.61</v>
      </c>
      <c r="L48" s="105">
        <f t="shared" si="18"/>
        <v>-359.89</v>
      </c>
      <c r="M48" s="61">
        <f t="shared" si="18"/>
        <v>0</v>
      </c>
      <c r="P48" s="174">
        <f t="shared" ref="P48:P51" si="19">-SUM(K48:M48)</f>
        <v>690.5</v>
      </c>
    </row>
    <row r="49" spans="1:16" x14ac:dyDescent="0.25">
      <c r="A49" s="46" t="s">
        <v>107</v>
      </c>
      <c r="C49" s="320">
        <v>2819.02</v>
      </c>
      <c r="D49" s="190"/>
      <c r="E49" s="41">
        <f t="shared" ref="E49:L49" si="20">ROUND((D42+D49+E36/2)*E$46,2)</f>
        <v>-1396.39</v>
      </c>
      <c r="F49" s="41">
        <f t="shared" si="20"/>
        <v>-1475.38</v>
      </c>
      <c r="G49" s="105">
        <f t="shared" si="20"/>
        <v>-1559.78</v>
      </c>
      <c r="H49" s="40">
        <f t="shared" si="20"/>
        <v>-1528.53</v>
      </c>
      <c r="I49" s="116">
        <f t="shared" si="20"/>
        <v>-1390.06</v>
      </c>
      <c r="J49" s="61">
        <f t="shared" si="20"/>
        <v>-1281.6099999999999</v>
      </c>
      <c r="K49" s="151">
        <f t="shared" si="20"/>
        <v>-1195.3599999999999</v>
      </c>
      <c r="L49" s="105">
        <f t="shared" si="20"/>
        <v>-1096.51</v>
      </c>
      <c r="M49" s="61"/>
      <c r="P49" s="174">
        <f t="shared" si="19"/>
        <v>2291.87</v>
      </c>
    </row>
    <row r="50" spans="1:16" x14ac:dyDescent="0.25">
      <c r="A50" s="46" t="s">
        <v>108</v>
      </c>
      <c r="C50" s="320">
        <v>138.55000000000001</v>
      </c>
      <c r="D50" s="190"/>
      <c r="E50" s="41">
        <f t="shared" ref="E50:L50" si="21">ROUND((D43+D50+E37/2)*E$46,2)</f>
        <v>-14.87</v>
      </c>
      <c r="F50" s="41">
        <f t="shared" si="21"/>
        <v>-101.6</v>
      </c>
      <c r="G50" s="105">
        <f t="shared" si="21"/>
        <v>-204.57</v>
      </c>
      <c r="H50" s="40">
        <f t="shared" si="21"/>
        <v>-249.63</v>
      </c>
      <c r="I50" s="116">
        <f t="shared" si="21"/>
        <v>-224.54</v>
      </c>
      <c r="J50" s="61">
        <f t="shared" si="21"/>
        <v>-202.73</v>
      </c>
      <c r="K50" s="151">
        <f t="shared" si="21"/>
        <v>-179.49</v>
      </c>
      <c r="L50" s="105">
        <f t="shared" si="21"/>
        <v>-154.6</v>
      </c>
      <c r="M50" s="61"/>
      <c r="P50" s="174">
        <f t="shared" si="19"/>
        <v>334.09000000000003</v>
      </c>
    </row>
    <row r="51" spans="1:16" ht="15.75" thickBot="1" x14ac:dyDescent="0.3">
      <c r="A51" s="46" t="s">
        <v>109</v>
      </c>
      <c r="C51" s="320">
        <v>110.62</v>
      </c>
      <c r="D51" s="190"/>
      <c r="E51" s="41">
        <f t="shared" ref="E51:L51" si="22">ROUND((D44+D51+E38/2)*E$46,2)</f>
        <v>-35.229999999999997</v>
      </c>
      <c r="F51" s="41">
        <f t="shared" si="22"/>
        <v>-69.63</v>
      </c>
      <c r="G51" s="105">
        <f t="shared" si="22"/>
        <v>-98.8</v>
      </c>
      <c r="H51" s="40">
        <f t="shared" si="22"/>
        <v>-100.65</v>
      </c>
      <c r="I51" s="116">
        <f t="shared" si="22"/>
        <v>-73.45</v>
      </c>
      <c r="J51" s="61">
        <f t="shared" si="22"/>
        <v>-52.2</v>
      </c>
      <c r="K51" s="151">
        <f t="shared" si="22"/>
        <v>-44.6</v>
      </c>
      <c r="L51" s="105">
        <f t="shared" si="22"/>
        <v>-41.32</v>
      </c>
      <c r="M51" s="61">
        <f>ROUND((L44+L51+M38/2)*M$46,2)</f>
        <v>0</v>
      </c>
      <c r="P51" s="174">
        <f t="shared" si="19"/>
        <v>85.92</v>
      </c>
    </row>
    <row r="52" spans="1:16" ht="16.5" thickTop="1" thickBot="1" x14ac:dyDescent="0.3">
      <c r="A52" s="54" t="s">
        <v>22</v>
      </c>
      <c r="B52" s="54"/>
      <c r="C52" s="187">
        <v>0</v>
      </c>
      <c r="D52" s="193"/>
      <c r="E52" s="42">
        <f t="shared" ref="E52:M52" si="23">SUM(E48:E51)+SUM(E41:E44)-E55</f>
        <v>0</v>
      </c>
      <c r="F52" s="42">
        <f t="shared" si="23"/>
        <v>0</v>
      </c>
      <c r="G52" s="50">
        <f t="shared" si="23"/>
        <v>0</v>
      </c>
      <c r="H52" s="51">
        <f t="shared" si="23"/>
        <v>0</v>
      </c>
      <c r="I52" s="42">
        <f t="shared" si="23"/>
        <v>0</v>
      </c>
      <c r="J52" s="62">
        <f t="shared" si="23"/>
        <v>0</v>
      </c>
      <c r="K52" s="152">
        <f t="shared" si="23"/>
        <v>0</v>
      </c>
      <c r="L52" s="50">
        <f t="shared" si="23"/>
        <v>0</v>
      </c>
      <c r="M52" s="62">
        <f t="shared" si="23"/>
        <v>0</v>
      </c>
    </row>
    <row r="53" spans="1:16" ht="16.5" thickTop="1" thickBot="1" x14ac:dyDescent="0.3">
      <c r="A53" s="54" t="s">
        <v>23</v>
      </c>
      <c r="B53" s="54"/>
      <c r="C53" s="187">
        <v>0</v>
      </c>
      <c r="D53" s="193"/>
      <c r="E53" s="42">
        <f t="shared" ref="E53:M53" si="24">SUM(E48:E51)-E32</f>
        <v>1.0000000000218279E-2</v>
      </c>
      <c r="F53" s="42">
        <f t="shared" si="24"/>
        <v>0</v>
      </c>
      <c r="G53" s="50">
        <f t="shared" si="24"/>
        <v>9.9999999997635314E-3</v>
      </c>
      <c r="H53" s="51">
        <f t="shared" si="24"/>
        <v>-1.0000000000218279E-2</v>
      </c>
      <c r="I53" s="42">
        <f t="shared" si="24"/>
        <v>1.0000000000218279E-2</v>
      </c>
      <c r="J53" s="62">
        <f t="shared" si="24"/>
        <v>-9.9999999997635314E-3</v>
      </c>
      <c r="K53" s="153">
        <f>SUM(K48:K51)-K32</f>
        <v>0</v>
      </c>
      <c r="L53" s="42">
        <f t="shared" si="24"/>
        <v>0</v>
      </c>
      <c r="M53" s="42">
        <f t="shared" si="24"/>
        <v>0</v>
      </c>
    </row>
    <row r="54" spans="1:16" ht="16.5" thickTop="1" thickBot="1" x14ac:dyDescent="0.3">
      <c r="C54" s="98"/>
      <c r="D54" s="181"/>
      <c r="E54" s="17"/>
      <c r="F54" s="17"/>
      <c r="G54" s="17"/>
      <c r="H54" s="10"/>
      <c r="I54" s="17"/>
      <c r="J54" s="11"/>
      <c r="K54" s="17"/>
      <c r="L54" s="17"/>
      <c r="M54" s="11"/>
    </row>
    <row r="55" spans="1:16" ht="15.75" thickBot="1" x14ac:dyDescent="0.3">
      <c r="A55" s="46" t="s">
        <v>36</v>
      </c>
      <c r="B55" s="113">
        <f>SUM(B41:B44)</f>
        <v>-840916.56999999983</v>
      </c>
      <c r="C55" s="186">
        <f t="shared" ref="C55:M55" si="25">(C12-SUM(C15:C18))+SUM(C48:C51)+B55</f>
        <v>-476864.91999999975</v>
      </c>
      <c r="D55" s="190">
        <f t="shared" si="25"/>
        <v>-476864.91999999975</v>
      </c>
      <c r="E55" s="41">
        <f t="shared" si="25"/>
        <v>-528965.67999999982</v>
      </c>
      <c r="F55" s="41">
        <f t="shared" si="25"/>
        <v>-538662.19999999984</v>
      </c>
      <c r="G55" s="105">
        <f t="shared" si="25"/>
        <v>-524082.61999999982</v>
      </c>
      <c r="H55" s="40">
        <f t="shared" si="25"/>
        <v>-414222.89999999979</v>
      </c>
      <c r="I55" s="41">
        <f t="shared" si="25"/>
        <v>-352609.5299999998</v>
      </c>
      <c r="J55" s="61">
        <f t="shared" si="25"/>
        <v>-328975.04999999981</v>
      </c>
      <c r="K55" s="151">
        <f t="shared" si="25"/>
        <v>-301377.82999999978</v>
      </c>
      <c r="L55" s="105">
        <f t="shared" si="25"/>
        <v>-293764.33999999979</v>
      </c>
      <c r="M55" s="61">
        <f t="shared" si="25"/>
        <v>-486404.5299999998</v>
      </c>
    </row>
    <row r="56" spans="1:16" x14ac:dyDescent="0.25">
      <c r="A56" s="46" t="s">
        <v>12</v>
      </c>
      <c r="C56" s="114"/>
      <c r="D56" s="194"/>
      <c r="E56" s="17"/>
      <c r="F56" s="17"/>
      <c r="G56" s="17"/>
      <c r="H56" s="10"/>
      <c r="I56" s="17"/>
      <c r="J56" s="11"/>
      <c r="K56" s="17"/>
      <c r="L56" s="17"/>
      <c r="M56" s="11"/>
    </row>
    <row r="57" spans="1:16" ht="15.75" thickBot="1" x14ac:dyDescent="0.3">
      <c r="A57" s="37"/>
      <c r="B57" s="37"/>
      <c r="C57" s="138"/>
      <c r="D57" s="195"/>
      <c r="E57" s="44"/>
      <c r="F57" s="44"/>
      <c r="G57" s="44"/>
      <c r="H57" s="43"/>
      <c r="I57" s="44"/>
      <c r="J57" s="45"/>
      <c r="K57" s="44"/>
      <c r="L57" s="44"/>
      <c r="M57" s="45"/>
    </row>
    <row r="59" spans="1:16" x14ac:dyDescent="0.25">
      <c r="A59" s="69" t="s">
        <v>11</v>
      </c>
      <c r="B59" s="69"/>
      <c r="C59" s="69"/>
      <c r="D59" s="69"/>
    </row>
    <row r="60" spans="1:16" ht="34.5" customHeight="1" x14ac:dyDescent="0.25">
      <c r="A60" s="362" t="s">
        <v>252</v>
      </c>
      <c r="B60" s="362"/>
      <c r="C60" s="362"/>
      <c r="D60" s="362"/>
      <c r="E60" s="362"/>
      <c r="F60" s="362"/>
      <c r="G60" s="362"/>
      <c r="H60" s="362"/>
      <c r="I60" s="362"/>
      <c r="J60" s="362"/>
      <c r="K60" s="233"/>
      <c r="L60" s="217"/>
      <c r="M60" s="217"/>
    </row>
    <row r="61" spans="1:16" ht="48.6" customHeight="1" x14ac:dyDescent="0.25">
      <c r="A61" s="376" t="s">
        <v>253</v>
      </c>
      <c r="B61" s="376"/>
      <c r="C61" s="376"/>
      <c r="D61" s="376"/>
      <c r="E61" s="376"/>
      <c r="F61" s="376"/>
      <c r="G61" s="376"/>
      <c r="H61" s="376"/>
      <c r="I61" s="376"/>
      <c r="J61" s="376"/>
      <c r="K61" s="376"/>
      <c r="L61" s="376"/>
      <c r="M61" s="217"/>
    </row>
    <row r="62" spans="1:16" ht="33.75" customHeight="1" x14ac:dyDescent="0.25">
      <c r="A62" s="362" t="s">
        <v>254</v>
      </c>
      <c r="B62" s="362"/>
      <c r="C62" s="362"/>
      <c r="D62" s="362"/>
      <c r="E62" s="362"/>
      <c r="F62" s="362"/>
      <c r="G62" s="362"/>
      <c r="H62" s="362"/>
      <c r="I62" s="362"/>
      <c r="J62" s="362"/>
      <c r="K62" s="233"/>
      <c r="L62" s="217"/>
      <c r="M62" s="217"/>
    </row>
    <row r="63" spans="1:16" x14ac:dyDescent="0.25">
      <c r="A63" s="63" t="s">
        <v>67</v>
      </c>
      <c r="B63" s="63"/>
      <c r="C63" s="63"/>
      <c r="D63" s="63"/>
      <c r="E63" s="39"/>
      <c r="F63" s="39"/>
      <c r="G63" s="39"/>
      <c r="H63" s="39"/>
      <c r="I63" s="39"/>
      <c r="J63" s="39"/>
      <c r="K63" s="39"/>
    </row>
    <row r="64" spans="1:16" x14ac:dyDescent="0.25">
      <c r="A64" s="63" t="s">
        <v>251</v>
      </c>
      <c r="B64" s="63"/>
      <c r="C64" s="63"/>
      <c r="D64" s="63"/>
      <c r="E64" s="39"/>
      <c r="F64" s="39"/>
      <c r="G64" s="39"/>
      <c r="H64" s="39"/>
      <c r="I64" s="39"/>
      <c r="J64" s="39"/>
      <c r="K64" s="39"/>
    </row>
    <row r="65" spans="1:11" x14ac:dyDescent="0.25">
      <c r="A65" s="63" t="s">
        <v>70</v>
      </c>
      <c r="B65" s="63"/>
      <c r="C65" s="63"/>
      <c r="D65" s="63"/>
      <c r="E65" s="39"/>
      <c r="F65" s="39"/>
      <c r="G65" s="39"/>
      <c r="H65" s="39"/>
      <c r="I65" s="39"/>
      <c r="J65" s="39"/>
      <c r="K65" s="39"/>
    </row>
    <row r="66" spans="1:11" x14ac:dyDescent="0.25">
      <c r="A66" s="3"/>
      <c r="B66" s="3"/>
      <c r="C66" s="3"/>
      <c r="D66" s="3"/>
    </row>
  </sheetData>
  <mergeCells count="6">
    <mergeCell ref="A62:J62"/>
    <mergeCell ref="E10:G10"/>
    <mergeCell ref="H10:J10"/>
    <mergeCell ref="K10:M10"/>
    <mergeCell ref="A60:J60"/>
    <mergeCell ref="A61:L61"/>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97"/>
  <sheetViews>
    <sheetView workbookViewId="0">
      <pane ySplit="4" topLeftCell="A5" activePane="bottomLeft" state="frozen"/>
      <selection pane="bottomLeft" activeCell="J9" sqref="J9"/>
    </sheetView>
  </sheetViews>
  <sheetFormatPr defaultRowHeight="15" x14ac:dyDescent="0.25"/>
  <cols>
    <col min="1" max="1" width="23.7109375" customWidth="1"/>
    <col min="2" max="2" width="15.28515625" bestFit="1" customWidth="1"/>
    <col min="3" max="3" width="14.28515625" style="46" customWidth="1"/>
    <col min="4" max="4" width="13.28515625" bestFit="1" customWidth="1"/>
    <col min="5" max="5" width="9.7109375" bestFit="1" customWidth="1"/>
    <col min="6" max="6" width="12.5703125" bestFit="1" customWidth="1"/>
    <col min="7" max="7" width="13.140625" customWidth="1"/>
    <col min="9" max="9" width="10.42578125" bestFit="1" customWidth="1"/>
    <col min="11" max="11" width="9.42578125" bestFit="1" customWidth="1"/>
  </cols>
  <sheetData>
    <row r="1" spans="1:7" x14ac:dyDescent="0.25">
      <c r="A1" s="63" t="str">
        <f>+'PPC Cycle 3'!A1</f>
        <v>Evergy Missouri West, Inc. - DSIM Rider Update Filed 12/01/2023</v>
      </c>
      <c r="B1" s="46"/>
      <c r="D1" s="46"/>
      <c r="E1" s="46"/>
    </row>
    <row r="2" spans="1:7" x14ac:dyDescent="0.25">
      <c r="A2" s="9" t="str">
        <f>+'PPC Cycle 3'!A2</f>
        <v>Projections for Cycle 3 January 2024 - December 2024 DSIM</v>
      </c>
      <c r="B2" s="46"/>
      <c r="D2" s="46"/>
      <c r="E2" s="46"/>
    </row>
    <row r="3" spans="1:7" ht="45.75" customHeight="1" x14ac:dyDescent="0.25">
      <c r="A3" s="46"/>
      <c r="B3" s="358" t="s">
        <v>98</v>
      </c>
      <c r="C3" s="358"/>
      <c r="D3" s="358"/>
      <c r="E3" s="46"/>
    </row>
    <row r="4" spans="1:7" ht="90" x14ac:dyDescent="0.25">
      <c r="A4" s="46"/>
      <c r="B4" s="70" t="s">
        <v>100</v>
      </c>
      <c r="C4" s="70" t="s">
        <v>101</v>
      </c>
      <c r="D4" s="70" t="s">
        <v>104</v>
      </c>
      <c r="E4" s="70" t="s">
        <v>102</v>
      </c>
      <c r="F4" s="70" t="s">
        <v>99</v>
      </c>
      <c r="G4" s="70" t="s">
        <v>105</v>
      </c>
    </row>
    <row r="5" spans="1:7" s="46" customFormat="1" x14ac:dyDescent="0.25">
      <c r="A5" s="20"/>
      <c r="B5" s="70"/>
      <c r="C5" s="70"/>
      <c r="D5" s="145"/>
    </row>
    <row r="6" spans="1:7" s="46" customFormat="1" x14ac:dyDescent="0.25">
      <c r="A6" s="235" t="s">
        <v>153</v>
      </c>
      <c r="B6" s="70"/>
      <c r="C6" s="70"/>
      <c r="D6" s="144"/>
    </row>
    <row r="7" spans="1:7" s="46" customFormat="1" x14ac:dyDescent="0.25">
      <c r="A7" s="20" t="s">
        <v>24</v>
      </c>
      <c r="B7" s="215">
        <f>+B18+B29+B40+B50+B60+B70+B80</f>
        <v>6580575.5600000005</v>
      </c>
      <c r="C7" s="215">
        <f t="shared" ref="C7:E7" si="0">+C18+C29+C40+C50+C60+C70+C80</f>
        <v>-1695365.81</v>
      </c>
      <c r="D7" s="215">
        <f t="shared" si="0"/>
        <v>-1361421.68</v>
      </c>
      <c r="E7" s="215">
        <f t="shared" si="0"/>
        <v>-87775.260000000024</v>
      </c>
      <c r="F7" s="215">
        <f>SUM(B7:E7)</f>
        <v>3436012.81</v>
      </c>
      <c r="G7" s="215">
        <f t="shared" ref="G7:G8" si="1">+G18+G29+G40+G50+G60+G70+G80</f>
        <v>-18710.22</v>
      </c>
    </row>
    <row r="8" spans="1:7" s="46" customFormat="1" x14ac:dyDescent="0.25">
      <c r="A8" s="20" t="s">
        <v>25</v>
      </c>
      <c r="B8" s="215">
        <f t="shared" ref="B8:E8" si="2">+B19+B30+B41+B51+B61+B71+B81</f>
        <v>6141489.0100000007</v>
      </c>
      <c r="C8" s="215">
        <f t="shared" si="2"/>
        <v>917589.42999999993</v>
      </c>
      <c r="D8" s="215">
        <f t="shared" si="2"/>
        <v>-160545.48000000001</v>
      </c>
      <c r="E8" s="215">
        <f t="shared" si="2"/>
        <v>65611.53</v>
      </c>
      <c r="F8" s="215">
        <f>SUM(B8:E8)</f>
        <v>6964144.4900000002</v>
      </c>
      <c r="G8" s="215">
        <f t="shared" si="1"/>
        <v>-88.800000000000097</v>
      </c>
    </row>
    <row r="9" spans="1:7" s="46" customFormat="1" x14ac:dyDescent="0.25">
      <c r="A9" s="20" t="s">
        <v>5</v>
      </c>
      <c r="B9" s="207">
        <f t="shared" ref="B9:E9" si="3">SUM(B7:B8)</f>
        <v>12722064.57</v>
      </c>
      <c r="C9" s="207">
        <f t="shared" si="3"/>
        <v>-777776.38000000012</v>
      </c>
      <c r="D9" s="207">
        <f t="shared" si="3"/>
        <v>-1521967.16</v>
      </c>
      <c r="E9" s="207">
        <f t="shared" si="3"/>
        <v>-22163.730000000025</v>
      </c>
      <c r="F9" s="207">
        <f t="shared" ref="F9:G9" si="4">SUM(F7:F8)</f>
        <v>10400157.300000001</v>
      </c>
      <c r="G9" s="207">
        <f t="shared" si="4"/>
        <v>-18799.02</v>
      </c>
    </row>
    <row r="10" spans="1:7" s="46" customFormat="1" x14ac:dyDescent="0.25">
      <c r="B10" s="204"/>
      <c r="C10" s="204"/>
      <c r="D10" s="205"/>
    </row>
    <row r="11" spans="1:7" s="46" customFormat="1" x14ac:dyDescent="0.25">
      <c r="A11" s="20" t="s">
        <v>107</v>
      </c>
      <c r="B11" s="207">
        <f t="shared" ref="B11:E11" si="5">+B22+B33+B44+B54+B64+B74+B84</f>
        <v>2400450.7000000002</v>
      </c>
      <c r="C11" s="207">
        <f t="shared" si="5"/>
        <v>394893.28</v>
      </c>
      <c r="D11" s="207">
        <f t="shared" si="5"/>
        <v>-42963.699999999975</v>
      </c>
      <c r="E11" s="207">
        <f t="shared" si="5"/>
        <v>29785.539999999997</v>
      </c>
      <c r="F11" s="207">
        <f t="shared" ref="F11:F13" si="6">SUM(B11:E11)</f>
        <v>2782165.8200000003</v>
      </c>
      <c r="G11" s="207">
        <f t="shared" ref="G11:G13" si="7">+G22+G33+G44+G54+G64+G74+G84</f>
        <v>349.62</v>
      </c>
    </row>
    <row r="12" spans="1:7" s="46" customFormat="1" x14ac:dyDescent="0.25">
      <c r="A12" s="20" t="s">
        <v>108</v>
      </c>
      <c r="B12" s="207">
        <f t="shared" ref="B12:E12" si="8">+B23+B34+B45+B55+B65+B75+B85</f>
        <v>2683377.23</v>
      </c>
      <c r="C12" s="207">
        <f t="shared" si="8"/>
        <v>480798.51</v>
      </c>
      <c r="D12" s="207">
        <f t="shared" si="8"/>
        <v>-107219.15</v>
      </c>
      <c r="E12" s="207">
        <f t="shared" si="8"/>
        <v>31959.200000000001</v>
      </c>
      <c r="F12" s="207">
        <f t="shared" si="6"/>
        <v>3088915.7900000005</v>
      </c>
      <c r="G12" s="207">
        <f t="shared" si="7"/>
        <v>-150.22000000000003</v>
      </c>
    </row>
    <row r="13" spans="1:7" s="46" customFormat="1" x14ac:dyDescent="0.25">
      <c r="A13" s="20" t="s">
        <v>109</v>
      </c>
      <c r="B13" s="207">
        <f t="shared" ref="B13:E13" si="9">+B24+B35+B46+B56+B66+B76+B86</f>
        <v>1057661.06</v>
      </c>
      <c r="C13" s="207">
        <f t="shared" si="9"/>
        <v>41897.640000000007</v>
      </c>
      <c r="D13" s="207">
        <f t="shared" si="9"/>
        <v>-10362.630000000001</v>
      </c>
      <c r="E13" s="207">
        <f t="shared" si="9"/>
        <v>3866.7900000000004</v>
      </c>
      <c r="F13" s="207">
        <f t="shared" si="6"/>
        <v>1093062.8600000001</v>
      </c>
      <c r="G13" s="207">
        <f t="shared" si="7"/>
        <v>-288.20000000000005</v>
      </c>
    </row>
    <row r="14" spans="1:7" s="46" customFormat="1" x14ac:dyDescent="0.25">
      <c r="A14" s="30" t="s">
        <v>111</v>
      </c>
      <c r="B14" s="207">
        <f t="shared" ref="B14:E14" si="10">SUM(B11:B13)</f>
        <v>6141488.9900000002</v>
      </c>
      <c r="C14" s="207">
        <f t="shared" si="10"/>
        <v>917589.43</v>
      </c>
      <c r="D14" s="207">
        <f t="shared" si="10"/>
        <v>-160545.47999999998</v>
      </c>
      <c r="E14" s="207">
        <f t="shared" si="10"/>
        <v>65611.53</v>
      </c>
      <c r="F14" s="207">
        <f t="shared" ref="F14:G14" si="11">SUM(F11:F13)</f>
        <v>6964144.4700000016</v>
      </c>
      <c r="G14" s="207">
        <f t="shared" si="11"/>
        <v>-88.800000000000068</v>
      </c>
    </row>
    <row r="15" spans="1:7" s="46" customFormat="1" x14ac:dyDescent="0.25">
      <c r="A15" s="20"/>
      <c r="B15" s="70"/>
      <c r="C15" s="70"/>
      <c r="D15" s="144"/>
    </row>
    <row r="16" spans="1:7" s="46" customFormat="1" x14ac:dyDescent="0.25">
      <c r="A16" s="20"/>
      <c r="B16" s="70"/>
      <c r="C16" s="70"/>
      <c r="D16" s="144"/>
    </row>
    <row r="17" spans="1:7" s="46" customFormat="1" x14ac:dyDescent="0.25">
      <c r="A17" s="235" t="s">
        <v>159</v>
      </c>
      <c r="B17" s="70"/>
      <c r="C17" s="70"/>
      <c r="D17" s="144"/>
    </row>
    <row r="18" spans="1:7" s="46" customFormat="1" x14ac:dyDescent="0.25">
      <c r="A18" s="20" t="s">
        <v>24</v>
      </c>
      <c r="B18" s="25">
        <v>5181939.6500000004</v>
      </c>
      <c r="C18" s="25">
        <v>-722286.33</v>
      </c>
      <c r="D18" s="25">
        <v>574414.55000000005</v>
      </c>
      <c r="E18" s="226">
        <v>2229.4899999999998</v>
      </c>
      <c r="F18" s="215">
        <f>SUM(B18:E18)</f>
        <v>5036297.3600000003</v>
      </c>
      <c r="G18" s="227">
        <f>ROUND(F18/24*0,2)</f>
        <v>0</v>
      </c>
    </row>
    <row r="19" spans="1:7" s="46" customFormat="1" x14ac:dyDescent="0.25">
      <c r="A19" s="20" t="s">
        <v>25</v>
      </c>
      <c r="B19" s="206">
        <v>5060008.6900000004</v>
      </c>
      <c r="C19" s="206">
        <v>194085.35</v>
      </c>
      <c r="D19" s="206">
        <v>562321.14</v>
      </c>
      <c r="E19" s="228">
        <v>20418.36</v>
      </c>
      <c r="F19" s="215">
        <f>SUM(B19:E19)</f>
        <v>5836833.54</v>
      </c>
      <c r="G19" s="227">
        <f>ROUND(F19/24*0,2)</f>
        <v>0</v>
      </c>
    </row>
    <row r="20" spans="1:7" s="46" customFormat="1" x14ac:dyDescent="0.25">
      <c r="A20" s="20" t="s">
        <v>5</v>
      </c>
      <c r="B20" s="207">
        <f t="shared" ref="B20:G20" si="12">SUM(B18:B19)</f>
        <v>10241948.34</v>
      </c>
      <c r="C20" s="207">
        <f t="shared" si="12"/>
        <v>-528200.98</v>
      </c>
      <c r="D20" s="207">
        <f t="shared" si="12"/>
        <v>1136735.69</v>
      </c>
      <c r="E20" s="229">
        <f t="shared" si="12"/>
        <v>22647.85</v>
      </c>
      <c r="F20" s="207">
        <f t="shared" si="12"/>
        <v>10873130.9</v>
      </c>
      <c r="G20" s="230">
        <f t="shared" si="12"/>
        <v>0</v>
      </c>
    </row>
    <row r="21" spans="1:7" s="46" customFormat="1" x14ac:dyDescent="0.25">
      <c r="B21" s="204"/>
      <c r="C21" s="204"/>
      <c r="D21" s="205"/>
    </row>
    <row r="22" spans="1:7" x14ac:dyDescent="0.25">
      <c r="A22" s="20" t="s">
        <v>107</v>
      </c>
      <c r="B22" s="25">
        <v>1943830.05</v>
      </c>
      <c r="C22" s="25">
        <v>62654.27</v>
      </c>
      <c r="D22" s="25">
        <v>289519.26</v>
      </c>
      <c r="E22" s="206">
        <v>9487.83</v>
      </c>
      <c r="F22" s="207">
        <f t="shared" ref="F22:F24" si="13">SUM(B22:E22)</f>
        <v>2305491.41</v>
      </c>
      <c r="G22" s="237">
        <f>ROUND(F22/24*0,2)</f>
        <v>0</v>
      </c>
    </row>
    <row r="23" spans="1:7" x14ac:dyDescent="0.25">
      <c r="A23" s="20" t="s">
        <v>108</v>
      </c>
      <c r="B23" s="25">
        <v>2196160.91</v>
      </c>
      <c r="C23" s="25">
        <v>122990.05</v>
      </c>
      <c r="D23" s="25">
        <v>233118.96</v>
      </c>
      <c r="E23" s="25">
        <v>9593.31</v>
      </c>
      <c r="F23" s="207">
        <f t="shared" si="13"/>
        <v>2561863.23</v>
      </c>
      <c r="G23" s="237">
        <f>ROUND(F23/24*0,2)</f>
        <v>0</v>
      </c>
    </row>
    <row r="24" spans="1:7" x14ac:dyDescent="0.25">
      <c r="A24" s="20" t="s">
        <v>109</v>
      </c>
      <c r="B24" s="206">
        <v>920017.71</v>
      </c>
      <c r="C24" s="206">
        <v>8441.0300000000007</v>
      </c>
      <c r="D24" s="206">
        <v>39682.92</v>
      </c>
      <c r="E24" s="206">
        <v>1337.22</v>
      </c>
      <c r="F24" s="207">
        <f t="shared" si="13"/>
        <v>969478.88</v>
      </c>
      <c r="G24" s="237">
        <f>ROUND(F24/24*0,2)</f>
        <v>0</v>
      </c>
    </row>
    <row r="25" spans="1:7" x14ac:dyDescent="0.25">
      <c r="A25" s="30" t="s">
        <v>111</v>
      </c>
      <c r="B25" s="207">
        <f>SUM(B22:B24)</f>
        <v>5060008.67</v>
      </c>
      <c r="C25" s="207">
        <f>SUM(C22:C24)</f>
        <v>194085.35</v>
      </c>
      <c r="D25" s="207">
        <f t="shared" ref="D25:G25" si="14">SUM(D22:D24)</f>
        <v>562321.14</v>
      </c>
      <c r="E25" s="207">
        <f t="shared" si="14"/>
        <v>20418.36</v>
      </c>
      <c r="F25" s="207">
        <f t="shared" si="14"/>
        <v>5836833.5200000005</v>
      </c>
      <c r="G25" s="207">
        <f t="shared" si="14"/>
        <v>0</v>
      </c>
    </row>
    <row r="26" spans="1:7" s="39" customFormat="1" x14ac:dyDescent="0.25">
      <c r="A26" s="30"/>
      <c r="B26" s="236"/>
      <c r="C26" s="236"/>
      <c r="D26" s="236"/>
      <c r="E26" s="236"/>
      <c r="F26" s="236"/>
      <c r="G26" s="236"/>
    </row>
    <row r="27" spans="1:7" s="39" customFormat="1" x14ac:dyDescent="0.25">
      <c r="A27" s="30"/>
      <c r="B27" s="236"/>
      <c r="C27" s="236"/>
      <c r="D27" s="236"/>
      <c r="E27" s="236"/>
      <c r="F27" s="236"/>
      <c r="G27" s="236"/>
    </row>
    <row r="28" spans="1:7" s="46" customFormat="1" x14ac:dyDescent="0.25">
      <c r="A28" s="235" t="s">
        <v>160</v>
      </c>
      <c r="B28" s="70"/>
      <c r="C28" s="70"/>
      <c r="D28" s="144"/>
    </row>
    <row r="29" spans="1:7" s="46" customFormat="1" x14ac:dyDescent="0.25">
      <c r="A29" s="20" t="s">
        <v>24</v>
      </c>
      <c r="B29" s="25">
        <v>1398635.91</v>
      </c>
      <c r="C29" s="25">
        <v>-801107.23</v>
      </c>
      <c r="D29" s="25">
        <v>-1374859.37</v>
      </c>
      <c r="E29" s="226">
        <v>-42421.68</v>
      </c>
      <c r="F29" s="215">
        <f>SUM(B29:E29)</f>
        <v>-819752.37000000023</v>
      </c>
      <c r="G29" s="227">
        <f>ROUND(F29/24*0,2)</f>
        <v>0</v>
      </c>
    </row>
    <row r="30" spans="1:7" s="46" customFormat="1" x14ac:dyDescent="0.25">
      <c r="A30" s="20" t="s">
        <v>25</v>
      </c>
      <c r="B30" s="206">
        <v>1081480.32</v>
      </c>
      <c r="C30" s="206">
        <v>524350.93999999994</v>
      </c>
      <c r="D30" s="206">
        <v>-536449.89</v>
      </c>
      <c r="E30" s="228">
        <v>37990.920000000006</v>
      </c>
      <c r="F30" s="215">
        <f>SUM(B30:E30)</f>
        <v>1107372.29</v>
      </c>
      <c r="G30" s="227">
        <f>ROUND(F30/24*0,2)</f>
        <v>0</v>
      </c>
    </row>
    <row r="31" spans="1:7" s="46" customFormat="1" x14ac:dyDescent="0.25">
      <c r="A31" s="20" t="s">
        <v>5</v>
      </c>
      <c r="B31" s="207">
        <f t="shared" ref="B31:G31" si="15">SUM(B29:B30)</f>
        <v>2480116.23</v>
      </c>
      <c r="C31" s="207">
        <f t="shared" si="15"/>
        <v>-276756.29000000004</v>
      </c>
      <c r="D31" s="207">
        <f t="shared" si="15"/>
        <v>-1911309.2600000002</v>
      </c>
      <c r="E31" s="229">
        <f t="shared" si="15"/>
        <v>-4430.7599999999948</v>
      </c>
      <c r="F31" s="207">
        <f t="shared" si="15"/>
        <v>287619.91999999981</v>
      </c>
      <c r="G31" s="230">
        <f t="shared" si="15"/>
        <v>0</v>
      </c>
    </row>
    <row r="32" spans="1:7" s="46" customFormat="1" x14ac:dyDescent="0.25">
      <c r="B32" s="204"/>
      <c r="C32" s="204"/>
      <c r="D32" s="205"/>
    </row>
    <row r="33" spans="1:7" s="46" customFormat="1" x14ac:dyDescent="0.25">
      <c r="A33" s="20" t="s">
        <v>107</v>
      </c>
      <c r="B33" s="25">
        <v>456620.65</v>
      </c>
      <c r="C33" s="25">
        <v>238713.51</v>
      </c>
      <c r="D33" s="25">
        <v>-250839.18</v>
      </c>
      <c r="E33" s="206">
        <v>16987.560000000001</v>
      </c>
      <c r="F33" s="207">
        <f t="shared" ref="F33:F35" si="16">SUM(B33:E33)</f>
        <v>461482.54000000004</v>
      </c>
      <c r="G33" s="237">
        <f>ROUND(F33/24*0,2)</f>
        <v>0</v>
      </c>
    </row>
    <row r="34" spans="1:7" s="46" customFormat="1" x14ac:dyDescent="0.25">
      <c r="A34" s="20" t="s">
        <v>108</v>
      </c>
      <c r="B34" s="25">
        <v>487216.32</v>
      </c>
      <c r="C34" s="25">
        <v>261085.55</v>
      </c>
      <c r="D34" s="25">
        <v>-248789.11</v>
      </c>
      <c r="E34" s="25">
        <v>18676.650000000001</v>
      </c>
      <c r="F34" s="207">
        <f t="shared" si="16"/>
        <v>518189.41000000003</v>
      </c>
      <c r="G34" s="237">
        <f>ROUND(F34/24*0,2)</f>
        <v>0</v>
      </c>
    </row>
    <row r="35" spans="1:7" s="46" customFormat="1" x14ac:dyDescent="0.25">
      <c r="A35" s="20" t="s">
        <v>109</v>
      </c>
      <c r="B35" s="206">
        <v>137643.35</v>
      </c>
      <c r="C35" s="206">
        <v>24551.88</v>
      </c>
      <c r="D35" s="206">
        <v>-36821.599999999999</v>
      </c>
      <c r="E35" s="206">
        <v>2326.71</v>
      </c>
      <c r="F35" s="207">
        <f t="shared" si="16"/>
        <v>127700.34000000001</v>
      </c>
      <c r="G35" s="237">
        <f>ROUND(F35/24*0,2)</f>
        <v>0</v>
      </c>
    </row>
    <row r="36" spans="1:7" s="46" customFormat="1" x14ac:dyDescent="0.25">
      <c r="A36" s="30" t="s">
        <v>111</v>
      </c>
      <c r="B36" s="207">
        <f>SUM(B33:B35)</f>
        <v>1081480.32</v>
      </c>
      <c r="C36" s="207">
        <f>SUM(C33:C35)</f>
        <v>524350.93999999994</v>
      </c>
      <c r="D36" s="207">
        <f t="shared" ref="D36:G36" si="17">SUM(D33:D35)</f>
        <v>-536449.89</v>
      </c>
      <c r="E36" s="207">
        <f t="shared" si="17"/>
        <v>37990.920000000006</v>
      </c>
      <c r="F36" s="207">
        <f t="shared" si="17"/>
        <v>1107372.29</v>
      </c>
      <c r="G36" s="207">
        <f t="shared" si="17"/>
        <v>0</v>
      </c>
    </row>
    <row r="37" spans="1:7" x14ac:dyDescent="0.25">
      <c r="A37" s="30"/>
      <c r="B37" s="236"/>
      <c r="C37" s="236"/>
      <c r="D37" s="236"/>
      <c r="E37" s="236"/>
      <c r="F37" s="236"/>
      <c r="G37" s="236"/>
    </row>
    <row r="38" spans="1:7" s="39" customFormat="1" x14ac:dyDescent="0.25">
      <c r="A38" s="30"/>
      <c r="B38" s="236"/>
      <c r="C38" s="236"/>
      <c r="D38" s="236"/>
      <c r="E38" s="236"/>
      <c r="F38" s="236"/>
      <c r="G38" s="236"/>
    </row>
    <row r="39" spans="1:7" s="46" customFormat="1" x14ac:dyDescent="0.25">
      <c r="A39" s="235" t="s">
        <v>161</v>
      </c>
      <c r="B39" s="70"/>
      <c r="C39" s="70"/>
      <c r="D39" s="144"/>
    </row>
    <row r="40" spans="1:7" s="46" customFormat="1" x14ac:dyDescent="0.25">
      <c r="A40" s="20" t="s">
        <v>24</v>
      </c>
      <c r="B40" s="25">
        <v>0</v>
      </c>
      <c r="C40" s="25">
        <v>-188195.82</v>
      </c>
      <c r="D40" s="25">
        <v>-520190.41</v>
      </c>
      <c r="E40" s="226">
        <v>-19391.330000000002</v>
      </c>
      <c r="F40" s="215">
        <f>SUM(B40:E40)</f>
        <v>-727777.55999999994</v>
      </c>
      <c r="G40" s="227">
        <f>ROUND(F40/24*0,2)</f>
        <v>0</v>
      </c>
    </row>
    <row r="41" spans="1:7" s="46" customFormat="1" x14ac:dyDescent="0.25">
      <c r="A41" s="20" t="s">
        <v>25</v>
      </c>
      <c r="B41" s="206">
        <v>0</v>
      </c>
      <c r="C41" s="206">
        <v>185348.24</v>
      </c>
      <c r="D41" s="206">
        <v>-173130.57</v>
      </c>
      <c r="E41" s="228">
        <v>5685.3399999999992</v>
      </c>
      <c r="F41" s="215">
        <f>SUM(B41:E41)</f>
        <v>17903.009999999984</v>
      </c>
      <c r="G41" s="227">
        <f>ROUND(F41/24*0,2)</f>
        <v>0</v>
      </c>
    </row>
    <row r="42" spans="1:7" s="46" customFormat="1" x14ac:dyDescent="0.25">
      <c r="A42" s="20" t="s">
        <v>5</v>
      </c>
      <c r="B42" s="207">
        <f t="shared" ref="B42:G42" si="18">SUM(B40:B41)</f>
        <v>0</v>
      </c>
      <c r="C42" s="207">
        <f t="shared" si="18"/>
        <v>-2847.5800000000163</v>
      </c>
      <c r="D42" s="207">
        <f t="shared" si="18"/>
        <v>-693320.98</v>
      </c>
      <c r="E42" s="229">
        <f t="shared" si="18"/>
        <v>-13705.990000000002</v>
      </c>
      <c r="F42" s="207">
        <f t="shared" si="18"/>
        <v>-709874.54999999993</v>
      </c>
      <c r="G42" s="230">
        <f t="shared" si="18"/>
        <v>0</v>
      </c>
    </row>
    <row r="43" spans="1:7" s="46" customFormat="1" x14ac:dyDescent="0.25">
      <c r="B43" s="204"/>
      <c r="C43" s="204"/>
      <c r="D43" s="205"/>
    </row>
    <row r="44" spans="1:7" s="46" customFormat="1" x14ac:dyDescent="0.25">
      <c r="A44" s="20" t="s">
        <v>107</v>
      </c>
      <c r="B44" s="25">
        <v>0</v>
      </c>
      <c r="C44" s="25">
        <v>87398.02</v>
      </c>
      <c r="D44" s="25">
        <v>-76386.149999999994</v>
      </c>
      <c r="E44" s="206">
        <v>2490.44</v>
      </c>
      <c r="F44" s="207">
        <f t="shared" ref="F44:F46" si="19">SUM(B44:E44)</f>
        <v>13502.31000000001</v>
      </c>
      <c r="G44" s="237">
        <f>ROUND(F44/24*0,2)</f>
        <v>0</v>
      </c>
    </row>
    <row r="45" spans="1:7" s="46" customFormat="1" x14ac:dyDescent="0.25">
      <c r="A45" s="20" t="s">
        <v>108</v>
      </c>
      <c r="B45" s="25">
        <v>0</v>
      </c>
      <c r="C45" s="25">
        <v>89708.28</v>
      </c>
      <c r="D45" s="25">
        <v>-84622.720000000001</v>
      </c>
      <c r="E45" s="25">
        <v>2915.7</v>
      </c>
      <c r="F45" s="207">
        <f t="shared" si="19"/>
        <v>8001.2599999999975</v>
      </c>
      <c r="G45" s="237">
        <f>ROUND(F45/24*0,2)</f>
        <v>0</v>
      </c>
    </row>
    <row r="46" spans="1:7" s="46" customFormat="1" x14ac:dyDescent="0.25">
      <c r="A46" s="20" t="s">
        <v>109</v>
      </c>
      <c r="B46" s="206">
        <v>0</v>
      </c>
      <c r="C46" s="25">
        <v>8241.94</v>
      </c>
      <c r="D46" s="206">
        <v>-12121.7</v>
      </c>
      <c r="E46" s="206">
        <v>279.2</v>
      </c>
      <c r="F46" s="207">
        <f t="shared" si="19"/>
        <v>-3600.5600000000004</v>
      </c>
      <c r="G46" s="237">
        <f>ROUND(F46/24*0,2)</f>
        <v>0</v>
      </c>
    </row>
    <row r="47" spans="1:7" s="46" customFormat="1" x14ac:dyDescent="0.25">
      <c r="A47" s="30" t="s">
        <v>111</v>
      </c>
      <c r="B47" s="207">
        <f>SUM(B44:B46)</f>
        <v>0</v>
      </c>
      <c r="C47" s="207">
        <f>SUM(C44:C46)</f>
        <v>185348.24</v>
      </c>
      <c r="D47" s="207">
        <f t="shared" ref="D47:G47" si="20">SUM(D44:D46)</f>
        <v>-173130.57</v>
      </c>
      <c r="E47" s="207">
        <f t="shared" si="20"/>
        <v>5685.3399999999992</v>
      </c>
      <c r="F47" s="207">
        <f t="shared" si="20"/>
        <v>17903.010000000006</v>
      </c>
      <c r="G47" s="207">
        <f t="shared" si="20"/>
        <v>0</v>
      </c>
    </row>
    <row r="48" spans="1:7" s="46" customFormat="1" x14ac:dyDescent="0.25">
      <c r="A48" s="30"/>
      <c r="B48" s="231"/>
      <c r="C48" s="231"/>
      <c r="D48" s="231"/>
      <c r="E48" s="231"/>
      <c r="F48" s="231"/>
      <c r="G48" s="231"/>
    </row>
    <row r="49" spans="1:7" s="46" customFormat="1" x14ac:dyDescent="0.25">
      <c r="A49" s="235" t="s">
        <v>163</v>
      </c>
      <c r="B49" s="70"/>
      <c r="C49" s="70"/>
      <c r="D49" s="144"/>
    </row>
    <row r="50" spans="1:7" s="46" customFormat="1" x14ac:dyDescent="0.25">
      <c r="A50" s="20" t="s">
        <v>24</v>
      </c>
      <c r="B50" s="25">
        <v>0</v>
      </c>
      <c r="C50" s="25">
        <v>0</v>
      </c>
      <c r="D50" s="25">
        <v>0</v>
      </c>
      <c r="E50" s="226">
        <v>-10950.18</v>
      </c>
      <c r="F50" s="215">
        <f>SUM(B50:E50)</f>
        <v>-10950.18</v>
      </c>
      <c r="G50" s="227">
        <f>ROUND(F50/24*1,2)</f>
        <v>-456.26</v>
      </c>
    </row>
    <row r="51" spans="1:7" s="46" customFormat="1" x14ac:dyDescent="0.25">
      <c r="A51" s="20" t="s">
        <v>25</v>
      </c>
      <c r="B51" s="206">
        <v>0</v>
      </c>
      <c r="C51" s="206">
        <v>0</v>
      </c>
      <c r="D51" s="206">
        <v>0</v>
      </c>
      <c r="E51" s="228">
        <v>1989.22</v>
      </c>
      <c r="F51" s="215">
        <f>SUM(B51:E51)</f>
        <v>1989.22</v>
      </c>
      <c r="G51" s="227">
        <f>SUM(G54:G56)</f>
        <v>82.88000000000001</v>
      </c>
    </row>
    <row r="52" spans="1:7" s="46" customFormat="1" x14ac:dyDescent="0.25">
      <c r="A52" s="20" t="s">
        <v>5</v>
      </c>
      <c r="B52" s="207">
        <f t="shared" ref="B52:G52" si="21">SUM(B50:B51)</f>
        <v>0</v>
      </c>
      <c r="C52" s="207">
        <f t="shared" si="21"/>
        <v>0</v>
      </c>
      <c r="D52" s="207">
        <f t="shared" si="21"/>
        <v>0</v>
      </c>
      <c r="E52" s="229">
        <f t="shared" si="21"/>
        <v>-8960.9600000000009</v>
      </c>
      <c r="F52" s="207">
        <f t="shared" si="21"/>
        <v>-8960.9600000000009</v>
      </c>
      <c r="G52" s="230">
        <f t="shared" si="21"/>
        <v>-373.38</v>
      </c>
    </row>
    <row r="53" spans="1:7" s="46" customFormat="1" x14ac:dyDescent="0.25">
      <c r="B53" s="204"/>
      <c r="C53" s="204"/>
      <c r="D53" s="205"/>
    </row>
    <row r="54" spans="1:7" s="46" customFormat="1" x14ac:dyDescent="0.25">
      <c r="A54" s="20" t="s">
        <v>107</v>
      </c>
      <c r="B54" s="25">
        <v>0</v>
      </c>
      <c r="C54" s="25">
        <v>0</v>
      </c>
      <c r="D54" s="25">
        <v>0</v>
      </c>
      <c r="E54" s="206">
        <v>869.87</v>
      </c>
      <c r="F54" s="207">
        <f t="shared" ref="F54:F56" si="22">SUM(B54:E54)</f>
        <v>869.87</v>
      </c>
      <c r="G54" s="237">
        <f>ROUND(F54/24*1,2)</f>
        <v>36.24</v>
      </c>
    </row>
    <row r="55" spans="1:7" s="46" customFormat="1" x14ac:dyDescent="0.25">
      <c r="A55" s="20" t="s">
        <v>108</v>
      </c>
      <c r="B55" s="25">
        <v>0</v>
      </c>
      <c r="C55" s="25">
        <v>0</v>
      </c>
      <c r="D55" s="25">
        <v>0</v>
      </c>
      <c r="E55" s="25">
        <v>1045.55</v>
      </c>
      <c r="F55" s="207">
        <f t="shared" si="22"/>
        <v>1045.55</v>
      </c>
      <c r="G55" s="237">
        <f t="shared" ref="G55:G56" si="23">ROUND(F55/24*1,2)</f>
        <v>43.56</v>
      </c>
    </row>
    <row r="56" spans="1:7" s="46" customFormat="1" x14ac:dyDescent="0.25">
      <c r="A56" s="20" t="s">
        <v>109</v>
      </c>
      <c r="B56" s="206">
        <v>0</v>
      </c>
      <c r="C56" s="25">
        <v>0</v>
      </c>
      <c r="D56" s="206">
        <v>0</v>
      </c>
      <c r="E56" s="206">
        <v>73.8</v>
      </c>
      <c r="F56" s="207">
        <f t="shared" si="22"/>
        <v>73.8</v>
      </c>
      <c r="G56" s="237">
        <f t="shared" si="23"/>
        <v>3.08</v>
      </c>
    </row>
    <row r="57" spans="1:7" s="46" customFormat="1" x14ac:dyDescent="0.25">
      <c r="A57" s="30" t="s">
        <v>111</v>
      </c>
      <c r="B57" s="207">
        <f>SUM(B54:B56)</f>
        <v>0</v>
      </c>
      <c r="C57" s="207">
        <f>SUM(C54:C56)</f>
        <v>0</v>
      </c>
      <c r="D57" s="207">
        <f t="shared" ref="D57:G57" si="24">SUM(D54:D56)</f>
        <v>0</v>
      </c>
      <c r="E57" s="207">
        <f t="shared" si="24"/>
        <v>1989.22</v>
      </c>
      <c r="F57" s="207">
        <f t="shared" si="24"/>
        <v>1989.22</v>
      </c>
      <c r="G57" s="207">
        <f t="shared" si="24"/>
        <v>82.88000000000001</v>
      </c>
    </row>
    <row r="58" spans="1:7" s="46" customFormat="1" x14ac:dyDescent="0.25">
      <c r="A58" s="30"/>
      <c r="B58" s="231"/>
      <c r="C58" s="231"/>
      <c r="D58" s="231"/>
      <c r="E58" s="231"/>
      <c r="F58" s="231"/>
      <c r="G58" s="231"/>
    </row>
    <row r="59" spans="1:7" s="46" customFormat="1" x14ac:dyDescent="0.25">
      <c r="A59" s="235" t="s">
        <v>165</v>
      </c>
      <c r="B59" s="70"/>
      <c r="C59" s="70"/>
      <c r="D59" s="144"/>
    </row>
    <row r="60" spans="1:7" s="46" customFormat="1" x14ac:dyDescent="0.25">
      <c r="A60" s="20" t="s">
        <v>24</v>
      </c>
      <c r="B60" s="25">
        <v>0</v>
      </c>
      <c r="C60" s="25">
        <v>0</v>
      </c>
      <c r="D60" s="25">
        <v>0</v>
      </c>
      <c r="E60" s="226">
        <v>-12711.64</v>
      </c>
      <c r="F60" s="215">
        <f>SUM(B60:E60)</f>
        <v>-12711.64</v>
      </c>
      <c r="G60" s="227">
        <f>ROUND(F60/24*7,2)</f>
        <v>-3707.56</v>
      </c>
    </row>
    <row r="61" spans="1:7" s="46" customFormat="1" x14ac:dyDescent="0.25">
      <c r="A61" s="20" t="s">
        <v>25</v>
      </c>
      <c r="B61" s="206">
        <v>0</v>
      </c>
      <c r="C61" s="206">
        <v>0</v>
      </c>
      <c r="D61" s="206">
        <v>0</v>
      </c>
      <c r="E61" s="228">
        <v>935.53000000000009</v>
      </c>
      <c r="F61" s="215">
        <f>SUM(B61:E61)</f>
        <v>935.53000000000009</v>
      </c>
      <c r="G61" s="227">
        <f>SUM(G64:G66)</f>
        <v>272.86999999999995</v>
      </c>
    </row>
    <row r="62" spans="1:7" s="46" customFormat="1" x14ac:dyDescent="0.25">
      <c r="A62" s="20" t="s">
        <v>5</v>
      </c>
      <c r="B62" s="207">
        <f t="shared" ref="B62:G62" si="25">SUM(B60:B61)</f>
        <v>0</v>
      </c>
      <c r="C62" s="207">
        <f t="shared" si="25"/>
        <v>0</v>
      </c>
      <c r="D62" s="207">
        <f t="shared" si="25"/>
        <v>0</v>
      </c>
      <c r="E62" s="229">
        <f t="shared" si="25"/>
        <v>-11776.109999999999</v>
      </c>
      <c r="F62" s="207">
        <f t="shared" si="25"/>
        <v>-11776.109999999999</v>
      </c>
      <c r="G62" s="230">
        <f t="shared" si="25"/>
        <v>-3434.69</v>
      </c>
    </row>
    <row r="63" spans="1:7" s="46" customFormat="1" x14ac:dyDescent="0.25">
      <c r="B63" s="204"/>
      <c r="C63" s="204"/>
      <c r="D63" s="205"/>
    </row>
    <row r="64" spans="1:7" s="46" customFormat="1" x14ac:dyDescent="0.25">
      <c r="A64" s="20" t="s">
        <v>107</v>
      </c>
      <c r="B64" s="25">
        <v>0</v>
      </c>
      <c r="C64" s="25">
        <v>0</v>
      </c>
      <c r="D64" s="25">
        <v>0</v>
      </c>
      <c r="E64" s="206">
        <v>463.05</v>
      </c>
      <c r="F64" s="207">
        <f t="shared" ref="F64:F66" si="26">SUM(B64:E64)</f>
        <v>463.05</v>
      </c>
      <c r="G64" s="237">
        <f>ROUND(F64/24*7,2)</f>
        <v>135.06</v>
      </c>
    </row>
    <row r="65" spans="1:7" s="46" customFormat="1" x14ac:dyDescent="0.25">
      <c r="A65" s="20" t="s">
        <v>108</v>
      </c>
      <c r="B65" s="25">
        <v>0</v>
      </c>
      <c r="C65" s="25">
        <v>0</v>
      </c>
      <c r="D65" s="25">
        <v>0</v>
      </c>
      <c r="E65" s="25">
        <v>489.36</v>
      </c>
      <c r="F65" s="207">
        <f t="shared" si="26"/>
        <v>489.36</v>
      </c>
      <c r="G65" s="237">
        <f t="shared" ref="G65:G66" si="27">ROUND(F65/24*7,2)</f>
        <v>142.72999999999999</v>
      </c>
    </row>
    <row r="66" spans="1:7" s="46" customFormat="1" x14ac:dyDescent="0.25">
      <c r="A66" s="20" t="s">
        <v>109</v>
      </c>
      <c r="B66" s="206">
        <v>0</v>
      </c>
      <c r="C66" s="25">
        <v>0</v>
      </c>
      <c r="D66" s="206">
        <v>0</v>
      </c>
      <c r="E66" s="206">
        <v>-16.88</v>
      </c>
      <c r="F66" s="207">
        <f t="shared" si="26"/>
        <v>-16.88</v>
      </c>
      <c r="G66" s="237">
        <f t="shared" si="27"/>
        <v>-4.92</v>
      </c>
    </row>
    <row r="67" spans="1:7" s="46" customFormat="1" x14ac:dyDescent="0.25">
      <c r="A67" s="30" t="s">
        <v>111</v>
      </c>
      <c r="B67" s="207">
        <f>SUM(B64:B66)</f>
        <v>0</v>
      </c>
      <c r="C67" s="207">
        <f>SUM(C64:C66)</f>
        <v>0</v>
      </c>
      <c r="D67" s="207">
        <f t="shared" ref="D67:G67" si="28">SUM(D64:D66)</f>
        <v>0</v>
      </c>
      <c r="E67" s="207">
        <f t="shared" si="28"/>
        <v>935.53000000000009</v>
      </c>
      <c r="F67" s="207">
        <f t="shared" si="28"/>
        <v>935.53000000000009</v>
      </c>
      <c r="G67" s="207">
        <f t="shared" si="28"/>
        <v>272.86999999999995</v>
      </c>
    </row>
    <row r="68" spans="1:7" s="46" customFormat="1" x14ac:dyDescent="0.25">
      <c r="A68" s="30"/>
      <c r="B68" s="231"/>
      <c r="C68" s="231"/>
      <c r="D68" s="231"/>
      <c r="E68" s="231"/>
      <c r="F68" s="231"/>
      <c r="G68" s="231"/>
    </row>
    <row r="69" spans="1:7" s="46" customFormat="1" x14ac:dyDescent="0.25">
      <c r="A69" s="277" t="s">
        <v>178</v>
      </c>
      <c r="B69" s="70"/>
      <c r="C69" s="70"/>
      <c r="D69" s="144"/>
    </row>
    <row r="70" spans="1:7" s="46" customFormat="1" x14ac:dyDescent="0.25">
      <c r="A70" s="20" t="s">
        <v>24</v>
      </c>
      <c r="B70" s="25">
        <v>0</v>
      </c>
      <c r="C70" s="25">
        <v>0</v>
      </c>
      <c r="D70" s="25">
        <v>0</v>
      </c>
      <c r="E70" s="226">
        <v>-3947.6</v>
      </c>
      <c r="F70" s="215">
        <f>SUM(B70:E70)</f>
        <v>-3947.6</v>
      </c>
      <c r="G70" s="227">
        <f>ROUND(F70/24*12,2)</f>
        <v>-1973.8</v>
      </c>
    </row>
    <row r="71" spans="1:7" s="46" customFormat="1" x14ac:dyDescent="0.25">
      <c r="A71" s="20" t="s">
        <v>25</v>
      </c>
      <c r="B71" s="206">
        <v>0</v>
      </c>
      <c r="C71" s="206">
        <v>0</v>
      </c>
      <c r="D71" s="206">
        <v>0</v>
      </c>
      <c r="E71" s="228">
        <v>-980.94</v>
      </c>
      <c r="F71" s="215">
        <f>SUM(B71:E71)</f>
        <v>-980.94</v>
      </c>
      <c r="G71" s="227">
        <f>SUM(G74:G76)</f>
        <v>-490.48</v>
      </c>
    </row>
    <row r="72" spans="1:7" s="46" customFormat="1" x14ac:dyDescent="0.25">
      <c r="A72" s="20" t="s">
        <v>5</v>
      </c>
      <c r="B72" s="207">
        <f t="shared" ref="B72:G72" si="29">SUM(B70:B71)</f>
        <v>0</v>
      </c>
      <c r="C72" s="207">
        <f t="shared" si="29"/>
        <v>0</v>
      </c>
      <c r="D72" s="207">
        <f t="shared" si="29"/>
        <v>0</v>
      </c>
      <c r="E72" s="229">
        <f t="shared" si="29"/>
        <v>-4928.54</v>
      </c>
      <c r="F72" s="207">
        <f t="shared" si="29"/>
        <v>-4928.54</v>
      </c>
      <c r="G72" s="230">
        <f t="shared" si="29"/>
        <v>-2464.2799999999997</v>
      </c>
    </row>
    <row r="73" spans="1:7" s="46" customFormat="1" x14ac:dyDescent="0.25">
      <c r="B73" s="204"/>
      <c r="C73" s="204"/>
      <c r="D73" s="205"/>
    </row>
    <row r="74" spans="1:7" s="46" customFormat="1" x14ac:dyDescent="0.25">
      <c r="A74" s="20" t="s">
        <v>107</v>
      </c>
      <c r="B74" s="25">
        <v>0</v>
      </c>
      <c r="C74" s="25">
        <v>0</v>
      </c>
      <c r="D74" s="25">
        <v>0</v>
      </c>
      <c r="E74" s="206">
        <v>-353.19</v>
      </c>
      <c r="F74" s="207">
        <f t="shared" ref="F74:F76" si="30">SUM(B74:E74)</f>
        <v>-353.19</v>
      </c>
      <c r="G74" s="237">
        <f>ROUND(F74/24*12,2)</f>
        <v>-176.6</v>
      </c>
    </row>
    <row r="75" spans="1:7" s="46" customFormat="1" x14ac:dyDescent="0.25">
      <c r="A75" s="20" t="s">
        <v>108</v>
      </c>
      <c r="B75" s="25">
        <v>0</v>
      </c>
      <c r="C75" s="25">
        <v>0</v>
      </c>
      <c r="D75" s="25">
        <v>0</v>
      </c>
      <c r="E75" s="25">
        <v>-529.69000000000005</v>
      </c>
      <c r="F75" s="207">
        <f t="shared" si="30"/>
        <v>-529.69000000000005</v>
      </c>
      <c r="G75" s="237">
        <f>ROUND(F75/24*12,2)</f>
        <v>-264.85000000000002</v>
      </c>
    </row>
    <row r="76" spans="1:7" s="46" customFormat="1" x14ac:dyDescent="0.25">
      <c r="A76" s="20" t="s">
        <v>109</v>
      </c>
      <c r="B76" s="206">
        <v>0</v>
      </c>
      <c r="C76" s="25">
        <v>0</v>
      </c>
      <c r="D76" s="206">
        <v>0</v>
      </c>
      <c r="E76" s="206">
        <v>-98.06</v>
      </c>
      <c r="F76" s="207">
        <f t="shared" si="30"/>
        <v>-98.06</v>
      </c>
      <c r="G76" s="237">
        <f>ROUND(F76/24*12,2)</f>
        <v>-49.03</v>
      </c>
    </row>
    <row r="77" spans="1:7" s="46" customFormat="1" x14ac:dyDescent="0.25">
      <c r="A77" s="30" t="s">
        <v>111</v>
      </c>
      <c r="B77" s="207">
        <f>SUM(B74:B76)</f>
        <v>0</v>
      </c>
      <c r="C77" s="207">
        <f>SUM(C74:C76)</f>
        <v>0</v>
      </c>
      <c r="D77" s="207">
        <f t="shared" ref="D77:G77" si="31">SUM(D74:D76)</f>
        <v>0</v>
      </c>
      <c r="E77" s="207">
        <f t="shared" si="31"/>
        <v>-980.94</v>
      </c>
      <c r="F77" s="207">
        <f t="shared" si="31"/>
        <v>-980.94</v>
      </c>
      <c r="G77" s="207">
        <f t="shared" si="31"/>
        <v>-490.48</v>
      </c>
    </row>
    <row r="78" spans="1:7" s="46" customFormat="1" x14ac:dyDescent="0.25">
      <c r="A78" s="30"/>
      <c r="B78" s="231"/>
      <c r="C78" s="231"/>
      <c r="D78" s="231"/>
      <c r="E78" s="231"/>
      <c r="F78" s="231"/>
      <c r="G78" s="231"/>
    </row>
    <row r="79" spans="1:7" s="46" customFormat="1" x14ac:dyDescent="0.25">
      <c r="A79" s="280" t="s">
        <v>179</v>
      </c>
      <c r="B79" s="70"/>
      <c r="C79" s="70"/>
      <c r="D79" s="144"/>
    </row>
    <row r="80" spans="1:7" s="46" customFormat="1" x14ac:dyDescent="0.25">
      <c r="A80" s="20" t="s">
        <v>24</v>
      </c>
      <c r="B80" s="25">
        <v>0</v>
      </c>
      <c r="C80" s="25">
        <v>16223.57</v>
      </c>
      <c r="D80" s="25">
        <v>-40786.449999999997</v>
      </c>
      <c r="E80" s="226">
        <v>-582.32000000000005</v>
      </c>
      <c r="F80" s="215">
        <f>SUM(B80:E80)</f>
        <v>-25145.199999999997</v>
      </c>
      <c r="G80" s="227">
        <f>ROUND(F80/24*12,2)</f>
        <v>-12572.6</v>
      </c>
    </row>
    <row r="81" spans="1:7" s="46" customFormat="1" x14ac:dyDescent="0.25">
      <c r="A81" s="20" t="s">
        <v>25</v>
      </c>
      <c r="B81" s="206">
        <f>SUM(B84:B86)</f>
        <v>0</v>
      </c>
      <c r="C81" s="206">
        <f t="shared" ref="C81:E81" si="32">SUM(C84:C86)</f>
        <v>13804.900000000001</v>
      </c>
      <c r="D81" s="206">
        <f t="shared" si="32"/>
        <v>-13286.16</v>
      </c>
      <c r="E81" s="228">
        <f t="shared" si="32"/>
        <v>-426.90000000000003</v>
      </c>
      <c r="F81" s="215">
        <f>SUM(B81:E81)</f>
        <v>91.840000000001567</v>
      </c>
      <c r="G81" s="227">
        <f>SUM(G84:G86)</f>
        <v>45.929999999999978</v>
      </c>
    </row>
    <row r="82" spans="1:7" s="46" customFormat="1" x14ac:dyDescent="0.25">
      <c r="A82" s="20" t="s">
        <v>5</v>
      </c>
      <c r="B82" s="207">
        <f t="shared" ref="B82:G82" si="33">SUM(B80:B81)</f>
        <v>0</v>
      </c>
      <c r="C82" s="207">
        <f t="shared" si="33"/>
        <v>30028.47</v>
      </c>
      <c r="D82" s="207">
        <f t="shared" si="33"/>
        <v>-54072.61</v>
      </c>
      <c r="E82" s="229">
        <f t="shared" si="33"/>
        <v>-1009.22</v>
      </c>
      <c r="F82" s="207">
        <f t="shared" si="33"/>
        <v>-25053.359999999997</v>
      </c>
      <c r="G82" s="230">
        <f t="shared" si="33"/>
        <v>-12526.67</v>
      </c>
    </row>
    <row r="83" spans="1:7" s="46" customFormat="1" x14ac:dyDescent="0.25">
      <c r="B83" s="204"/>
      <c r="C83" s="204"/>
      <c r="D83" s="205"/>
    </row>
    <row r="84" spans="1:7" s="46" customFormat="1" x14ac:dyDescent="0.25">
      <c r="A84" s="20" t="s">
        <v>107</v>
      </c>
      <c r="B84" s="25">
        <v>0</v>
      </c>
      <c r="C84" s="25">
        <v>6127.48</v>
      </c>
      <c r="D84" s="25">
        <v>-5257.63</v>
      </c>
      <c r="E84" s="206">
        <v>-160.02000000000001</v>
      </c>
      <c r="F84" s="207">
        <f t="shared" ref="F84:F86" si="34">SUM(B84:E84)</f>
        <v>709.82999999999947</v>
      </c>
      <c r="G84" s="237">
        <f>ROUND(F84/24*12,2)</f>
        <v>354.92</v>
      </c>
    </row>
    <row r="85" spans="1:7" s="46" customFormat="1" x14ac:dyDescent="0.25">
      <c r="A85" s="20" t="s">
        <v>108</v>
      </c>
      <c r="B85" s="25">
        <v>0</v>
      </c>
      <c r="C85" s="25">
        <v>7014.63</v>
      </c>
      <c r="D85" s="25">
        <v>-6926.28</v>
      </c>
      <c r="E85" s="206">
        <v>-231.68</v>
      </c>
      <c r="F85" s="207">
        <f t="shared" si="34"/>
        <v>-143.32999999999964</v>
      </c>
      <c r="G85" s="237">
        <f t="shared" ref="G85:G86" si="35">ROUND(F85/24*12,2)</f>
        <v>-71.66</v>
      </c>
    </row>
    <row r="86" spans="1:7" s="46" customFormat="1" x14ac:dyDescent="0.25">
      <c r="A86" s="20" t="s">
        <v>109</v>
      </c>
      <c r="B86" s="206">
        <v>0</v>
      </c>
      <c r="C86" s="25">
        <v>662.79</v>
      </c>
      <c r="D86" s="206">
        <v>-1102.25</v>
      </c>
      <c r="E86" s="206">
        <v>-35.200000000000003</v>
      </c>
      <c r="F86" s="207">
        <f t="shared" si="34"/>
        <v>-474.66</v>
      </c>
      <c r="G86" s="237">
        <f t="shared" si="35"/>
        <v>-237.33</v>
      </c>
    </row>
    <row r="87" spans="1:7" s="46" customFormat="1" x14ac:dyDescent="0.25">
      <c r="A87" s="30" t="s">
        <v>111</v>
      </c>
      <c r="B87" s="207">
        <f>SUM(B84:B86)</f>
        <v>0</v>
      </c>
      <c r="C87" s="207">
        <f>SUM(C84:C86)</f>
        <v>13804.900000000001</v>
      </c>
      <c r="D87" s="207">
        <f t="shared" ref="D87:G87" si="36">SUM(D84:D86)</f>
        <v>-13286.16</v>
      </c>
      <c r="E87" s="207">
        <f t="shared" si="36"/>
        <v>-426.90000000000003</v>
      </c>
      <c r="F87" s="207">
        <f t="shared" si="36"/>
        <v>91.839999999999748</v>
      </c>
      <c r="G87" s="207">
        <f t="shared" si="36"/>
        <v>45.929999999999978</v>
      </c>
    </row>
    <row r="88" spans="1:7" s="46" customFormat="1" x14ac:dyDescent="0.25">
      <c r="A88" s="30"/>
      <c r="B88" s="231"/>
      <c r="C88" s="231"/>
      <c r="D88" s="231"/>
      <c r="E88" s="231"/>
      <c r="F88" s="231"/>
      <c r="G88" s="231"/>
    </row>
    <row r="89" spans="1:7" x14ac:dyDescent="0.25">
      <c r="A89" s="3" t="s">
        <v>255</v>
      </c>
      <c r="B89" s="46"/>
      <c r="D89" s="46"/>
      <c r="E89" s="46"/>
      <c r="F89" s="46"/>
      <c r="G89" s="46"/>
    </row>
    <row r="90" spans="1:7" x14ac:dyDescent="0.25">
      <c r="A90" s="3" t="s">
        <v>256</v>
      </c>
      <c r="B90" s="46"/>
      <c r="D90" s="46"/>
      <c r="E90" s="46"/>
      <c r="F90" s="46"/>
      <c r="G90" s="46"/>
    </row>
    <row r="91" spans="1:7" x14ac:dyDescent="0.25">
      <c r="A91" s="3" t="s">
        <v>257</v>
      </c>
      <c r="B91" s="46"/>
      <c r="D91" s="46"/>
      <c r="E91" s="46"/>
      <c r="F91" s="46"/>
      <c r="G91" s="46"/>
    </row>
    <row r="92" spans="1:7" x14ac:dyDescent="0.25">
      <c r="A92" s="3" t="s">
        <v>258</v>
      </c>
      <c r="B92" s="46"/>
      <c r="D92" s="46"/>
      <c r="E92" s="46"/>
      <c r="F92" s="46"/>
      <c r="G92" s="46"/>
    </row>
    <row r="93" spans="1:7" s="46" customFormat="1" x14ac:dyDescent="0.25">
      <c r="A93" s="3" t="s">
        <v>154</v>
      </c>
    </row>
    <row r="94" spans="1:7" s="46" customFormat="1" ht="100.5" customHeight="1" x14ac:dyDescent="0.25">
      <c r="A94" s="357" t="s">
        <v>259</v>
      </c>
      <c r="B94" s="357"/>
      <c r="C94" s="357"/>
      <c r="D94" s="357"/>
      <c r="E94" s="357"/>
      <c r="F94" s="357"/>
      <c r="G94" s="357"/>
    </row>
    <row r="95" spans="1:7" x14ac:dyDescent="0.25">
      <c r="A95" s="3"/>
      <c r="B95" s="46"/>
      <c r="D95" s="46"/>
      <c r="E95" s="46"/>
    </row>
    <row r="96" spans="1:7" s="46" customFormat="1" x14ac:dyDescent="0.25">
      <c r="A96" s="3"/>
    </row>
    <row r="97" spans="1:1" x14ac:dyDescent="0.25">
      <c r="A97" s="3"/>
    </row>
  </sheetData>
  <mergeCells count="2">
    <mergeCell ref="B3:D3"/>
    <mergeCell ref="A94:G94"/>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475B-D546-4319-B398-EF50E74D6379}">
  <sheetPr>
    <pageSetUpPr fitToPage="1"/>
  </sheetPr>
  <dimension ref="A1:O102"/>
  <sheetViews>
    <sheetView workbookViewId="0">
      <pane ySplit="4" topLeftCell="A5" activePane="bottomLeft" state="frozen"/>
      <selection pane="bottomLeft" activeCell="G3" sqref="G3"/>
    </sheetView>
  </sheetViews>
  <sheetFormatPr defaultColWidth="8.7109375" defaultRowHeight="15" outlineLevelRow="1" x14ac:dyDescent="0.25"/>
  <cols>
    <col min="1" max="1" width="23.7109375" style="46" customWidth="1"/>
    <col min="2" max="2" width="15.28515625" style="46" bestFit="1" customWidth="1"/>
    <col min="3" max="3" width="14.28515625" style="46" customWidth="1"/>
    <col min="4" max="4" width="13.28515625" style="46" bestFit="1" customWidth="1"/>
    <col min="5" max="5" width="9.7109375" style="46" bestFit="1" customWidth="1"/>
    <col min="6" max="6" width="12.5703125" style="46" bestFit="1" customWidth="1"/>
    <col min="7" max="7" width="13.140625" style="46" customWidth="1"/>
    <col min="8" max="10" width="8.7109375" style="46"/>
    <col min="11" max="11" width="11.5703125" style="46" bestFit="1" customWidth="1"/>
    <col min="12" max="12" width="12.28515625" style="46" bestFit="1" customWidth="1"/>
    <col min="13" max="13" width="9.5703125" style="46" bestFit="1" customWidth="1"/>
    <col min="14" max="16384" width="8.7109375" style="46"/>
  </cols>
  <sheetData>
    <row r="1" spans="1:7" x14ac:dyDescent="0.25">
      <c r="A1" s="63" t="str">
        <f>+'PPC Cycle 3'!A1</f>
        <v>Evergy Missouri West, Inc. - DSIM Rider Update Filed 12/01/2023</v>
      </c>
    </row>
    <row r="2" spans="1:7" x14ac:dyDescent="0.25">
      <c r="A2" s="9" t="str">
        <f>+'PPC Cycle 3'!A2</f>
        <v>Projections for Cycle 3 January 2024 - December 2024 DSIM</v>
      </c>
    </row>
    <row r="3" spans="1:7" ht="45.75" customHeight="1" x14ac:dyDescent="0.25">
      <c r="B3" s="358" t="s">
        <v>156</v>
      </c>
      <c r="C3" s="358"/>
      <c r="D3" s="358"/>
    </row>
    <row r="4" spans="1:7" ht="90" x14ac:dyDescent="0.25">
      <c r="B4" s="70" t="s">
        <v>100</v>
      </c>
      <c r="C4" s="70" t="s">
        <v>101</v>
      </c>
      <c r="D4" s="70" t="s">
        <v>104</v>
      </c>
      <c r="E4" s="70" t="s">
        <v>102</v>
      </c>
      <c r="F4" s="70" t="s">
        <v>99</v>
      </c>
      <c r="G4" s="70" t="s">
        <v>158</v>
      </c>
    </row>
    <row r="5" spans="1:7" x14ac:dyDescent="0.25">
      <c r="A5" s="20"/>
      <c r="B5" s="70"/>
      <c r="C5" s="70"/>
      <c r="D5" s="145"/>
    </row>
    <row r="6" spans="1:7" x14ac:dyDescent="0.25">
      <c r="A6" s="235" t="s">
        <v>157</v>
      </c>
      <c r="B6" s="70"/>
      <c r="C6" s="70"/>
      <c r="D6" s="144"/>
    </row>
    <row r="7" spans="1:7" x14ac:dyDescent="0.25">
      <c r="A7" s="20" t="s">
        <v>24</v>
      </c>
      <c r="B7" s="215">
        <f>+B18+B29+B40+B51+B62+B73+B84</f>
        <v>5502888.9900000002</v>
      </c>
      <c r="C7" s="215">
        <f t="shared" ref="C7:E7" si="0">+C18+C29+C40+C51+C62+C73+C84</f>
        <v>435725.16000000003</v>
      </c>
      <c r="D7" s="215">
        <f t="shared" si="0"/>
        <v>-801651.19999999995</v>
      </c>
      <c r="E7" s="215">
        <f t="shared" si="0"/>
        <v>-2440.91</v>
      </c>
      <c r="F7" s="215">
        <f>SUM(B7:E7)</f>
        <v>5134522.04</v>
      </c>
      <c r="G7" s="215">
        <f t="shared" ref="G7" si="1">+G18+G29+G40+G51+G62+G73+G84</f>
        <v>2584242.6399999997</v>
      </c>
    </row>
    <row r="8" spans="1:7" x14ac:dyDescent="0.25">
      <c r="A8" s="20" t="s">
        <v>25</v>
      </c>
      <c r="B8" s="215">
        <f>+B19+B30+B41+B52+B63+B74+B85</f>
        <v>3372768.5200000005</v>
      </c>
      <c r="C8" s="215">
        <f t="shared" ref="C8:E8" si="2">+C19+C30+C41+C52+C63+C74+C85</f>
        <v>43644.840000000004</v>
      </c>
      <c r="D8" s="215">
        <f t="shared" si="2"/>
        <v>-76008.7</v>
      </c>
      <c r="E8" s="215">
        <f t="shared" si="2"/>
        <v>-510.9199999999999</v>
      </c>
      <c r="F8" s="215">
        <f>SUM(B8:E8)</f>
        <v>3339893.74</v>
      </c>
      <c r="G8" s="215">
        <f t="shared" ref="G8" si="3">+G19+G30+G41+G52+G63+G74+G85</f>
        <v>1854938.53</v>
      </c>
    </row>
    <row r="9" spans="1:7" x14ac:dyDescent="0.25">
      <c r="A9" s="20" t="s">
        <v>5</v>
      </c>
      <c r="B9" s="207">
        <f t="shared" ref="B9:D9" si="4">SUM(B7:B8)</f>
        <v>8875657.5100000016</v>
      </c>
      <c r="C9" s="207">
        <f t="shared" ref="C9:E9" si="5">SUM(C7:C8)</f>
        <v>479370.00000000006</v>
      </c>
      <c r="D9" s="207">
        <f t="shared" si="5"/>
        <v>-877659.89999999991</v>
      </c>
      <c r="E9" s="207">
        <f t="shared" si="5"/>
        <v>-2951.83</v>
      </c>
      <c r="F9" s="207">
        <f t="shared" ref="F9" si="6">SUM(F7:F8)</f>
        <v>8474415.7800000012</v>
      </c>
      <c r="G9" s="207">
        <f t="shared" ref="G9" si="7">SUM(G7:G8)</f>
        <v>4439181.17</v>
      </c>
    </row>
    <row r="10" spans="1:7" x14ac:dyDescent="0.25">
      <c r="B10" s="204"/>
      <c r="C10" s="204"/>
      <c r="D10" s="204"/>
      <c r="E10" s="204"/>
      <c r="G10" s="204"/>
    </row>
    <row r="11" spans="1:7" x14ac:dyDescent="0.25">
      <c r="A11" s="20" t="s">
        <v>107</v>
      </c>
      <c r="B11" s="207">
        <f>+B22+B33+B44+B55+B66+B77+B88</f>
        <v>880876.83999999985</v>
      </c>
      <c r="C11" s="207">
        <f t="shared" ref="C11:E11" si="8">+C22+C33+C44+C55+C66+C77+C88</f>
        <v>29964.780000000006</v>
      </c>
      <c r="D11" s="207">
        <f t="shared" si="8"/>
        <v>-22460.53</v>
      </c>
      <c r="E11" s="207">
        <f t="shared" si="8"/>
        <v>70.249999999999943</v>
      </c>
      <c r="F11" s="207">
        <f t="shared" ref="F11:F13" si="9">SUM(B11:E11)</f>
        <v>888451.33999999985</v>
      </c>
      <c r="G11" s="207">
        <f t="shared" ref="G11" si="10">+G22+G33+G44+G55+G66+G77+G88</f>
        <v>401747.53</v>
      </c>
    </row>
    <row r="12" spans="1:7" x14ac:dyDescent="0.25">
      <c r="A12" s="20" t="s">
        <v>108</v>
      </c>
      <c r="B12" s="207">
        <f>+B23+B34+B45+B56+B67+B78+B89</f>
        <v>1513938.8399999999</v>
      </c>
      <c r="C12" s="207">
        <f t="shared" ref="C12:E12" si="11">+C23+C34+C45+C56+C67+C78+C89</f>
        <v>11804.33</v>
      </c>
      <c r="D12" s="207">
        <f t="shared" si="11"/>
        <v>-44193.5</v>
      </c>
      <c r="E12" s="207">
        <f t="shared" si="11"/>
        <v>-433.27</v>
      </c>
      <c r="F12" s="207">
        <f t="shared" si="9"/>
        <v>1481116.4</v>
      </c>
      <c r="G12" s="207">
        <f t="shared" ref="G12" si="12">+G23+G34+G45+G56+G67+G78+G89</f>
        <v>873291.74</v>
      </c>
    </row>
    <row r="13" spans="1:7" x14ac:dyDescent="0.25">
      <c r="A13" s="20" t="s">
        <v>109</v>
      </c>
      <c r="B13" s="207">
        <f>+B24+B35+B46+B57+B68+B79+B90</f>
        <v>977952.84000000008</v>
      </c>
      <c r="C13" s="207">
        <f t="shared" ref="C13:E13" si="13">+C24+C35+C46+C57+C68+C79+C90</f>
        <v>1875.7299999999996</v>
      </c>
      <c r="D13" s="207">
        <f t="shared" si="13"/>
        <v>-9354.6699999999983</v>
      </c>
      <c r="E13" s="207">
        <f t="shared" si="13"/>
        <v>-147.89999999999998</v>
      </c>
      <c r="F13" s="207">
        <f t="shared" si="9"/>
        <v>970326</v>
      </c>
      <c r="G13" s="207">
        <f t="shared" ref="G13" si="14">+G24+G35+G46+G57+G68+G79+G90</f>
        <v>579899.24</v>
      </c>
    </row>
    <row r="14" spans="1:7" x14ac:dyDescent="0.25">
      <c r="A14" s="30" t="s">
        <v>111</v>
      </c>
      <c r="B14" s="207">
        <f t="shared" ref="B14:D14" si="15">SUM(B11:B13)</f>
        <v>3372768.5199999996</v>
      </c>
      <c r="C14" s="207">
        <f t="shared" ref="C14:E14" si="16">SUM(C11:C13)</f>
        <v>43644.840000000011</v>
      </c>
      <c r="D14" s="207">
        <f t="shared" si="16"/>
        <v>-76008.7</v>
      </c>
      <c r="E14" s="207">
        <f t="shared" si="16"/>
        <v>-510.92</v>
      </c>
      <c r="F14" s="207">
        <f t="shared" ref="F14" si="17">SUM(F11:F13)</f>
        <v>3339893.7399999998</v>
      </c>
      <c r="G14" s="207">
        <f t="shared" ref="G14" si="18">SUM(G11:G13)</f>
        <v>1854938.51</v>
      </c>
    </row>
    <row r="15" spans="1:7" x14ac:dyDescent="0.25">
      <c r="A15" s="20"/>
      <c r="B15" s="70"/>
      <c r="C15" s="70"/>
      <c r="D15" s="144"/>
    </row>
    <row r="16" spans="1:7" x14ac:dyDescent="0.25">
      <c r="A16" s="20"/>
      <c r="B16" s="70"/>
      <c r="C16" s="70"/>
      <c r="D16" s="144"/>
    </row>
    <row r="17" spans="1:13" x14ac:dyDescent="0.25">
      <c r="A17" s="235" t="s">
        <v>162</v>
      </c>
      <c r="B17" s="70"/>
      <c r="C17" s="70"/>
      <c r="D17" s="144"/>
    </row>
    <row r="18" spans="1:13" x14ac:dyDescent="0.25">
      <c r="A18" s="20" t="s">
        <v>24</v>
      </c>
      <c r="B18" s="25">
        <f>ROUND('[16]EO Matrix @Meter'!$R$20,2)</f>
        <v>1600473.26</v>
      </c>
      <c r="C18" s="25">
        <f>ROUND(SUM('[13]Ex Post Gross TD Calc'!$E$571:$Z$571),2)</f>
        <v>575236.4</v>
      </c>
      <c r="D18" s="25">
        <f>ROUND(SUM('[13]NTG TD Calc'!$E$436:$Z$436),2)</f>
        <v>-545792.23</v>
      </c>
      <c r="E18" s="226">
        <f>ROUND(SUM('[13]EO TD Carrying Costs'!$C$55:$X$55),2)</f>
        <v>6704.6</v>
      </c>
      <c r="F18" s="215">
        <f>SUM(B18:E18)</f>
        <v>1636622.0300000003</v>
      </c>
      <c r="G18" s="227">
        <f>ROUND(F18/12*0,2)</f>
        <v>0</v>
      </c>
      <c r="K18" s="377"/>
      <c r="L18" s="377"/>
      <c r="M18" s="377"/>
    </row>
    <row r="19" spans="1:13" x14ac:dyDescent="0.25">
      <c r="A19" s="20" t="s">
        <v>25</v>
      </c>
      <c r="B19" s="206">
        <f>SUM(B22:B24)</f>
        <v>893810.55</v>
      </c>
      <c r="C19" s="206">
        <f t="shared" ref="C19:E19" si="19">SUM(C22:C24)</f>
        <v>48777.71</v>
      </c>
      <c r="D19" s="206">
        <f t="shared" si="19"/>
        <v>-18883.82</v>
      </c>
      <c r="E19" s="228">
        <f t="shared" si="19"/>
        <v>299.14999999999998</v>
      </c>
      <c r="F19" s="215">
        <f>SUM(B19:E19)</f>
        <v>924003.59000000008</v>
      </c>
      <c r="G19" s="227">
        <f>ROUND(F19/12*0,2)</f>
        <v>0</v>
      </c>
      <c r="K19" s="377"/>
      <c r="L19" s="377"/>
      <c r="M19" s="377"/>
    </row>
    <row r="20" spans="1:13" x14ac:dyDescent="0.25">
      <c r="A20" s="20" t="s">
        <v>5</v>
      </c>
      <c r="B20" s="207">
        <f t="shared" ref="B20:G20" si="20">SUM(B18:B19)</f>
        <v>2494283.81</v>
      </c>
      <c r="C20" s="207">
        <f t="shared" si="20"/>
        <v>624014.11</v>
      </c>
      <c r="D20" s="207">
        <f t="shared" si="20"/>
        <v>-564676.04999999993</v>
      </c>
      <c r="E20" s="229">
        <f t="shared" si="20"/>
        <v>7003.75</v>
      </c>
      <c r="F20" s="207">
        <f t="shared" si="20"/>
        <v>2560625.62</v>
      </c>
      <c r="G20" s="230">
        <f t="shared" si="20"/>
        <v>0</v>
      </c>
    </row>
    <row r="21" spans="1:13" x14ac:dyDescent="0.25">
      <c r="B21" s="204"/>
      <c r="C21" s="204"/>
      <c r="D21" s="205"/>
    </row>
    <row r="22" spans="1:13" x14ac:dyDescent="0.25">
      <c r="A22" s="20" t="s">
        <v>107</v>
      </c>
      <c r="B22" s="25">
        <f>ROUND('[16]EO Matrix @Meter'!$V$20,2)</f>
        <v>310910.24</v>
      </c>
      <c r="C22" s="25">
        <f>ROUND(SUM('[13]Ex Post Gross TD Calc'!$E$572:$Z$572),2)</f>
        <v>31691.65</v>
      </c>
      <c r="D22" s="25">
        <f>ROUND(SUM('[13]NTG TD Calc'!$E$437:$Z$437),2)</f>
        <v>-8282.43</v>
      </c>
      <c r="E22" s="226">
        <f>ROUND(SUM('[13]EO TD Carrying Costs'!$C$56:$X$56),2)</f>
        <v>207.66</v>
      </c>
      <c r="F22" s="207">
        <f t="shared" ref="F22:F24" si="21">SUM(B22:E22)</f>
        <v>334527.12</v>
      </c>
      <c r="G22" s="237">
        <f>ROUND(F22/12*0,2)</f>
        <v>0</v>
      </c>
      <c r="K22" s="377"/>
      <c r="L22" s="377"/>
      <c r="M22" s="377"/>
    </row>
    <row r="23" spans="1:13" x14ac:dyDescent="0.25">
      <c r="A23" s="20" t="s">
        <v>108</v>
      </c>
      <c r="B23" s="25">
        <f>ROUND('[16]EO Matrix @Meter'!$X$20,2)</f>
        <v>318131.55</v>
      </c>
      <c r="C23" s="25">
        <f>ROUND(SUM('[13]Ex Post Gross TD Calc'!$E$574:$Z$574),2)</f>
        <v>14779.57</v>
      </c>
      <c r="D23" s="25">
        <f>ROUND(SUM('[13]NTG TD Calc'!$E$439:$Z$439),2)</f>
        <v>-5434.16</v>
      </c>
      <c r="E23" s="226">
        <f>ROUND(SUM('[13]EO TD Carrying Costs'!$C$58:$X$58),2)</f>
        <v>118.71</v>
      </c>
      <c r="F23" s="207">
        <f t="shared" si="21"/>
        <v>327595.67000000004</v>
      </c>
      <c r="G23" s="237">
        <f>ROUND(F23/12*0,2)</f>
        <v>0</v>
      </c>
      <c r="K23" s="377"/>
      <c r="L23" s="377"/>
      <c r="M23" s="377"/>
    </row>
    <row r="24" spans="1:13" x14ac:dyDescent="0.25">
      <c r="A24" s="20" t="s">
        <v>109</v>
      </c>
      <c r="B24" s="25">
        <f>ROUND('[16]EO Matrix @Meter'!$Y$20,2)</f>
        <v>264768.76</v>
      </c>
      <c r="C24" s="25">
        <f>ROUND(SUM('[13]Ex Post Gross TD Calc'!$E$575:$Z$575),2)</f>
        <v>2306.4899999999998</v>
      </c>
      <c r="D24" s="25">
        <f>ROUND(SUM('[13]NTG TD Calc'!$E$440:$Z$440),2)</f>
        <v>-5167.2299999999996</v>
      </c>
      <c r="E24" s="226">
        <f>ROUND(SUM('[13]EO TD Carrying Costs'!$C$59:$X$59),2)</f>
        <v>-27.22</v>
      </c>
      <c r="F24" s="207">
        <f t="shared" si="21"/>
        <v>261880.8</v>
      </c>
      <c r="G24" s="237">
        <f>ROUND(F24/12*0,2)</f>
        <v>0</v>
      </c>
      <c r="K24" s="377"/>
      <c r="L24" s="377"/>
      <c r="M24" s="377"/>
    </row>
    <row r="25" spans="1:13" x14ac:dyDescent="0.25">
      <c r="A25" s="30" t="s">
        <v>111</v>
      </c>
      <c r="B25" s="207">
        <f>SUM(B22:B24)</f>
        <v>893810.55</v>
      </c>
      <c r="C25" s="207">
        <f>SUM(C22:C24)</f>
        <v>48777.71</v>
      </c>
      <c r="D25" s="207">
        <f t="shared" ref="D25:G25" si="22">SUM(D22:D24)</f>
        <v>-18883.82</v>
      </c>
      <c r="E25" s="207">
        <f t="shared" si="22"/>
        <v>299.14999999999998</v>
      </c>
      <c r="F25" s="207">
        <f t="shared" si="22"/>
        <v>924003.59000000008</v>
      </c>
      <c r="G25" s="207">
        <f t="shared" si="22"/>
        <v>0</v>
      </c>
    </row>
    <row r="26" spans="1:13" s="39" customFormat="1" x14ac:dyDescent="0.25">
      <c r="A26" s="30"/>
      <c r="B26" s="236"/>
      <c r="C26" s="236"/>
      <c r="D26" s="236"/>
      <c r="E26" s="236"/>
      <c r="F26" s="236"/>
      <c r="G26" s="236"/>
    </row>
    <row r="27" spans="1:13" s="39" customFormat="1" x14ac:dyDescent="0.25">
      <c r="A27" s="30"/>
      <c r="B27" s="236"/>
      <c r="C27" s="236"/>
      <c r="D27" s="236"/>
      <c r="E27" s="236"/>
      <c r="F27" s="236"/>
      <c r="G27" s="236"/>
    </row>
    <row r="28" spans="1:13" x14ac:dyDescent="0.25">
      <c r="A28" s="273" t="s">
        <v>169</v>
      </c>
      <c r="B28" s="70"/>
      <c r="C28" s="70"/>
      <c r="D28" s="144"/>
    </row>
    <row r="29" spans="1:13" x14ac:dyDescent="0.25">
      <c r="A29" s="20" t="s">
        <v>24</v>
      </c>
      <c r="B29" s="25"/>
      <c r="C29" s="25">
        <f>ROUND(SUM('[13]Ex Post Gross TD Calc'!$AA$571:$AF$571),2)</f>
        <v>62492.85</v>
      </c>
      <c r="D29" s="25">
        <f>ROUND(SUM('[13]NTG TD Calc'!$AA$436:$AF$436),2)</f>
        <v>-64533.46</v>
      </c>
      <c r="E29" s="226">
        <f>ROUND(SUM('[13]EO TD Carrying Costs'!$Y$55:$AD$55),2)</f>
        <v>183.74</v>
      </c>
      <c r="F29" s="215">
        <f>SUM(B29:E29)</f>
        <v>-1856.8700000000006</v>
      </c>
      <c r="G29" s="227">
        <f>ROUND(F29/12*0,2)</f>
        <v>0</v>
      </c>
      <c r="K29" s="377"/>
      <c r="L29" s="377"/>
      <c r="M29" s="377"/>
    </row>
    <row r="30" spans="1:13" x14ac:dyDescent="0.25">
      <c r="A30" s="20" t="s">
        <v>25</v>
      </c>
      <c r="B30" s="206"/>
      <c r="C30" s="206">
        <f t="shared" ref="C30:E30" si="23">SUM(C33:C35)</f>
        <v>16556.97</v>
      </c>
      <c r="D30" s="206">
        <f t="shared" si="23"/>
        <v>-2227.92</v>
      </c>
      <c r="E30" s="228">
        <f t="shared" si="23"/>
        <v>448.56</v>
      </c>
      <c r="F30" s="215">
        <f>SUM(B30:E30)</f>
        <v>14777.61</v>
      </c>
      <c r="G30" s="227">
        <f>ROUND(F30/12*0,2)</f>
        <v>0</v>
      </c>
      <c r="K30" s="377"/>
      <c r="L30" s="377"/>
      <c r="M30" s="377"/>
    </row>
    <row r="31" spans="1:13" x14ac:dyDescent="0.25">
      <c r="A31" s="20" t="s">
        <v>5</v>
      </c>
      <c r="B31" s="207">
        <f t="shared" ref="B31:G31" si="24">SUM(B29:B30)</f>
        <v>0</v>
      </c>
      <c r="C31" s="207">
        <f t="shared" si="24"/>
        <v>79049.820000000007</v>
      </c>
      <c r="D31" s="207">
        <f t="shared" si="24"/>
        <v>-66761.38</v>
      </c>
      <c r="E31" s="229">
        <f t="shared" si="24"/>
        <v>632.29999999999995</v>
      </c>
      <c r="F31" s="207">
        <f t="shared" si="24"/>
        <v>12920.74</v>
      </c>
      <c r="G31" s="230">
        <f t="shared" si="24"/>
        <v>0</v>
      </c>
      <c r="K31" s="377"/>
      <c r="L31" s="377"/>
      <c r="M31" s="377"/>
    </row>
    <row r="32" spans="1:13" x14ac:dyDescent="0.25">
      <c r="B32" s="204"/>
      <c r="C32" s="204"/>
      <c r="D32" s="205"/>
      <c r="K32" s="377"/>
      <c r="L32" s="377"/>
      <c r="M32" s="377"/>
    </row>
    <row r="33" spans="1:15" x14ac:dyDescent="0.25">
      <c r="A33" s="20" t="s">
        <v>107</v>
      </c>
      <c r="B33" s="25"/>
      <c r="C33" s="25">
        <f>ROUND(SUM('[13]Ex Post Gross TD Calc'!$AA$572:$AF$572),2)</f>
        <v>10068.67</v>
      </c>
      <c r="D33" s="25">
        <f>ROUND(SUM('[13]NTG TD Calc'!$AA$437:$AF$437),2)</f>
        <v>-753.09</v>
      </c>
      <c r="E33" s="226">
        <f>ROUND(SUM('[13]EO TD Carrying Costs'!$Y$56:$AD$56),2)</f>
        <v>344.55</v>
      </c>
      <c r="F33" s="207">
        <f t="shared" ref="F33:F35" si="25">SUM(B33:E33)</f>
        <v>9660.1299999999992</v>
      </c>
      <c r="G33" s="227">
        <f t="shared" ref="G33:G35" si="26">ROUND(F33/12*0,2)</f>
        <v>0</v>
      </c>
      <c r="K33" s="377"/>
      <c r="L33" s="377"/>
      <c r="M33" s="377"/>
    </row>
    <row r="34" spans="1:15" x14ac:dyDescent="0.25">
      <c r="A34" s="20" t="s">
        <v>108</v>
      </c>
      <c r="B34" s="25"/>
      <c r="C34" s="25">
        <f>ROUND(SUM('[13]Ex Post Gross TD Calc'!$AA$574:$AF$574),2)</f>
        <v>5538.26</v>
      </c>
      <c r="D34" s="25">
        <f>ROUND(SUM('[13]NTG TD Calc'!$AA$439:$AF$439),2)</f>
        <v>-759.03</v>
      </c>
      <c r="E34" s="226">
        <f>ROUND(SUM('[13]EO TD Carrying Costs'!$Y$58:$AD$58),2)</f>
        <v>142</v>
      </c>
      <c r="F34" s="207">
        <f t="shared" si="25"/>
        <v>4921.2300000000005</v>
      </c>
      <c r="G34" s="227">
        <f t="shared" si="26"/>
        <v>0</v>
      </c>
      <c r="K34" s="377"/>
      <c r="L34" s="377"/>
      <c r="M34" s="377"/>
    </row>
    <row r="35" spans="1:15" x14ac:dyDescent="0.25">
      <c r="A35" s="20" t="s">
        <v>109</v>
      </c>
      <c r="B35" s="206"/>
      <c r="C35" s="25">
        <f>ROUND(SUM('[13]Ex Post Gross TD Calc'!$AA$575:$AF$575),2)</f>
        <v>950.04</v>
      </c>
      <c r="D35" s="25">
        <f>ROUND(SUM('[13]NTG TD Calc'!$AA$440:$AF$440),2)</f>
        <v>-715.8</v>
      </c>
      <c r="E35" s="226">
        <f>ROUND(SUM('[13]EO TD Carrying Costs'!$Y$59:$AD$59),2)</f>
        <v>-37.99</v>
      </c>
      <c r="F35" s="207">
        <f t="shared" si="25"/>
        <v>196.25</v>
      </c>
      <c r="G35" s="227">
        <f t="shared" si="26"/>
        <v>0</v>
      </c>
      <c r="K35" s="377"/>
      <c r="L35" s="377"/>
      <c r="M35" s="377"/>
    </row>
    <row r="36" spans="1:15" x14ac:dyDescent="0.25">
      <c r="A36" s="30" t="s">
        <v>111</v>
      </c>
      <c r="B36" s="207">
        <f>SUM(B33:B35)</f>
        <v>0</v>
      </c>
      <c r="C36" s="207">
        <f>SUM(C33:C35)</f>
        <v>16556.97</v>
      </c>
      <c r="D36" s="207">
        <f t="shared" ref="D36:G36" si="27">SUM(D33:D35)</f>
        <v>-2227.92</v>
      </c>
      <c r="E36" s="207">
        <f t="shared" si="27"/>
        <v>448.56</v>
      </c>
      <c r="F36" s="207">
        <f t="shared" si="27"/>
        <v>14777.61</v>
      </c>
      <c r="G36" s="207">
        <f t="shared" si="27"/>
        <v>0</v>
      </c>
    </row>
    <row r="37" spans="1:15" x14ac:dyDescent="0.25">
      <c r="A37" s="30"/>
      <c r="B37" s="231"/>
      <c r="C37" s="231"/>
      <c r="D37" s="231"/>
      <c r="E37" s="231"/>
      <c r="F37" s="231"/>
      <c r="G37" s="231"/>
    </row>
    <row r="38" spans="1:15" s="39" customFormat="1" x14ac:dyDescent="0.25">
      <c r="A38" s="30"/>
      <c r="B38" s="236"/>
      <c r="C38" s="236"/>
      <c r="D38" s="236"/>
      <c r="E38" s="236"/>
      <c r="F38" s="236"/>
      <c r="G38" s="236"/>
    </row>
    <row r="39" spans="1:15" x14ac:dyDescent="0.25">
      <c r="A39" s="278" t="s">
        <v>176</v>
      </c>
      <c r="B39" s="70"/>
      <c r="C39" s="70"/>
      <c r="D39" s="144"/>
    </row>
    <row r="40" spans="1:15" x14ac:dyDescent="0.25">
      <c r="A40" s="20" t="s">
        <v>24</v>
      </c>
      <c r="B40" s="25">
        <v>0</v>
      </c>
      <c r="C40" s="25">
        <f>ROUND(SUM('[13]Ex Post Gross TD Calc'!$AG$571:$AM$571),2)</f>
        <v>71150.52</v>
      </c>
      <c r="D40" s="25">
        <f>ROUND(SUM('[13]NTG TD Calc'!$AG$436:$AM$436),2)</f>
        <v>-0.01</v>
      </c>
      <c r="E40" s="226">
        <f>ROUND(SUM('[13]EO TD Carrying Costs'!$AE$55:$AK$55),2)</f>
        <v>548.88</v>
      </c>
      <c r="F40" s="215">
        <f>SUM(B40:E40)</f>
        <v>71699.390000000014</v>
      </c>
      <c r="G40" s="227">
        <f>ROUND(F40/12*1,2)</f>
        <v>5974.95</v>
      </c>
      <c r="K40" s="377"/>
      <c r="L40" s="377"/>
      <c r="M40" s="377"/>
      <c r="O40" s="343"/>
    </row>
    <row r="41" spans="1:15" x14ac:dyDescent="0.25">
      <c r="A41" s="20" t="s">
        <v>25</v>
      </c>
      <c r="B41" s="206">
        <v>0</v>
      </c>
      <c r="C41" s="206">
        <f t="shared" ref="C41:E41" si="28">SUM(C44:C46)</f>
        <v>28197.040000000001</v>
      </c>
      <c r="D41" s="206">
        <f t="shared" si="28"/>
        <v>-0.02</v>
      </c>
      <c r="E41" s="228">
        <f t="shared" si="28"/>
        <v>443.20999999999992</v>
      </c>
      <c r="F41" s="215">
        <f>SUM(B41:E41)</f>
        <v>28640.23</v>
      </c>
      <c r="G41" s="227">
        <f>ROUND(F41/12*1,2)</f>
        <v>2386.69</v>
      </c>
      <c r="K41" s="377"/>
      <c r="L41" s="377"/>
      <c r="M41" s="377"/>
      <c r="O41" s="343"/>
    </row>
    <row r="42" spans="1:15" x14ac:dyDescent="0.25">
      <c r="A42" s="20" t="s">
        <v>5</v>
      </c>
      <c r="B42" s="207">
        <f t="shared" ref="B42:G42" si="29">SUM(B40:B41)</f>
        <v>0</v>
      </c>
      <c r="C42" s="207">
        <f t="shared" si="29"/>
        <v>99347.56</v>
      </c>
      <c r="D42" s="207">
        <f t="shared" si="29"/>
        <v>-0.03</v>
      </c>
      <c r="E42" s="229">
        <f t="shared" si="29"/>
        <v>992.08999999999992</v>
      </c>
      <c r="F42" s="207">
        <f t="shared" si="29"/>
        <v>100339.62000000001</v>
      </c>
      <c r="G42" s="230">
        <f t="shared" si="29"/>
        <v>8361.64</v>
      </c>
      <c r="K42" s="377"/>
      <c r="L42" s="377"/>
      <c r="M42" s="377"/>
    </row>
    <row r="43" spans="1:15" x14ac:dyDescent="0.25">
      <c r="B43" s="204"/>
      <c r="C43" s="204"/>
      <c r="D43" s="205"/>
      <c r="K43" s="377"/>
      <c r="L43" s="377"/>
      <c r="M43" s="377"/>
    </row>
    <row r="44" spans="1:15" x14ac:dyDescent="0.25">
      <c r="A44" s="20" t="s">
        <v>107</v>
      </c>
      <c r="B44" s="25">
        <v>0</v>
      </c>
      <c r="C44" s="25">
        <f>ROUND(SUM('[13]Ex Post Gross TD Calc'!$AG$572:$AM$572),2)</f>
        <v>19392.560000000001</v>
      </c>
      <c r="D44" s="25">
        <f>ROUND(SUM('[13]NTG TD Calc'!$AG$437:$AM$437),2)</f>
        <v>0</v>
      </c>
      <c r="E44" s="226">
        <f>ROUND(SUM('[13]EO TD Carrying Costs'!$AE$56:$AK$56),2)</f>
        <v>322.51</v>
      </c>
      <c r="F44" s="207">
        <f t="shared" ref="F44:F46" si="30">SUM(B44:E44)</f>
        <v>19715.07</v>
      </c>
      <c r="G44" s="227">
        <f t="shared" ref="G44:G46" si="31">ROUND(F44/12*1,2)</f>
        <v>1642.92</v>
      </c>
      <c r="K44" s="377"/>
      <c r="L44" s="377"/>
      <c r="M44" s="377"/>
    </row>
    <row r="45" spans="1:15" x14ac:dyDescent="0.25">
      <c r="A45" s="20" t="s">
        <v>108</v>
      </c>
      <c r="B45" s="25">
        <v>0</v>
      </c>
      <c r="C45" s="25">
        <f>ROUND(SUM('[13]Ex Post Gross TD Calc'!$AG$574:$AM$574),2)</f>
        <v>7522.72</v>
      </c>
      <c r="D45" s="25">
        <f>ROUND(SUM('[13]NTG TD Calc'!$AG$439:$AM$439),2)</f>
        <v>-0.02</v>
      </c>
      <c r="E45" s="226">
        <f>ROUND(SUM('[13]EO TD Carrying Costs'!$AE$58:$AK$58),2)</f>
        <v>134.16999999999999</v>
      </c>
      <c r="F45" s="207">
        <f t="shared" si="30"/>
        <v>7656.87</v>
      </c>
      <c r="G45" s="227">
        <f t="shared" si="31"/>
        <v>638.07000000000005</v>
      </c>
      <c r="K45" s="377"/>
      <c r="L45" s="377"/>
      <c r="M45" s="377"/>
    </row>
    <row r="46" spans="1:15" x14ac:dyDescent="0.25">
      <c r="A46" s="20" t="s">
        <v>109</v>
      </c>
      <c r="B46" s="206">
        <v>0</v>
      </c>
      <c r="C46" s="25">
        <f>ROUND(SUM('[13]Ex Post Gross TD Calc'!$AG$575:$AM$575),2)</f>
        <v>1281.76</v>
      </c>
      <c r="D46" s="25">
        <f>ROUND(SUM('[13]NTG TD Calc'!$AG$440:$AM$440),2)</f>
        <v>0</v>
      </c>
      <c r="E46" s="226">
        <f>ROUND(SUM('[13]EO TD Carrying Costs'!$AE$59:$AK$59),2)</f>
        <v>-13.47</v>
      </c>
      <c r="F46" s="207">
        <f t="shared" si="30"/>
        <v>1268.29</v>
      </c>
      <c r="G46" s="227">
        <f t="shared" si="31"/>
        <v>105.69</v>
      </c>
      <c r="K46" s="377"/>
      <c r="L46" s="377"/>
      <c r="M46" s="377"/>
    </row>
    <row r="47" spans="1:15" x14ac:dyDescent="0.25">
      <c r="A47" s="30" t="s">
        <v>111</v>
      </c>
      <c r="B47" s="207">
        <f>SUM(B44:B46)</f>
        <v>0</v>
      </c>
      <c r="C47" s="207">
        <f>SUM(C44:C46)</f>
        <v>28197.040000000001</v>
      </c>
      <c r="D47" s="207">
        <f t="shared" ref="D47:G47" si="32">SUM(D44:D46)</f>
        <v>-0.02</v>
      </c>
      <c r="E47" s="207">
        <f t="shared" si="32"/>
        <v>443.20999999999992</v>
      </c>
      <c r="F47" s="207">
        <f t="shared" si="32"/>
        <v>28640.23</v>
      </c>
      <c r="G47" s="207">
        <f t="shared" si="32"/>
        <v>2386.6800000000003</v>
      </c>
    </row>
    <row r="48" spans="1:15" x14ac:dyDescent="0.25">
      <c r="A48" s="30"/>
      <c r="B48" s="236"/>
      <c r="C48" s="236"/>
      <c r="D48" s="236"/>
      <c r="E48" s="236"/>
      <c r="F48" s="236"/>
      <c r="G48" s="236"/>
    </row>
    <row r="49" spans="1:7" s="39" customFormat="1" x14ac:dyDescent="0.25">
      <c r="A49" s="30"/>
      <c r="B49" s="236"/>
      <c r="C49" s="236"/>
      <c r="D49" s="236"/>
      <c r="E49" s="236"/>
      <c r="F49" s="236"/>
      <c r="G49" s="236"/>
    </row>
    <row r="50" spans="1:7" s="39" customFormat="1" x14ac:dyDescent="0.25">
      <c r="A50" s="332" t="s">
        <v>288</v>
      </c>
      <c r="B50" s="142"/>
      <c r="C50" s="142"/>
      <c r="D50" s="346"/>
    </row>
    <row r="51" spans="1:7" s="39" customFormat="1" x14ac:dyDescent="0.25">
      <c r="A51" s="20" t="s">
        <v>24</v>
      </c>
      <c r="B51" s="25">
        <v>0</v>
      </c>
      <c r="C51" s="25">
        <f>ROUND(SUM('[13]Ex Post Gross TD Calc'!$AN$571:$AN$571),2)</f>
        <v>10271.9</v>
      </c>
      <c r="D51" s="25">
        <f>ROUND(SUM('[13]NTG TD Calc'!$AN$436:$AN$436),2)</f>
        <v>0</v>
      </c>
      <c r="E51" s="226">
        <f>ROUND(SUM('[13]EO TD Carrying Costs'!$AL$55:$AL$55),2)</f>
        <v>195.78</v>
      </c>
      <c r="F51" s="215">
        <f>SUM(B51:E51)</f>
        <v>10467.68</v>
      </c>
      <c r="G51" s="347">
        <f t="shared" ref="G51:G52" si="33">ROUND(F51/12*11,2)</f>
        <v>9595.3700000000008</v>
      </c>
    </row>
    <row r="52" spans="1:7" s="39" customFormat="1" x14ac:dyDescent="0.25">
      <c r="A52" s="20" t="s">
        <v>25</v>
      </c>
      <c r="B52" s="206">
        <f>SUM(B55:B57)</f>
        <v>0</v>
      </c>
      <c r="C52" s="206">
        <f t="shared" ref="C52:E52" si="34">SUM(C55:C57)</f>
        <v>2693.56</v>
      </c>
      <c r="D52" s="206">
        <f t="shared" si="34"/>
        <v>-0.01</v>
      </c>
      <c r="E52" s="228">
        <f t="shared" si="34"/>
        <v>132.03</v>
      </c>
      <c r="F52" s="215">
        <f>SUM(B52:E52)</f>
        <v>2825.58</v>
      </c>
      <c r="G52" s="347">
        <f t="shared" si="33"/>
        <v>2590.12</v>
      </c>
    </row>
    <row r="53" spans="1:7" s="39" customFormat="1" x14ac:dyDescent="0.25">
      <c r="A53" s="20" t="s">
        <v>5</v>
      </c>
      <c r="B53" s="207">
        <f t="shared" ref="B53:G53" si="35">SUM(B51:B52)</f>
        <v>0</v>
      </c>
      <c r="C53" s="207">
        <f t="shared" si="35"/>
        <v>12965.46</v>
      </c>
      <c r="D53" s="207">
        <f t="shared" si="35"/>
        <v>-0.01</v>
      </c>
      <c r="E53" s="229">
        <f t="shared" si="35"/>
        <v>327.81</v>
      </c>
      <c r="F53" s="207">
        <f t="shared" si="35"/>
        <v>13293.26</v>
      </c>
      <c r="G53" s="230">
        <f t="shared" si="35"/>
        <v>12185.490000000002</v>
      </c>
    </row>
    <row r="54" spans="1:7" s="39" customFormat="1" x14ac:dyDescent="0.25">
      <c r="A54" s="46"/>
      <c r="B54" s="204"/>
      <c r="C54" s="204"/>
      <c r="D54" s="205"/>
      <c r="E54" s="46"/>
      <c r="F54" s="46"/>
      <c r="G54" s="46"/>
    </row>
    <row r="55" spans="1:7" s="39" customFormat="1" x14ac:dyDescent="0.25">
      <c r="A55" s="20" t="s">
        <v>107</v>
      </c>
      <c r="B55" s="25">
        <v>0</v>
      </c>
      <c r="C55" s="25">
        <f>ROUND(SUM('[13]Ex Post Gross TD Calc'!$AN$572:$AN$572),2)</f>
        <v>1616.23</v>
      </c>
      <c r="D55" s="25">
        <f>ROUND(SUM('[13]NTG TD Calc'!$AN$437:$AN$437),2)</f>
        <v>0</v>
      </c>
      <c r="E55" s="226">
        <f>ROUND(SUM('[13]EO TD Carrying Costs'!$AL$56:$AL$56),2)</f>
        <v>94.76</v>
      </c>
      <c r="F55" s="207">
        <f t="shared" ref="F55:F57" si="36">SUM(B55:E55)</f>
        <v>1710.99</v>
      </c>
      <c r="G55" s="347">
        <f t="shared" ref="G55:G57" si="37">ROUND(F55/12*11,2)</f>
        <v>1568.41</v>
      </c>
    </row>
    <row r="56" spans="1:7" s="39" customFormat="1" x14ac:dyDescent="0.25">
      <c r="A56" s="20" t="s">
        <v>108</v>
      </c>
      <c r="B56" s="25">
        <v>0</v>
      </c>
      <c r="C56" s="25">
        <f>ROUND(SUM('[13]Ex Post Gross TD Calc'!$AN$574:$AN$574),2)</f>
        <v>912.42</v>
      </c>
      <c r="D56" s="25">
        <f>ROUND(SUM('[13]NTG TD Calc'!$AN$439:$AN$439),2)</f>
        <v>-0.01</v>
      </c>
      <c r="E56" s="226">
        <f>ROUND(SUM('[13]EO TD Carrying Costs'!$AL$58:$AL$58),2)</f>
        <v>39.630000000000003</v>
      </c>
      <c r="F56" s="207">
        <f t="shared" si="36"/>
        <v>952.04</v>
      </c>
      <c r="G56" s="347">
        <f t="shared" si="37"/>
        <v>872.7</v>
      </c>
    </row>
    <row r="57" spans="1:7" s="39" customFormat="1" x14ac:dyDescent="0.25">
      <c r="A57" s="20" t="s">
        <v>109</v>
      </c>
      <c r="B57" s="206">
        <v>0</v>
      </c>
      <c r="C57" s="25">
        <f>ROUND(SUM('[13]Ex Post Gross TD Calc'!$AN$575:$AN$575),2)</f>
        <v>164.91</v>
      </c>
      <c r="D57" s="25">
        <f>ROUND(SUM('[13]NTG TD Calc'!$AN$440:$AN$440),2)</f>
        <v>0</v>
      </c>
      <c r="E57" s="226">
        <f>ROUND(SUM('[13]EO TD Carrying Costs'!$AL$59:$AL$59),2)</f>
        <v>-2.36</v>
      </c>
      <c r="F57" s="207">
        <f t="shared" si="36"/>
        <v>162.54999999999998</v>
      </c>
      <c r="G57" s="347">
        <f t="shared" si="37"/>
        <v>149</v>
      </c>
    </row>
    <row r="58" spans="1:7" s="39" customFormat="1" x14ac:dyDescent="0.25">
      <c r="A58" s="20" t="s">
        <v>111</v>
      </c>
      <c r="B58" s="207">
        <f>SUM(B55:B57)</f>
        <v>0</v>
      </c>
      <c r="C58" s="207">
        <f>SUM(C55:C57)</f>
        <v>2693.56</v>
      </c>
      <c r="D58" s="207">
        <f t="shared" ref="D58:G58" si="38">SUM(D55:D57)</f>
        <v>-0.01</v>
      </c>
      <c r="E58" s="207">
        <f t="shared" si="38"/>
        <v>132.03</v>
      </c>
      <c r="F58" s="207">
        <f t="shared" si="38"/>
        <v>2825.58</v>
      </c>
      <c r="G58" s="207">
        <f t="shared" si="38"/>
        <v>2590.11</v>
      </c>
    </row>
    <row r="59" spans="1:7" s="39" customFormat="1" x14ac:dyDescent="0.25">
      <c r="A59" s="30"/>
      <c r="B59" s="236"/>
      <c r="C59" s="236"/>
      <c r="D59" s="236"/>
      <c r="E59" s="236"/>
      <c r="F59" s="236"/>
      <c r="G59" s="236"/>
    </row>
    <row r="60" spans="1:7" s="39" customFormat="1" x14ac:dyDescent="0.25">
      <c r="A60" s="30"/>
      <c r="B60" s="236"/>
      <c r="C60" s="236"/>
      <c r="D60" s="236"/>
      <c r="E60" s="236"/>
      <c r="F60" s="236"/>
      <c r="G60" s="236"/>
    </row>
    <row r="61" spans="1:7" x14ac:dyDescent="0.25">
      <c r="A61" s="278" t="s">
        <v>180</v>
      </c>
      <c r="B61" s="70"/>
      <c r="C61" s="70"/>
      <c r="D61" s="144"/>
    </row>
    <row r="62" spans="1:7" x14ac:dyDescent="0.25">
      <c r="A62" s="20" t="s">
        <v>24</v>
      </c>
      <c r="B62" s="25">
        <f>ROUND('[17]EO Matrix @Meter'!$AL$20,2)</f>
        <v>2070956.04</v>
      </c>
      <c r="C62" s="25">
        <f>ROUND(SUM('[18]Ex Post Gross TD Calc'!$Q$571:$AN$571),2)</f>
        <v>-195811.16</v>
      </c>
      <c r="D62" s="25">
        <f>ROUND(SUM('[18]NTG TD Calc'!$Q$436:$AN$436),2)</f>
        <v>-174531.88</v>
      </c>
      <c r="E62" s="226">
        <f>ROUND(SUM('[18]EO TD Carrying Costs'!$O$55:$AL$55),2)</f>
        <v>-8257.98</v>
      </c>
      <c r="F62" s="215">
        <f>SUM(B62:E62)</f>
        <v>1692355.02</v>
      </c>
      <c r="G62" s="227">
        <f>ROUND(F62/12*7,2)</f>
        <v>987207.1</v>
      </c>
    </row>
    <row r="63" spans="1:7" x14ac:dyDescent="0.25">
      <c r="A63" s="20" t="s">
        <v>25</v>
      </c>
      <c r="B63" s="206">
        <f>SUM(B66:B68)</f>
        <v>1072812.1200000001</v>
      </c>
      <c r="C63" s="206">
        <f t="shared" ref="C63:E63" si="39">SUM(C66:C68)</f>
        <v>1131.53</v>
      </c>
      <c r="D63" s="206">
        <f t="shared" si="39"/>
        <v>-105892.22</v>
      </c>
      <c r="E63" s="228">
        <f t="shared" si="39"/>
        <v>-1408.09</v>
      </c>
      <c r="F63" s="215">
        <f>SUM(B63:E63)</f>
        <v>966643.3400000002</v>
      </c>
      <c r="G63" s="227">
        <f>ROUND(F63/12*7,2)</f>
        <v>563875.28</v>
      </c>
    </row>
    <row r="64" spans="1:7" x14ac:dyDescent="0.25">
      <c r="A64" s="20" t="s">
        <v>5</v>
      </c>
      <c r="B64" s="207">
        <f t="shared" ref="B64:G64" si="40">SUM(B62:B63)</f>
        <v>3143768.16</v>
      </c>
      <c r="C64" s="207">
        <f t="shared" si="40"/>
        <v>-194679.63</v>
      </c>
      <c r="D64" s="207">
        <f t="shared" si="40"/>
        <v>-280424.09999999998</v>
      </c>
      <c r="E64" s="229">
        <f t="shared" si="40"/>
        <v>-9666.07</v>
      </c>
      <c r="F64" s="207">
        <f t="shared" si="40"/>
        <v>2658998.3600000003</v>
      </c>
      <c r="G64" s="230">
        <f t="shared" si="40"/>
        <v>1551082.38</v>
      </c>
    </row>
    <row r="65" spans="1:7" x14ac:dyDescent="0.25">
      <c r="B65" s="204"/>
      <c r="C65" s="204"/>
      <c r="D65" s="205"/>
    </row>
    <row r="66" spans="1:7" x14ac:dyDescent="0.25">
      <c r="A66" s="20" t="s">
        <v>107</v>
      </c>
      <c r="B66" s="25">
        <f>ROUND('[17]EO Matrix @Meter'!$AP$20,2)</f>
        <v>283722.18</v>
      </c>
      <c r="C66" s="25">
        <f>ROUND(SUM('[18]Ex Post Gross TD Calc'!$Q$572:$AN$572),2)</f>
        <v>6564.41</v>
      </c>
      <c r="D66" s="25">
        <f>ROUND(SUM('[18]NTG TD Calc'!$Q$437:$AN$437),2)</f>
        <v>-47566.93</v>
      </c>
      <c r="E66" s="226">
        <f>ROUND(SUM('[18]EO TD Carrying Costs'!$O$56:$AL$56),2)</f>
        <v>-523.69000000000005</v>
      </c>
      <c r="F66" s="207">
        <f t="shared" ref="F66:F68" si="41">SUM(B66:E66)</f>
        <v>242195.96999999997</v>
      </c>
      <c r="G66" s="227">
        <f t="shared" ref="G66:G68" si="42">ROUND(F66/12*7,2)</f>
        <v>141280.98000000001</v>
      </c>
    </row>
    <row r="67" spans="1:7" x14ac:dyDescent="0.25">
      <c r="A67" s="20" t="s">
        <v>108</v>
      </c>
      <c r="B67" s="25">
        <f>ROUND('[17]EO Matrix @Meter'!$AR$20,2)</f>
        <v>576681.62</v>
      </c>
      <c r="C67" s="25">
        <f>ROUND(SUM('[18]Ex Post Gross TD Calc'!$Q$574:$AN$574),2)</f>
        <v>-3904.58</v>
      </c>
      <c r="D67" s="25">
        <f>ROUND(SUM('[18]NTG TD Calc'!$Q$439:$AN$439),2)</f>
        <v>-52350.95</v>
      </c>
      <c r="E67" s="226">
        <f>ROUND(SUM('[18]EO TD Carrying Costs'!$O$58:$AL$58),2)</f>
        <v>-794.87</v>
      </c>
      <c r="F67" s="207">
        <f t="shared" si="41"/>
        <v>519631.22000000003</v>
      </c>
      <c r="G67" s="227">
        <f t="shared" si="42"/>
        <v>303118.21000000002</v>
      </c>
    </row>
    <row r="68" spans="1:7" x14ac:dyDescent="0.25">
      <c r="A68" s="20" t="s">
        <v>109</v>
      </c>
      <c r="B68" s="25">
        <f>ROUND('[17]EO Matrix @Meter'!$AS$20,2)</f>
        <v>212408.32000000001</v>
      </c>
      <c r="C68" s="25">
        <f>ROUND(SUM('[18]Ex Post Gross TD Calc'!$Q$575:$AN$575),2)</f>
        <v>-1528.3</v>
      </c>
      <c r="D68" s="25">
        <f>ROUND(SUM('[18]NTG TD Calc'!$Q$440:$AN$440),2)</f>
        <v>-5974.34</v>
      </c>
      <c r="E68" s="226">
        <f>ROUND(SUM('[18]EO TD Carrying Costs'!$O$59:$AL$59),2)</f>
        <v>-89.53</v>
      </c>
      <c r="F68" s="207">
        <f t="shared" si="41"/>
        <v>204816.15000000002</v>
      </c>
      <c r="G68" s="227">
        <f t="shared" si="42"/>
        <v>119476.09</v>
      </c>
    </row>
    <row r="69" spans="1:7" x14ac:dyDescent="0.25">
      <c r="A69" s="30" t="s">
        <v>111</v>
      </c>
      <c r="B69" s="207">
        <f>SUM(B66:B68)</f>
        <v>1072812.1200000001</v>
      </c>
      <c r="C69" s="207">
        <f>SUM(C66:C68)</f>
        <v>1131.53</v>
      </c>
      <c r="D69" s="207">
        <f t="shared" ref="D69:G69" si="43">SUM(D66:D68)</f>
        <v>-105892.22</v>
      </c>
      <c r="E69" s="207">
        <f t="shared" si="43"/>
        <v>-1408.09</v>
      </c>
      <c r="F69" s="207">
        <f t="shared" si="43"/>
        <v>966643.34</v>
      </c>
      <c r="G69" s="207">
        <f t="shared" si="43"/>
        <v>563875.28</v>
      </c>
    </row>
    <row r="70" spans="1:7" x14ac:dyDescent="0.25">
      <c r="A70" s="30"/>
      <c r="B70" s="231"/>
      <c r="C70" s="231"/>
      <c r="D70" s="231"/>
      <c r="E70" s="231"/>
      <c r="F70" s="231"/>
      <c r="G70" s="231"/>
    </row>
    <row r="71" spans="1:7" s="39" customFormat="1" x14ac:dyDescent="0.25">
      <c r="A71" s="30"/>
      <c r="B71" s="236"/>
      <c r="C71" s="236"/>
      <c r="D71" s="236"/>
      <c r="E71" s="236"/>
      <c r="F71" s="236"/>
      <c r="G71" s="236"/>
    </row>
    <row r="72" spans="1:7" x14ac:dyDescent="0.25">
      <c r="A72" s="333" t="s">
        <v>260</v>
      </c>
      <c r="B72" s="70"/>
      <c r="C72" s="70"/>
      <c r="D72" s="144"/>
    </row>
    <row r="73" spans="1:7" x14ac:dyDescent="0.25">
      <c r="A73" s="20" t="s">
        <v>24</v>
      </c>
      <c r="B73" s="25">
        <f>ROUND('[14]EO Matrix @Meter'!$AL$22,2)</f>
        <v>1831459.69</v>
      </c>
      <c r="C73" s="25">
        <f>ROUND(SUM('[15]Ex Post Gross TD Calc'!$AC$572:$AX$572),2)</f>
        <v>-87615.35</v>
      </c>
      <c r="D73" s="25">
        <f>ROUND(SUM('[15]NTG TD Calc'!$AC$437:$AX$437),2)</f>
        <v>-16793.62</v>
      </c>
      <c r="E73" s="226">
        <f>ROUND(SUM('[15]EO TD Carrying Costs'!$AA$55:$AV$55),2)</f>
        <v>-1815.93</v>
      </c>
      <c r="F73" s="215">
        <f>SUM(B73:E73)</f>
        <v>1725234.7899999998</v>
      </c>
      <c r="G73" s="227">
        <f>ROUND(F73/12*11,2)</f>
        <v>1581465.22</v>
      </c>
    </row>
    <row r="74" spans="1:7" x14ac:dyDescent="0.25">
      <c r="A74" s="20" t="s">
        <v>25</v>
      </c>
      <c r="B74" s="206">
        <f>SUM(B77:B79)</f>
        <v>1406145.85</v>
      </c>
      <c r="C74" s="206">
        <f t="shared" ref="C74:E74" si="44">SUM(C77:C79)</f>
        <v>-53711.969999999994</v>
      </c>
      <c r="D74" s="206">
        <f t="shared" si="44"/>
        <v>50995.289999999994</v>
      </c>
      <c r="E74" s="206">
        <f t="shared" si="44"/>
        <v>-425.78000000000003</v>
      </c>
      <c r="F74" s="215">
        <f>SUM(B74:E74)</f>
        <v>1403003.3900000001</v>
      </c>
      <c r="G74" s="227">
        <f>ROUND(F74/12*11,2)</f>
        <v>1286086.44</v>
      </c>
    </row>
    <row r="75" spans="1:7" x14ac:dyDescent="0.25">
      <c r="A75" s="20" t="s">
        <v>5</v>
      </c>
      <c r="B75" s="207">
        <f t="shared" ref="B75:G75" si="45">SUM(B73:B74)</f>
        <v>3237605.54</v>
      </c>
      <c r="C75" s="207">
        <f t="shared" si="45"/>
        <v>-141327.32</v>
      </c>
      <c r="D75" s="207">
        <f t="shared" si="45"/>
        <v>34201.67</v>
      </c>
      <c r="E75" s="229">
        <f t="shared" si="45"/>
        <v>-2241.71</v>
      </c>
      <c r="F75" s="207">
        <f t="shared" si="45"/>
        <v>3128238.1799999997</v>
      </c>
      <c r="G75" s="230">
        <f t="shared" si="45"/>
        <v>2867551.66</v>
      </c>
    </row>
    <row r="76" spans="1:7" x14ac:dyDescent="0.25">
      <c r="B76" s="204"/>
      <c r="C76" s="204"/>
      <c r="D76" s="205"/>
    </row>
    <row r="77" spans="1:7" x14ac:dyDescent="0.25">
      <c r="A77" s="20" t="s">
        <v>107</v>
      </c>
      <c r="B77" s="25">
        <f>ROUND('[14]EO Matrix @Meter'!$AP$22,2)</f>
        <v>286244.42</v>
      </c>
      <c r="C77" s="25">
        <f>ROUND(SUM('[15]Ex Post Gross TD Calc'!$AC$573:$AX$573),2)</f>
        <v>-39368.74</v>
      </c>
      <c r="D77" s="25">
        <f>ROUND(SUM('[15]NTG TD Calc'!$AC$438:$AX$438),2)</f>
        <v>34141.919999999998</v>
      </c>
      <c r="E77" s="226">
        <f>ROUND(SUM('[15]EO TD Carrying Costs'!$AA$56:$AV$56),2)</f>
        <v>-375.54</v>
      </c>
      <c r="F77" s="207">
        <f t="shared" ref="F77:F79" si="46">SUM(B77:E77)</f>
        <v>280642.06</v>
      </c>
      <c r="G77" s="237">
        <f t="shared" ref="G77:G79" si="47">ROUND(F77/12*11,2)</f>
        <v>257255.22</v>
      </c>
    </row>
    <row r="78" spans="1:7" x14ac:dyDescent="0.25">
      <c r="A78" s="20" t="s">
        <v>108</v>
      </c>
      <c r="B78" s="25">
        <f>ROUND('[14]EO Matrix @Meter'!$AR$22,2)</f>
        <v>619125.67000000004</v>
      </c>
      <c r="C78" s="25">
        <f>ROUND(SUM('[15]Ex Post Gross TD Calc'!$AC$575:$AX$575),2)</f>
        <v>-13044.06</v>
      </c>
      <c r="D78" s="25">
        <f>ROUND(SUM('[15]NTG TD Calc'!$AC$440:$AX$440),2)</f>
        <v>14350.67</v>
      </c>
      <c r="E78" s="226">
        <f>ROUND(SUM('[15]EO TD Carrying Costs'!$AA$58:$AV$58),2)</f>
        <v>-72.91</v>
      </c>
      <c r="F78" s="207">
        <f t="shared" si="46"/>
        <v>620359.37</v>
      </c>
      <c r="G78" s="237">
        <f t="shared" si="47"/>
        <v>568662.76</v>
      </c>
    </row>
    <row r="79" spans="1:7" x14ac:dyDescent="0.25">
      <c r="A79" s="20" t="s">
        <v>109</v>
      </c>
      <c r="B79" s="206">
        <f>ROUND('[14]EO Matrix @Meter'!$AS$22,2)</f>
        <v>500775.76</v>
      </c>
      <c r="C79" s="25">
        <f>ROUND(SUM('[15]Ex Post Gross TD Calc'!$AC$576:$AX$576),2)</f>
        <v>-1299.17</v>
      </c>
      <c r="D79" s="25">
        <f>ROUND(SUM('[15]NTG TD Calc'!$AC$441:$AX$441),2)</f>
        <v>2502.6999999999998</v>
      </c>
      <c r="E79" s="226">
        <f>ROUND(SUM('[15]EO TD Carrying Costs'!$AA$59:$AV$59),2)</f>
        <v>22.67</v>
      </c>
      <c r="F79" s="207">
        <f t="shared" si="46"/>
        <v>502001.96</v>
      </c>
      <c r="G79" s="237">
        <f t="shared" si="47"/>
        <v>460168.46</v>
      </c>
    </row>
    <row r="80" spans="1:7" x14ac:dyDescent="0.25">
      <c r="A80" s="30" t="s">
        <v>111</v>
      </c>
      <c r="B80" s="207">
        <f>SUM(B77:B79)</f>
        <v>1406145.85</v>
      </c>
      <c r="C80" s="207">
        <f>SUM(C77:C79)</f>
        <v>-53711.969999999994</v>
      </c>
      <c r="D80" s="207">
        <f t="shared" ref="D80:G80" si="48">SUM(D77:D79)</f>
        <v>50995.289999999994</v>
      </c>
      <c r="E80" s="207">
        <f t="shared" si="48"/>
        <v>-425.78000000000003</v>
      </c>
      <c r="F80" s="207">
        <f t="shared" si="48"/>
        <v>1403003.39</v>
      </c>
      <c r="G80" s="207">
        <f t="shared" si="48"/>
        <v>1286086.44</v>
      </c>
    </row>
    <row r="81" spans="1:7" x14ac:dyDescent="0.25">
      <c r="A81" s="30"/>
      <c r="B81" s="236"/>
      <c r="C81" s="236"/>
      <c r="D81" s="236"/>
      <c r="E81" s="236"/>
      <c r="F81" s="236"/>
      <c r="G81" s="236"/>
    </row>
    <row r="82" spans="1:7" x14ac:dyDescent="0.25">
      <c r="A82" s="30"/>
      <c r="B82" s="236"/>
      <c r="C82" s="236"/>
      <c r="D82" s="236"/>
      <c r="E82" s="236"/>
      <c r="F82" s="236"/>
      <c r="G82" s="236"/>
    </row>
    <row r="83" spans="1:7" hidden="1" outlineLevel="1" x14ac:dyDescent="0.25">
      <c r="A83" s="333" t="s">
        <v>261</v>
      </c>
      <c r="B83" s="70"/>
      <c r="C83" s="70"/>
      <c r="D83" s="144"/>
    </row>
    <row r="84" spans="1:7" hidden="1" outlineLevel="1" x14ac:dyDescent="0.25">
      <c r="A84" s="20" t="s">
        <v>24</v>
      </c>
      <c r="B84" s="25">
        <v>0</v>
      </c>
      <c r="C84" s="25"/>
      <c r="D84" s="25"/>
      <c r="E84" s="226"/>
      <c r="F84" s="215">
        <f>SUM(B84:E84)</f>
        <v>0</v>
      </c>
      <c r="G84" s="227">
        <f>ROUND(F84/12*11,2)</f>
        <v>0</v>
      </c>
    </row>
    <row r="85" spans="1:7" hidden="1" outlineLevel="1" x14ac:dyDescent="0.25">
      <c r="A85" s="20" t="s">
        <v>25</v>
      </c>
      <c r="B85" s="206">
        <f>SUM(B88:B90)</f>
        <v>0</v>
      </c>
      <c r="C85" s="206">
        <f t="shared" ref="C85:E85" si="49">SUM(C88:C90)</f>
        <v>0</v>
      </c>
      <c r="D85" s="206">
        <f t="shared" si="49"/>
        <v>0</v>
      </c>
      <c r="E85" s="206">
        <f t="shared" si="49"/>
        <v>0</v>
      </c>
      <c r="F85" s="215">
        <f>SUM(B85:E85)</f>
        <v>0</v>
      </c>
      <c r="G85" s="227">
        <f>ROUND(F85/12*11,2)</f>
        <v>0</v>
      </c>
    </row>
    <row r="86" spans="1:7" hidden="1" outlineLevel="1" x14ac:dyDescent="0.25">
      <c r="A86" s="20" t="s">
        <v>5</v>
      </c>
      <c r="B86" s="207">
        <f t="shared" ref="B86:G86" si="50">SUM(B84:B85)</f>
        <v>0</v>
      </c>
      <c r="C86" s="207">
        <f t="shared" si="50"/>
        <v>0</v>
      </c>
      <c r="D86" s="207">
        <f t="shared" si="50"/>
        <v>0</v>
      </c>
      <c r="E86" s="229">
        <f t="shared" si="50"/>
        <v>0</v>
      </c>
      <c r="F86" s="207">
        <f t="shared" si="50"/>
        <v>0</v>
      </c>
      <c r="G86" s="230">
        <f t="shared" si="50"/>
        <v>0</v>
      </c>
    </row>
    <row r="87" spans="1:7" hidden="1" outlineLevel="1" x14ac:dyDescent="0.25">
      <c r="B87" s="204"/>
      <c r="C87" s="204"/>
      <c r="D87" s="205"/>
    </row>
    <row r="88" spans="1:7" hidden="1" outlineLevel="1" x14ac:dyDescent="0.25">
      <c r="A88" s="20" t="s">
        <v>107</v>
      </c>
      <c r="B88" s="25">
        <v>0</v>
      </c>
      <c r="C88" s="25"/>
      <c r="D88" s="25"/>
      <c r="E88" s="226"/>
      <c r="F88" s="207">
        <f t="shared" ref="F88:F90" si="51">SUM(B88:E88)</f>
        <v>0</v>
      </c>
      <c r="G88" s="237">
        <f t="shared" ref="G88:G90" si="52">ROUND(F88/12*11,2)</f>
        <v>0</v>
      </c>
    </row>
    <row r="89" spans="1:7" hidden="1" outlineLevel="1" x14ac:dyDescent="0.25">
      <c r="A89" s="20" t="s">
        <v>108</v>
      </c>
      <c r="B89" s="25">
        <v>0</v>
      </c>
      <c r="C89" s="25"/>
      <c r="D89" s="25"/>
      <c r="E89" s="226"/>
      <c r="F89" s="207">
        <f t="shared" si="51"/>
        <v>0</v>
      </c>
      <c r="G89" s="237">
        <f t="shared" si="52"/>
        <v>0</v>
      </c>
    </row>
    <row r="90" spans="1:7" hidden="1" outlineLevel="1" x14ac:dyDescent="0.25">
      <c r="A90" s="20" t="s">
        <v>109</v>
      </c>
      <c r="B90" s="206">
        <v>0</v>
      </c>
      <c r="C90" s="25"/>
      <c r="D90" s="25"/>
      <c r="E90" s="226"/>
      <c r="F90" s="207">
        <f t="shared" si="51"/>
        <v>0</v>
      </c>
      <c r="G90" s="237">
        <f t="shared" si="52"/>
        <v>0</v>
      </c>
    </row>
    <row r="91" spans="1:7" hidden="1" outlineLevel="1" x14ac:dyDescent="0.25">
      <c r="A91" s="30" t="s">
        <v>111</v>
      </c>
      <c r="B91" s="207">
        <f>SUM(B88:B90)</f>
        <v>0</v>
      </c>
      <c r="C91" s="207">
        <f>SUM(C88:C90)</f>
        <v>0</v>
      </c>
      <c r="D91" s="207">
        <f t="shared" ref="D91:G91" si="53">SUM(D88:D90)</f>
        <v>0</v>
      </c>
      <c r="E91" s="207">
        <f t="shared" si="53"/>
        <v>0</v>
      </c>
      <c r="F91" s="207">
        <f t="shared" si="53"/>
        <v>0</v>
      </c>
      <c r="G91" s="207">
        <f t="shared" si="53"/>
        <v>0</v>
      </c>
    </row>
    <row r="92" spans="1:7" hidden="1" outlineLevel="1" x14ac:dyDescent="0.25">
      <c r="A92" s="30"/>
      <c r="B92" s="236"/>
      <c r="C92" s="236"/>
      <c r="D92" s="236"/>
      <c r="E92" s="236"/>
      <c r="F92" s="236"/>
      <c r="G92" s="236"/>
    </row>
    <row r="93" spans="1:7" collapsed="1" x14ac:dyDescent="0.25">
      <c r="A93" s="30"/>
      <c r="B93" s="236"/>
      <c r="C93" s="236"/>
      <c r="D93" s="236"/>
      <c r="E93" s="236"/>
      <c r="F93" s="236"/>
      <c r="G93" s="236"/>
    </row>
    <row r="94" spans="1:7" x14ac:dyDescent="0.25">
      <c r="A94" s="3" t="s">
        <v>262</v>
      </c>
    </row>
    <row r="95" spans="1:7" x14ac:dyDescent="0.25">
      <c r="A95" s="3" t="s">
        <v>263</v>
      </c>
    </row>
    <row r="96" spans="1:7" x14ac:dyDescent="0.25">
      <c r="A96" s="3" t="s">
        <v>264</v>
      </c>
    </row>
    <row r="97" spans="1:13" x14ac:dyDescent="0.25">
      <c r="A97" s="3" t="s">
        <v>265</v>
      </c>
    </row>
    <row r="98" spans="1:13" x14ac:dyDescent="0.25">
      <c r="A98" s="3" t="s">
        <v>154</v>
      </c>
    </row>
    <row r="99" spans="1:13" ht="79.5" customHeight="1" x14ac:dyDescent="0.25">
      <c r="A99" s="376" t="s">
        <v>266</v>
      </c>
      <c r="B99" s="376"/>
      <c r="C99" s="376"/>
      <c r="D99" s="376"/>
      <c r="E99" s="376"/>
      <c r="F99" s="376"/>
      <c r="G99" s="376"/>
      <c r="H99" s="376"/>
      <c r="I99" s="376"/>
      <c r="J99" s="376"/>
      <c r="K99" s="376"/>
      <c r="L99" s="376"/>
      <c r="M99" s="376"/>
    </row>
    <row r="100" spans="1:13" x14ac:dyDescent="0.25">
      <c r="A100" s="3"/>
    </row>
    <row r="101" spans="1:13" x14ac:dyDescent="0.25">
      <c r="A101" s="3"/>
    </row>
    <row r="102" spans="1:13" x14ac:dyDescent="0.25">
      <c r="A102" s="3"/>
    </row>
  </sheetData>
  <mergeCells count="2">
    <mergeCell ref="B3:D3"/>
    <mergeCell ref="A99:M99"/>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I63"/>
  <sheetViews>
    <sheetView workbookViewId="0">
      <selection activeCell="M3" sqref="M3"/>
    </sheetView>
  </sheetViews>
  <sheetFormatPr defaultColWidth="9.140625" defaultRowHeight="15" outlineLevelCol="1" x14ac:dyDescent="0.25"/>
  <cols>
    <col min="1" max="1" width="37.7109375" style="46" customWidth="1"/>
    <col min="2" max="2" width="12.28515625" style="46" bestFit="1" customWidth="1"/>
    <col min="3" max="3" width="12.42578125" style="46" bestFit="1" customWidth="1"/>
    <col min="4" max="4" width="15.42578125" style="46" customWidth="1"/>
    <col min="5" max="5" width="15.85546875" style="46" bestFit="1" customWidth="1"/>
    <col min="6" max="6" width="12.28515625" style="46" bestFit="1" customWidth="1"/>
    <col min="7" max="8" width="13.28515625" style="46" bestFit="1" customWidth="1"/>
    <col min="9" max="9" width="12.28515625" style="46" bestFit="1" customWidth="1"/>
    <col min="10" max="10" width="12.5703125" style="46" customWidth="1"/>
    <col min="11" max="11" width="12.85546875" style="46" customWidth="1"/>
    <col min="12" max="12" width="16" style="46" customWidth="1"/>
    <col min="13" max="13" width="15" style="46" bestFit="1" customWidth="1"/>
    <col min="14" max="14" width="16" style="46" bestFit="1" customWidth="1"/>
    <col min="15" max="15" width="17.85546875" style="174" customWidth="1" outlineLevel="1"/>
    <col min="16" max="16" width="15.28515625" style="46" bestFit="1" customWidth="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Missouri West, Inc. - DSIM Rider Update Filed 12/01/2023</v>
      </c>
      <c r="B1" s="3"/>
      <c r="C1" s="3"/>
    </row>
    <row r="2" spans="1:35" x14ac:dyDescent="0.25">
      <c r="D2" s="3" t="s">
        <v>140</v>
      </c>
    </row>
    <row r="3" spans="1:35" ht="30" x14ac:dyDescent="0.25">
      <c r="D3" s="48" t="s">
        <v>46</v>
      </c>
      <c r="E3" s="70" t="s">
        <v>58</v>
      </c>
      <c r="F3" s="48" t="s">
        <v>3</v>
      </c>
      <c r="G3" s="70" t="s">
        <v>55</v>
      </c>
      <c r="H3" s="48" t="s">
        <v>10</v>
      </c>
      <c r="I3" s="48" t="s">
        <v>59</v>
      </c>
      <c r="S3" s="48"/>
    </row>
    <row r="4" spans="1:35" x14ac:dyDescent="0.25">
      <c r="A4" s="20" t="s">
        <v>24</v>
      </c>
      <c r="B4" s="20"/>
      <c r="C4" s="20"/>
      <c r="D4" s="22">
        <f>SUM(C18:L18)</f>
        <v>-19760.46</v>
      </c>
      <c r="E4" s="22">
        <f>SUM(C24:K24)</f>
        <v>-42793.99</v>
      </c>
      <c r="F4" s="22">
        <f>E4-D4</f>
        <v>-23033.53</v>
      </c>
      <c r="G4" s="22">
        <f>+B38</f>
        <v>-9905.9521800001839</v>
      </c>
      <c r="H4" s="22">
        <f>SUM(C45:K45)</f>
        <v>-1264.73</v>
      </c>
      <c r="I4" s="25">
        <f>SUM(F4:H4)</f>
        <v>-34204.212180000184</v>
      </c>
      <c r="J4" s="317">
        <f>+I4-L38</f>
        <v>0</v>
      </c>
      <c r="M4" s="47"/>
    </row>
    <row r="5" spans="1:35" ht="15.75" thickBot="1" x14ac:dyDescent="0.3">
      <c r="A5" s="20" t="s">
        <v>25</v>
      </c>
      <c r="B5" s="20"/>
      <c r="C5" s="20"/>
      <c r="D5" s="22">
        <f>SUM(C19:L21)</f>
        <v>82703.23000000001</v>
      </c>
      <c r="E5" s="22">
        <f>SUM(C25:K27)</f>
        <v>1169.31</v>
      </c>
      <c r="F5" s="22">
        <f>E5-D5</f>
        <v>-81533.920000000013</v>
      </c>
      <c r="G5" s="22">
        <f>SUM(B39:B41)</f>
        <v>160152.58916000035</v>
      </c>
      <c r="H5" s="22">
        <f>SUM(C46:K48)</f>
        <v>4632.5</v>
      </c>
      <c r="I5" s="25">
        <f>SUM(F5:H5)</f>
        <v>83251.16916000034</v>
      </c>
      <c r="J5" s="317">
        <f>+I5-SUM(L39:L41)</f>
        <v>0</v>
      </c>
      <c r="M5" s="47"/>
    </row>
    <row r="6" spans="1:35" ht="16.5" thickTop="1" thickBot="1" x14ac:dyDescent="0.3">
      <c r="D6" s="27">
        <f t="shared" ref="D6:I6" si="0">SUM(D4:D5)</f>
        <v>62942.770000000011</v>
      </c>
      <c r="E6" s="27">
        <f t="shared" si="0"/>
        <v>-41624.68</v>
      </c>
      <c r="F6" s="27">
        <f t="shared" si="0"/>
        <v>-104567.45000000001</v>
      </c>
      <c r="G6" s="27">
        <f t="shared" si="0"/>
        <v>150246.63698000016</v>
      </c>
      <c r="H6" s="27">
        <f t="shared" si="0"/>
        <v>3367.77</v>
      </c>
      <c r="I6" s="27">
        <f t="shared" si="0"/>
        <v>49046.956980000155</v>
      </c>
      <c r="T6" s="5"/>
    </row>
    <row r="7" spans="1:35" ht="45.75" thickTop="1" x14ac:dyDescent="0.25">
      <c r="I7" s="211"/>
      <c r="J7" s="210" t="s">
        <v>122</v>
      </c>
    </row>
    <row r="8" spans="1:35" ht="17.25" customHeight="1" x14ac:dyDescent="0.25">
      <c r="A8" s="20" t="s">
        <v>107</v>
      </c>
      <c r="I8" s="25">
        <f>ROUND($I$5*J8,2)</f>
        <v>32642.19</v>
      </c>
      <c r="J8" s="208">
        <f>+'PCR Cycle 2'!K8</f>
        <v>0.39209287804949344</v>
      </c>
      <c r="K8" s="39"/>
    </row>
    <row r="9" spans="1:35" ht="17.25" customHeight="1" x14ac:dyDescent="0.25">
      <c r="A9" s="20" t="s">
        <v>108</v>
      </c>
      <c r="I9" s="25">
        <f t="shared" ref="I9:I10" si="1">ROUND($I$5*J9,2)</f>
        <v>37825.93</v>
      </c>
      <c r="J9" s="208">
        <f>+'PCR Cycle 2'!K9</f>
        <v>0.45435908608374953</v>
      </c>
      <c r="K9" s="39"/>
    </row>
    <row r="10" spans="1:35" ht="17.25" customHeight="1" thickBot="1" x14ac:dyDescent="0.3">
      <c r="A10" s="20" t="s">
        <v>109</v>
      </c>
      <c r="I10" s="25">
        <f t="shared" si="1"/>
        <v>12783.05</v>
      </c>
      <c r="J10" s="208">
        <f>+'PCR Cycle 2'!K10</f>
        <v>0.15354803586675725</v>
      </c>
      <c r="K10" s="39"/>
    </row>
    <row r="11" spans="1:35" ht="17.25" customHeight="1" thickTop="1" thickBot="1" x14ac:dyDescent="0.3">
      <c r="A11" s="20" t="s">
        <v>111</v>
      </c>
      <c r="I11" s="27">
        <f>SUM(I8:I10)</f>
        <v>83251.17</v>
      </c>
      <c r="J11" s="209">
        <f>SUM(J8:J10)</f>
        <v>1.0000000000000002</v>
      </c>
    </row>
    <row r="12" spans="1:35" ht="16.5" thickTop="1" thickBot="1" x14ac:dyDescent="0.3">
      <c r="V12" s="4"/>
      <c r="W12" s="5"/>
    </row>
    <row r="13" spans="1:35" ht="105.75" thickBot="1" x14ac:dyDescent="0.3">
      <c r="B13" s="112" t="str">
        <f>+'PCR Cycle 2'!B13</f>
        <v>Cumulative Over/Under Carryover From 06/01/2023 Filing</v>
      </c>
      <c r="C13" s="143" t="str">
        <f>+'PCR Cycle 2'!C13</f>
        <v>Reverse May 2023 - July 2023 Forecast From 06/01/2023 Filing</v>
      </c>
      <c r="D13" s="375" t="s">
        <v>33</v>
      </c>
      <c r="E13" s="363"/>
      <c r="F13" s="364"/>
      <c r="G13" s="372" t="s">
        <v>33</v>
      </c>
      <c r="H13" s="373"/>
      <c r="I13" s="374"/>
      <c r="J13" s="359" t="s">
        <v>8</v>
      </c>
      <c r="K13" s="360"/>
      <c r="L13" s="361"/>
      <c r="O13" s="281" t="s">
        <v>247</v>
      </c>
    </row>
    <row r="14" spans="1:35" x14ac:dyDescent="0.25">
      <c r="A14" s="46" t="s">
        <v>86</v>
      </c>
      <c r="C14" s="102"/>
      <c r="D14" s="19">
        <f>+'PCR Cycle 2'!D14</f>
        <v>45077</v>
      </c>
      <c r="E14" s="19">
        <f t="shared" ref="E14:L14" si="2">EOMONTH(D14,1)</f>
        <v>45107</v>
      </c>
      <c r="F14" s="19">
        <f t="shared" si="2"/>
        <v>45138</v>
      </c>
      <c r="G14" s="14">
        <f t="shared" si="2"/>
        <v>45169</v>
      </c>
      <c r="H14" s="19">
        <f t="shared" si="2"/>
        <v>45199</v>
      </c>
      <c r="I14" s="15">
        <f t="shared" si="2"/>
        <v>45230</v>
      </c>
      <c r="J14" s="19">
        <f t="shared" si="2"/>
        <v>45260</v>
      </c>
      <c r="K14" s="19">
        <f t="shared" si="2"/>
        <v>45291</v>
      </c>
      <c r="L14" s="15">
        <f t="shared" si="2"/>
        <v>45322</v>
      </c>
      <c r="Z14" s="1"/>
      <c r="AA14" s="1"/>
      <c r="AB14" s="1"/>
      <c r="AC14" s="1"/>
      <c r="AD14" s="1"/>
      <c r="AE14" s="1"/>
      <c r="AF14" s="1"/>
      <c r="AG14" s="1"/>
      <c r="AH14" s="1"/>
      <c r="AI14" s="1"/>
    </row>
    <row r="15" spans="1:35" x14ac:dyDescent="0.25">
      <c r="A15" s="46" t="s">
        <v>5</v>
      </c>
      <c r="C15" s="96">
        <v>60884.3</v>
      </c>
      <c r="D15" s="106">
        <f>SUM(D24:D27)</f>
        <v>-30647.510000000002</v>
      </c>
      <c r="E15" s="106">
        <f t="shared" ref="E15:K15" si="3">SUM(E24:E27)</f>
        <v>-30647.510000000002</v>
      </c>
      <c r="F15" s="107">
        <f t="shared" si="3"/>
        <v>-30647.510000000002</v>
      </c>
      <c r="G15" s="16">
        <f t="shared" si="3"/>
        <v>-2113.29</v>
      </c>
      <c r="H15" s="55">
        <f t="shared" si="3"/>
        <v>-2113.29</v>
      </c>
      <c r="I15" s="154">
        <f t="shared" si="3"/>
        <v>-2113.29</v>
      </c>
      <c r="J15" s="147">
        <f t="shared" si="3"/>
        <v>-2113.29</v>
      </c>
      <c r="K15" s="77">
        <f t="shared" si="3"/>
        <v>-2113.29</v>
      </c>
      <c r="L15" s="78"/>
      <c r="O15" s="174">
        <f>-SUM(J15:L15)</f>
        <v>4226.58</v>
      </c>
    </row>
    <row r="16" spans="1:35" x14ac:dyDescent="0.25">
      <c r="C16" s="98"/>
      <c r="D16" s="17"/>
      <c r="E16" s="17"/>
      <c r="F16" s="17"/>
      <c r="G16" s="10"/>
      <c r="H16" s="17"/>
      <c r="I16" s="11"/>
      <c r="J16" s="31"/>
      <c r="K16" s="31"/>
      <c r="L16" s="29"/>
    </row>
    <row r="17" spans="1:16" x14ac:dyDescent="0.25">
      <c r="A17" s="46" t="s">
        <v>87</v>
      </c>
      <c r="C17" s="98"/>
      <c r="D17" s="18"/>
      <c r="E17" s="18"/>
      <c r="F17" s="18"/>
      <c r="G17" s="90"/>
      <c r="H17" s="18"/>
      <c r="I17" s="155"/>
      <c r="J17" s="31"/>
      <c r="K17" s="31"/>
      <c r="L17" s="29"/>
      <c r="M17" s="3" t="s">
        <v>50</v>
      </c>
      <c r="N17" s="39"/>
    </row>
    <row r="18" spans="1:16" x14ac:dyDescent="0.25">
      <c r="A18" s="46" t="s">
        <v>24</v>
      </c>
      <c r="C18" s="96">
        <v>25547.14</v>
      </c>
      <c r="D18" s="126">
        <f>ROUND('[4]May 2023'!$G68,2)</f>
        <v>-6342.72</v>
      </c>
      <c r="E18" s="126">
        <f>ROUND('[4]June 2023'!$G68,2)</f>
        <v>-8563.0400000000009</v>
      </c>
      <c r="F18" s="126">
        <f>ROUND('[4]July 2023'!$G68,2)</f>
        <v>-10952.16</v>
      </c>
      <c r="G18" s="16">
        <f>ROUND('[4]August 2023'!$G68,2)</f>
        <v>-3756.2</v>
      </c>
      <c r="H18" s="55">
        <f>ROUND('[4]September 2023'!$G68,2)</f>
        <v>-3640.7</v>
      </c>
      <c r="I18" s="154">
        <f>ROUND('[4]October 2023'!$G68,2)</f>
        <v>-2516.1999999999998</v>
      </c>
      <c r="J18" s="116">
        <f>ROUND('PCR Cycle 2'!J26*$M18,2)</f>
        <v>-2333.9</v>
      </c>
      <c r="K18" s="41">
        <f>ROUND('PCR Cycle 2'!K26*$M18,2)</f>
        <v>-3235.68</v>
      </c>
      <c r="L18" s="61">
        <f>ROUND('PCR Cycle 2'!L26*$M18,2)</f>
        <v>-3967</v>
      </c>
      <c r="M18" s="72">
        <v>-1.0000000000000001E-5</v>
      </c>
      <c r="N18" s="4"/>
      <c r="O18" s="174">
        <f t="shared" ref="O18:O21" si="4">-SUM(J18:L18)</f>
        <v>9536.58</v>
      </c>
    </row>
    <row r="19" spans="1:16" x14ac:dyDescent="0.25">
      <c r="A19" s="46" t="s">
        <v>134</v>
      </c>
      <c r="C19" s="96">
        <v>-39275.199999999997</v>
      </c>
      <c r="D19" s="126">
        <f>ROUND('[4]May 2023'!$G69,2)</f>
        <v>10945.37</v>
      </c>
      <c r="E19" s="126">
        <f>ROUND('[4]June 2023'!$G69,2)</f>
        <v>13358.68</v>
      </c>
      <c r="F19" s="126">
        <f>ROUND('[4]July 2023'!$G69,2)</f>
        <v>14886.99</v>
      </c>
      <c r="G19" s="16">
        <f>ROUND('[4]August 2023'!$G69,2)</f>
        <v>6480.67</v>
      </c>
      <c r="H19" s="55">
        <f>ROUND('[4]September 2023'!$G69,2)</f>
        <v>6394.3</v>
      </c>
      <c r="I19" s="154">
        <f>ROUND('[4]October 2023'!$G69,2)</f>
        <v>5445.79</v>
      </c>
      <c r="J19" s="116">
        <f>ROUND('PCR Cycle 2'!J27*$M19,2)</f>
        <v>4949.9799999999996</v>
      </c>
      <c r="K19" s="41">
        <f>ROUND('PCR Cycle 2'!K27*$M19,2)</f>
        <v>5103.9399999999996</v>
      </c>
      <c r="L19" s="61">
        <f>ROUND('PCR Cycle 2'!L27*$M19,2)</f>
        <v>5351.51</v>
      </c>
      <c r="M19" s="72">
        <v>5.0000000000000002E-5</v>
      </c>
      <c r="N19" s="4"/>
      <c r="O19" s="174">
        <f t="shared" si="4"/>
        <v>-15405.429999999998</v>
      </c>
    </row>
    <row r="20" spans="1:16" x14ac:dyDescent="0.25">
      <c r="A20" s="46" t="s">
        <v>135</v>
      </c>
      <c r="C20" s="96">
        <v>-40916.35</v>
      </c>
      <c r="D20" s="126">
        <f>ROUND('[4]May 2023'!$G70,2)</f>
        <v>11912.18</v>
      </c>
      <c r="E20" s="126">
        <f>ROUND('[4]June 2023'!$G70,2)</f>
        <v>13583.93</v>
      </c>
      <c r="F20" s="126">
        <f>ROUND('[4]July 2023'!$G70,2)</f>
        <v>14646.98</v>
      </c>
      <c r="G20" s="16">
        <f>ROUND('[4]August 2023'!$G70,2)</f>
        <v>6428.82</v>
      </c>
      <c r="H20" s="55">
        <f>ROUND('[4]September 2023'!$G70,2)</f>
        <v>6427.33</v>
      </c>
      <c r="I20" s="154">
        <f>ROUND('[4]October 2023'!$G70,2)</f>
        <v>5628.14</v>
      </c>
      <c r="J20" s="116">
        <f>ROUND('PCR Cycle 2'!J28*$M20,2)</f>
        <v>5304.16</v>
      </c>
      <c r="K20" s="41">
        <f>ROUND('PCR Cycle 2'!K28*$M20,2)</f>
        <v>5469.14</v>
      </c>
      <c r="L20" s="61">
        <f>ROUND('PCR Cycle 2'!L28*$M20,2)</f>
        <v>5734.41</v>
      </c>
      <c r="M20" s="72">
        <v>6.0000000000000002E-5</v>
      </c>
      <c r="N20" s="4"/>
      <c r="O20" s="174">
        <f t="shared" si="4"/>
        <v>-16507.71</v>
      </c>
    </row>
    <row r="21" spans="1:16" x14ac:dyDescent="0.25">
      <c r="A21" s="46" t="s">
        <v>136</v>
      </c>
      <c r="C21" s="96">
        <v>-13687.15</v>
      </c>
      <c r="D21" s="126">
        <f>ROUND('[4]May 2023'!$G71,2)</f>
        <v>4085.98</v>
      </c>
      <c r="E21" s="126">
        <f>ROUND('[4]June 2023'!$G71,2)</f>
        <v>4383.46</v>
      </c>
      <c r="F21" s="126">
        <f>ROUND('[4]July 2023'!$G71,2)</f>
        <v>4655.92</v>
      </c>
      <c r="G21" s="16">
        <f>ROUND('[4]August 2023'!$G71,2)</f>
        <v>2763.08</v>
      </c>
      <c r="H21" s="55">
        <f>ROUND('[4]September 2023'!$G71,2)</f>
        <v>2666.54</v>
      </c>
      <c r="I21" s="154">
        <f>ROUND('[4]October 2023'!$G71,2)</f>
        <v>2611.86</v>
      </c>
      <c r="J21" s="116">
        <f>ROUND('PCR Cycle 2'!J29*$M21,2)</f>
        <v>2365.7600000000002</v>
      </c>
      <c r="K21" s="41">
        <f>ROUND('PCR Cycle 2'!K29*$M21,2)</f>
        <v>2439.35</v>
      </c>
      <c r="L21" s="61">
        <f>ROUND('PCR Cycle 2'!L29*$M21,2)</f>
        <v>2557.66</v>
      </c>
      <c r="M21" s="72">
        <v>4.0000000000000003E-5</v>
      </c>
      <c r="N21" s="4"/>
      <c r="O21" s="174">
        <f t="shared" si="4"/>
        <v>-7362.77</v>
      </c>
    </row>
    <row r="22" spans="1:16" x14ac:dyDescent="0.25">
      <c r="C22" s="67"/>
      <c r="D22" s="68"/>
      <c r="E22" s="68"/>
      <c r="F22" s="68"/>
      <c r="G22" s="67"/>
      <c r="H22" s="68"/>
      <c r="I22" s="156"/>
      <c r="J22" s="56"/>
      <c r="K22" s="56"/>
      <c r="L22" s="13"/>
      <c r="N22" s="4"/>
    </row>
    <row r="23" spans="1:16" x14ac:dyDescent="0.25">
      <c r="A23" s="46" t="s">
        <v>89</v>
      </c>
      <c r="C23" s="36"/>
      <c r="D23" s="37"/>
      <c r="E23" s="37"/>
      <c r="F23" s="37"/>
      <c r="G23" s="36"/>
      <c r="H23" s="37"/>
      <c r="I23" s="158"/>
      <c r="J23" s="52"/>
      <c r="K23" s="52"/>
      <c r="L23" s="38"/>
    </row>
    <row r="24" spans="1:16" x14ac:dyDescent="0.25">
      <c r="A24" s="46" t="s">
        <v>24</v>
      </c>
      <c r="C24" s="96">
        <v>62619.94</v>
      </c>
      <c r="D24" s="348">
        <f>ROUND(+'EO Cycle 2'!$F$40/24+'EO Cycle 2'!$F$50/24+'EO Cycle 2'!$F$60/24+'EO Cycle 2'!$F$70/24,2)</f>
        <v>-31474.46</v>
      </c>
      <c r="E24" s="348">
        <f>ROUND(+'EO Cycle 2'!$F$40/24+'EO Cycle 2'!$F$50/24+'EO Cycle 2'!$F$60/24+'EO Cycle 2'!$F$70/24,2)</f>
        <v>-31474.46</v>
      </c>
      <c r="F24" s="348">
        <f>ROUND(+'EO Cycle 2'!$F$40/24+'EO Cycle 2'!$F$50/24+'EO Cycle 2'!$F$60/24+'EO Cycle 2'!$F$70/24,2)</f>
        <v>-31474.46</v>
      </c>
      <c r="G24" s="16">
        <f>ROUND(+'EO Cycle 2'!$F$50/24+'EO Cycle 2'!$F$60/24+'EO Cycle 2'!$F$70/24+'EO Cycle 2'!$F$80/24,2)</f>
        <v>-2198.11</v>
      </c>
      <c r="H24" s="55">
        <f>ROUND(+'EO Cycle 2'!$F$50/24+'EO Cycle 2'!$F$60/24+'EO Cycle 2'!$F$70/24+'EO Cycle 2'!$F$80/24,2)</f>
        <v>-2198.11</v>
      </c>
      <c r="I24" s="154">
        <f>ROUND(+'EO Cycle 2'!$F$50/24+'EO Cycle 2'!$F$60/24+'EO Cycle 2'!$F$70/24+'EO Cycle 2'!$F$80/24,2)</f>
        <v>-2198.11</v>
      </c>
      <c r="J24" s="133">
        <f>ROUND(+'EO Cycle 2'!$F$50/24+'EO Cycle 2'!$F$60/24+'EO Cycle 2'!$F$70/24+'EO Cycle 2'!$F$80/24,2)</f>
        <v>-2198.11</v>
      </c>
      <c r="K24" s="133">
        <f>ROUND(+'EO Cycle 2'!$F$50/24+'EO Cycle 2'!$F$60/24+'EO Cycle 2'!$F$70/24+'EO Cycle 2'!$F$80/24,2)</f>
        <v>-2198.11</v>
      </c>
      <c r="L24" s="78"/>
      <c r="N24" s="47"/>
      <c r="O24" s="174">
        <f t="shared" ref="O24:O29" si="5">-SUM(J24:L24)</f>
        <v>4396.22</v>
      </c>
      <c r="P24" s="174"/>
    </row>
    <row r="25" spans="1:16" x14ac:dyDescent="0.25">
      <c r="A25" s="46" t="s">
        <v>134</v>
      </c>
      <c r="C25" s="96">
        <v>-1236.26</v>
      </c>
      <c r="D25" s="348">
        <f>ROUND(+'EO Cycle 2'!$F44/24+'EO Cycle 2'!$F54/24+'EO Cycle 2'!$F64/24+'EO Cycle 2'!$F74/24,2)</f>
        <v>603.41999999999996</v>
      </c>
      <c r="E25" s="348">
        <f>ROUND(+'EO Cycle 2'!$F44/24+'EO Cycle 2'!$F54/24+'EO Cycle 2'!$F64/24+'EO Cycle 2'!$F74/24,2)</f>
        <v>603.41999999999996</v>
      </c>
      <c r="F25" s="348">
        <f>ROUND(+'EO Cycle 2'!$F44/24+'EO Cycle 2'!$F54/24+'EO Cycle 2'!$F64/24+'EO Cycle 2'!$F74/24,2)</f>
        <v>603.41999999999996</v>
      </c>
      <c r="G25" s="16">
        <f>ROUND(+'EO Cycle 2'!$F54/24+'EO Cycle 2'!$F64/24+'EO Cycle 2'!$F74/24+'EO Cycle 2'!$F84/24,2)</f>
        <v>70.400000000000006</v>
      </c>
      <c r="H25" s="55">
        <f>ROUND(+'EO Cycle 2'!$F54/24+'EO Cycle 2'!$F64/24+'EO Cycle 2'!$F74/24+'EO Cycle 2'!$F84/24,2)</f>
        <v>70.400000000000006</v>
      </c>
      <c r="I25" s="154">
        <f>ROUND(+'EO Cycle 2'!$F54/24+'EO Cycle 2'!$F64/24+'EO Cycle 2'!$F74/24+'EO Cycle 2'!$F84/24,2)</f>
        <v>70.400000000000006</v>
      </c>
      <c r="J25" s="133">
        <f>ROUND(+'EO Cycle 2'!$F54/24+'EO Cycle 2'!$F64/24+'EO Cycle 2'!$F74/24+'EO Cycle 2'!$F84/24,2)</f>
        <v>70.400000000000006</v>
      </c>
      <c r="K25" s="133">
        <f>ROUND(+'EO Cycle 2'!$F54/24+'EO Cycle 2'!$F64/24+'EO Cycle 2'!$F74/24+'EO Cycle 2'!$F84/24,2)</f>
        <v>70.400000000000006</v>
      </c>
      <c r="L25" s="78"/>
      <c r="N25" s="47"/>
      <c r="O25" s="174">
        <f t="shared" si="5"/>
        <v>-140.80000000000001</v>
      </c>
      <c r="P25" s="174"/>
    </row>
    <row r="26" spans="1:16" x14ac:dyDescent="0.25">
      <c r="A26" s="46" t="s">
        <v>135</v>
      </c>
      <c r="C26" s="96">
        <v>-794.68</v>
      </c>
      <c r="D26" s="348">
        <f>ROUND(+'EO Cycle 2'!$F45/24+'EO Cycle 2'!$F55/24+'EO Cycle 2'!$F65/24+'EO Cycle 2'!$F75/24,2)</f>
        <v>375.27</v>
      </c>
      <c r="E26" s="348">
        <f>ROUND(+'EO Cycle 2'!$F45/24+'EO Cycle 2'!$F55/24+'EO Cycle 2'!$F65/24+'EO Cycle 2'!$F75/24,2)</f>
        <v>375.27</v>
      </c>
      <c r="F26" s="348">
        <f>ROUND(+'EO Cycle 2'!$F45/24+'EO Cycle 2'!$F55/24+'EO Cycle 2'!$F65/24+'EO Cycle 2'!$F75/24,2)</f>
        <v>375.27</v>
      </c>
      <c r="G26" s="16">
        <f>ROUND(+'EO Cycle 2'!$F55/24+'EO Cycle 2'!$F65/24+'EO Cycle 2'!$F75/24+'EO Cycle 2'!$F85/24,2)</f>
        <v>35.909999999999997</v>
      </c>
      <c r="H26" s="55">
        <f>ROUND(+'EO Cycle 2'!$F55/24+'EO Cycle 2'!$F65/24+'EO Cycle 2'!$F75/24+'EO Cycle 2'!$F85/24,2)</f>
        <v>35.909999999999997</v>
      </c>
      <c r="I26" s="154">
        <f>ROUND(+'EO Cycle 2'!$F55/24+'EO Cycle 2'!$F65/24+'EO Cycle 2'!$F75/24+'EO Cycle 2'!$F85/24,2)</f>
        <v>35.909999999999997</v>
      </c>
      <c r="J26" s="133">
        <f>ROUND(+'EO Cycle 2'!$F55/24+'EO Cycle 2'!$F65/24+'EO Cycle 2'!$F75/24+'EO Cycle 2'!$F85/24,2)</f>
        <v>35.909999999999997</v>
      </c>
      <c r="K26" s="133">
        <f>ROUND(+'EO Cycle 2'!$F55/24+'EO Cycle 2'!$F65/24+'EO Cycle 2'!$F75/24+'EO Cycle 2'!$F85/24,2)</f>
        <v>35.909999999999997</v>
      </c>
      <c r="L26" s="78"/>
      <c r="N26" s="47"/>
      <c r="O26" s="174">
        <f t="shared" si="5"/>
        <v>-71.819999999999993</v>
      </c>
      <c r="P26" s="174"/>
    </row>
    <row r="27" spans="1:16" x14ac:dyDescent="0.25">
      <c r="A27" s="46" t="s">
        <v>136</v>
      </c>
      <c r="C27" s="96">
        <v>295.3</v>
      </c>
      <c r="D27" s="348">
        <f>ROUND(+'EO Cycle 2'!$F46/24+'EO Cycle 2'!$F56/24+'EO Cycle 2'!$F66/24+'EO Cycle 2'!$F76/24,2)</f>
        <v>-151.74</v>
      </c>
      <c r="E27" s="348">
        <f>ROUND(+'EO Cycle 2'!$F46/24+'EO Cycle 2'!$F56/24+'EO Cycle 2'!$F66/24+'EO Cycle 2'!$F76/24,2)</f>
        <v>-151.74</v>
      </c>
      <c r="F27" s="348">
        <f>ROUND(+'EO Cycle 2'!$F46/24+'EO Cycle 2'!$F56/24+'EO Cycle 2'!$F66/24+'EO Cycle 2'!$F76/24,2)</f>
        <v>-151.74</v>
      </c>
      <c r="G27" s="16">
        <f>ROUND(+'EO Cycle 2'!$F56/24+'EO Cycle 2'!$F66/24+'EO Cycle 2'!$F76/24+'EO Cycle 2'!$F86/24,2)</f>
        <v>-21.49</v>
      </c>
      <c r="H27" s="55">
        <f>ROUND(+'EO Cycle 2'!$F56/24+'EO Cycle 2'!$F66/24+'EO Cycle 2'!$F76/24+'EO Cycle 2'!$F86/24,2)</f>
        <v>-21.49</v>
      </c>
      <c r="I27" s="154">
        <f>ROUND(+'EO Cycle 2'!$F56/24+'EO Cycle 2'!$F66/24+'EO Cycle 2'!$F76/24+'EO Cycle 2'!$F86/24,2)</f>
        <v>-21.49</v>
      </c>
      <c r="J27" s="133">
        <f>ROUND(+'EO Cycle 2'!$F56/24+'EO Cycle 2'!$F66/24+'EO Cycle 2'!$F76/24+'EO Cycle 2'!$F86/24,2)</f>
        <v>-21.49</v>
      </c>
      <c r="K27" s="133">
        <f>ROUND(+'EO Cycle 2'!$F56/24+'EO Cycle 2'!$F66/24+'EO Cycle 2'!$F76/24+'EO Cycle 2'!$F86/24,2)</f>
        <v>-21.49</v>
      </c>
      <c r="L27" s="78"/>
      <c r="N27" s="47"/>
      <c r="O27" s="174">
        <f t="shared" si="5"/>
        <v>42.98</v>
      </c>
      <c r="P27" s="174"/>
    </row>
    <row r="28" spans="1:16" x14ac:dyDescent="0.25">
      <c r="C28" s="98"/>
      <c r="D28" s="18"/>
      <c r="E28" s="18"/>
      <c r="F28" s="18"/>
      <c r="G28" s="90"/>
      <c r="H28" s="18"/>
      <c r="I28" s="155"/>
      <c r="J28" s="56"/>
      <c r="K28" s="56"/>
      <c r="L28" s="13"/>
    </row>
    <row r="29" spans="1:16" ht="15.75" thickBot="1" x14ac:dyDescent="0.3">
      <c r="A29" s="3" t="s">
        <v>14</v>
      </c>
      <c r="B29" s="3"/>
      <c r="C29" s="100">
        <v>-2330.85</v>
      </c>
      <c r="D29" s="126">
        <v>1336.21</v>
      </c>
      <c r="E29" s="126">
        <v>1074.49</v>
      </c>
      <c r="F29" s="127">
        <v>812.26</v>
      </c>
      <c r="G29" s="26">
        <v>637.89</v>
      </c>
      <c r="H29" s="115">
        <v>564.23</v>
      </c>
      <c r="I29" s="159">
        <v>492.11</v>
      </c>
      <c r="J29" s="150">
        <v>423.35</v>
      </c>
      <c r="K29" s="135">
        <v>358.08</v>
      </c>
      <c r="L29" s="81"/>
      <c r="O29" s="174">
        <f t="shared" si="5"/>
        <v>-781.43000000000006</v>
      </c>
    </row>
    <row r="30" spans="1:16" x14ac:dyDescent="0.25">
      <c r="C30" s="64"/>
      <c r="D30" s="139"/>
      <c r="E30" s="139"/>
      <c r="F30" s="140"/>
      <c r="G30" s="64"/>
      <c r="H30" s="33"/>
      <c r="I30" s="160"/>
      <c r="J30" s="34"/>
      <c r="K30" s="34"/>
      <c r="L30" s="60"/>
    </row>
    <row r="31" spans="1:16" x14ac:dyDescent="0.25">
      <c r="A31" s="46" t="s">
        <v>52</v>
      </c>
      <c r="C31" s="65"/>
      <c r="D31" s="140"/>
      <c r="E31" s="140"/>
      <c r="F31" s="140"/>
      <c r="G31" s="65"/>
      <c r="H31" s="35"/>
      <c r="I31" s="161"/>
      <c r="J31" s="34"/>
      <c r="K31" s="34"/>
      <c r="L31" s="60"/>
    </row>
    <row r="32" spans="1:16" x14ac:dyDescent="0.25">
      <c r="A32" s="46" t="s">
        <v>24</v>
      </c>
      <c r="C32" s="99">
        <f t="shared" ref="C32:L32" si="6">C24-C18</f>
        <v>37072.800000000003</v>
      </c>
      <c r="D32" s="41">
        <f t="shared" si="6"/>
        <v>-25131.739999999998</v>
      </c>
      <c r="E32" s="41">
        <f t="shared" si="6"/>
        <v>-22911.42</v>
      </c>
      <c r="F32" s="105">
        <f t="shared" si="6"/>
        <v>-20522.3</v>
      </c>
      <c r="G32" s="40">
        <f t="shared" si="6"/>
        <v>1558.0899999999997</v>
      </c>
      <c r="H32" s="41">
        <f t="shared" si="6"/>
        <v>1442.5899999999997</v>
      </c>
      <c r="I32" s="61">
        <f t="shared" si="6"/>
        <v>318.08999999999969</v>
      </c>
      <c r="J32" s="116">
        <f t="shared" si="6"/>
        <v>135.78999999999996</v>
      </c>
      <c r="K32" s="41">
        <f t="shared" si="6"/>
        <v>1037.5699999999997</v>
      </c>
      <c r="L32" s="61">
        <f t="shared" si="6"/>
        <v>3967</v>
      </c>
    </row>
    <row r="33" spans="1:15" x14ac:dyDescent="0.25">
      <c r="A33" s="46" t="s">
        <v>134</v>
      </c>
      <c r="C33" s="99">
        <f t="shared" ref="C33:L33" si="7">C25-C19</f>
        <v>38038.939999999995</v>
      </c>
      <c r="D33" s="41">
        <f t="shared" si="7"/>
        <v>-10341.950000000001</v>
      </c>
      <c r="E33" s="41">
        <f t="shared" si="7"/>
        <v>-12755.26</v>
      </c>
      <c r="F33" s="105">
        <f t="shared" si="7"/>
        <v>-14283.57</v>
      </c>
      <c r="G33" s="40">
        <f t="shared" si="7"/>
        <v>-6410.27</v>
      </c>
      <c r="H33" s="41">
        <f t="shared" si="7"/>
        <v>-6323.9000000000005</v>
      </c>
      <c r="I33" s="61">
        <f t="shared" si="7"/>
        <v>-5375.39</v>
      </c>
      <c r="J33" s="116">
        <f t="shared" si="7"/>
        <v>-4879.58</v>
      </c>
      <c r="K33" s="41">
        <f t="shared" si="7"/>
        <v>-5033.54</v>
      </c>
      <c r="L33" s="61">
        <f t="shared" si="7"/>
        <v>-5351.51</v>
      </c>
    </row>
    <row r="34" spans="1:15" x14ac:dyDescent="0.25">
      <c r="A34" s="46" t="s">
        <v>135</v>
      </c>
      <c r="C34" s="99">
        <f t="shared" ref="C34:L34" si="8">C26-C20</f>
        <v>40121.67</v>
      </c>
      <c r="D34" s="41">
        <f t="shared" si="8"/>
        <v>-11536.91</v>
      </c>
      <c r="E34" s="41">
        <f t="shared" si="8"/>
        <v>-13208.66</v>
      </c>
      <c r="F34" s="105">
        <f t="shared" si="8"/>
        <v>-14271.71</v>
      </c>
      <c r="G34" s="40">
        <f t="shared" si="8"/>
        <v>-6392.91</v>
      </c>
      <c r="H34" s="41">
        <f t="shared" si="8"/>
        <v>-6391.42</v>
      </c>
      <c r="I34" s="61">
        <f t="shared" si="8"/>
        <v>-5592.2300000000005</v>
      </c>
      <c r="J34" s="116">
        <f t="shared" si="8"/>
        <v>-5268.25</v>
      </c>
      <c r="K34" s="41">
        <f t="shared" si="8"/>
        <v>-5433.2300000000005</v>
      </c>
      <c r="L34" s="61">
        <f t="shared" si="8"/>
        <v>-5734.41</v>
      </c>
    </row>
    <row r="35" spans="1:15" x14ac:dyDescent="0.25">
      <c r="A35" s="46" t="s">
        <v>136</v>
      </c>
      <c r="C35" s="99">
        <f t="shared" ref="C35:L35" si="9">C27-C21</f>
        <v>13982.449999999999</v>
      </c>
      <c r="D35" s="41">
        <f t="shared" si="9"/>
        <v>-4237.72</v>
      </c>
      <c r="E35" s="41">
        <f t="shared" si="9"/>
        <v>-4535.2</v>
      </c>
      <c r="F35" s="105">
        <f t="shared" si="9"/>
        <v>-4807.66</v>
      </c>
      <c r="G35" s="40">
        <f t="shared" si="9"/>
        <v>-2784.5699999999997</v>
      </c>
      <c r="H35" s="41">
        <f t="shared" si="9"/>
        <v>-2688.0299999999997</v>
      </c>
      <c r="I35" s="61">
        <f t="shared" si="9"/>
        <v>-2633.35</v>
      </c>
      <c r="J35" s="116">
        <f t="shared" si="9"/>
        <v>-2387.25</v>
      </c>
      <c r="K35" s="41">
        <f t="shared" si="9"/>
        <v>-2460.8399999999997</v>
      </c>
      <c r="L35" s="61">
        <f t="shared" si="9"/>
        <v>-2557.66</v>
      </c>
    </row>
    <row r="36" spans="1:15" x14ac:dyDescent="0.25">
      <c r="C36" s="98"/>
      <c r="D36" s="17"/>
      <c r="E36" s="17"/>
      <c r="F36" s="17"/>
      <c r="G36" s="10"/>
      <c r="H36" s="17"/>
      <c r="I36" s="11"/>
      <c r="J36" s="17"/>
      <c r="K36" s="17"/>
      <c r="L36" s="11"/>
    </row>
    <row r="37" spans="1:15" ht="15.75" thickBot="1" x14ac:dyDescent="0.3">
      <c r="A37" s="46" t="s">
        <v>53</v>
      </c>
      <c r="C37" s="98"/>
      <c r="D37" s="17"/>
      <c r="E37" s="17"/>
      <c r="F37" s="17"/>
      <c r="G37" s="10"/>
      <c r="H37" s="17"/>
      <c r="I37" s="11"/>
      <c r="J37" s="17"/>
      <c r="K37" s="17"/>
      <c r="L37" s="11"/>
    </row>
    <row r="38" spans="1:15" x14ac:dyDescent="0.25">
      <c r="A38" s="46" t="s">
        <v>24</v>
      </c>
      <c r="B38" s="312">
        <v>-9905.9521800001839</v>
      </c>
      <c r="C38" s="99">
        <f t="shared" ref="C38:L38" si="10">B38+C32+B45</f>
        <v>27166.847819999821</v>
      </c>
      <c r="D38" s="41">
        <f t="shared" si="10"/>
        <v>2007.4978199998229</v>
      </c>
      <c r="E38" s="41">
        <f t="shared" si="10"/>
        <v>-20826.492180000176</v>
      </c>
      <c r="F38" s="105">
        <f t="shared" si="10"/>
        <v>-41399.01218000018</v>
      </c>
      <c r="G38" s="40">
        <f t="shared" si="10"/>
        <v>-40011.882180000182</v>
      </c>
      <c r="H38" s="41">
        <f t="shared" si="10"/>
        <v>-38795.952180000189</v>
      </c>
      <c r="I38" s="61">
        <f t="shared" si="10"/>
        <v>-38697.672180000191</v>
      </c>
      <c r="J38" s="116">
        <f t="shared" si="10"/>
        <v>-38778.24218000019</v>
      </c>
      <c r="K38" s="41">
        <f t="shared" si="10"/>
        <v>-37956.972180000193</v>
      </c>
      <c r="L38" s="61">
        <f t="shared" si="10"/>
        <v>-34204.212180000191</v>
      </c>
    </row>
    <row r="39" spans="1:15" x14ac:dyDescent="0.25">
      <c r="A39" s="46" t="s">
        <v>134</v>
      </c>
      <c r="B39" s="319">
        <v>-424240.28639999975</v>
      </c>
      <c r="C39" s="99">
        <f t="shared" ref="C39:L39" si="11">B39+C33+B46</f>
        <v>-386201.34639999975</v>
      </c>
      <c r="D39" s="41">
        <f t="shared" si="11"/>
        <v>-392459.60639999976</v>
      </c>
      <c r="E39" s="41">
        <f t="shared" si="11"/>
        <v>-407272.45639999979</v>
      </c>
      <c r="F39" s="105">
        <f t="shared" si="11"/>
        <v>-423704.30639999983</v>
      </c>
      <c r="G39" s="40">
        <f t="shared" si="11"/>
        <v>-432401.67639999982</v>
      </c>
      <c r="H39" s="41">
        <f t="shared" si="11"/>
        <v>-441110.49639999983</v>
      </c>
      <c r="I39" s="61">
        <f t="shared" si="11"/>
        <v>-448921.88639999984</v>
      </c>
      <c r="J39" s="116">
        <f t="shared" si="11"/>
        <v>-456286.14639999985</v>
      </c>
      <c r="K39" s="41">
        <f t="shared" si="11"/>
        <v>-463846.74639999983</v>
      </c>
      <c r="L39" s="61">
        <f t="shared" si="11"/>
        <v>-471766.98639999982</v>
      </c>
    </row>
    <row r="40" spans="1:15" x14ac:dyDescent="0.25">
      <c r="A40" s="46" t="s">
        <v>135</v>
      </c>
      <c r="B40" s="319">
        <v>436451.15496000001</v>
      </c>
      <c r="C40" s="99">
        <f t="shared" ref="C40:L40" si="12">B40+C34+B47</f>
        <v>476572.82496</v>
      </c>
      <c r="D40" s="41">
        <f t="shared" si="12"/>
        <v>460267.06496000005</v>
      </c>
      <c r="E40" s="41">
        <f t="shared" si="12"/>
        <v>449534.35496000008</v>
      </c>
      <c r="F40" s="105">
        <f t="shared" si="12"/>
        <v>437706.95496000006</v>
      </c>
      <c r="G40" s="40">
        <f t="shared" si="12"/>
        <v>433756.41496000008</v>
      </c>
      <c r="H40" s="41">
        <f t="shared" si="12"/>
        <v>429793.01496000012</v>
      </c>
      <c r="I40" s="61">
        <f t="shared" si="12"/>
        <v>426609.19496000011</v>
      </c>
      <c r="J40" s="116">
        <f t="shared" si="12"/>
        <v>423731.91496000008</v>
      </c>
      <c r="K40" s="41">
        <f t="shared" si="12"/>
        <v>420672.73496000009</v>
      </c>
      <c r="L40" s="61">
        <f t="shared" si="12"/>
        <v>417295.79496000009</v>
      </c>
    </row>
    <row r="41" spans="1:15" ht="15.75" thickBot="1" x14ac:dyDescent="0.3">
      <c r="A41" s="46" t="s">
        <v>136</v>
      </c>
      <c r="B41" s="313">
        <v>147941.72060000009</v>
      </c>
      <c r="C41" s="99">
        <f t="shared" ref="C41:L41" si="13">B41+C35+B48</f>
        <v>161924.1706000001</v>
      </c>
      <c r="D41" s="41">
        <f t="shared" si="13"/>
        <v>156068.37060000011</v>
      </c>
      <c r="E41" s="41">
        <f t="shared" si="13"/>
        <v>152373.59060000011</v>
      </c>
      <c r="F41" s="105">
        <f t="shared" si="13"/>
        <v>148394.6106000001</v>
      </c>
      <c r="G41" s="40">
        <f t="shared" si="13"/>
        <v>146437.99060000011</v>
      </c>
      <c r="H41" s="41">
        <f t="shared" si="13"/>
        <v>144571.41060000012</v>
      </c>
      <c r="I41" s="61">
        <f t="shared" si="13"/>
        <v>142749.69060000012</v>
      </c>
      <c r="J41" s="116">
        <f t="shared" si="13"/>
        <v>141164.62060000011</v>
      </c>
      <c r="K41" s="41">
        <f t="shared" si="13"/>
        <v>139496.44060000012</v>
      </c>
      <c r="L41" s="61">
        <f t="shared" si="13"/>
        <v>137722.3606000001</v>
      </c>
    </row>
    <row r="42" spans="1:15" x14ac:dyDescent="0.25">
      <c r="C42" s="98"/>
      <c r="D42" s="17"/>
      <c r="E42" s="17"/>
      <c r="F42" s="17"/>
      <c r="G42" s="10"/>
      <c r="H42" s="17"/>
      <c r="I42" s="11"/>
      <c r="J42" s="17"/>
      <c r="K42" s="17"/>
      <c r="L42" s="11"/>
    </row>
    <row r="43" spans="1:15" x14ac:dyDescent="0.25">
      <c r="A43" s="39" t="s">
        <v>88</v>
      </c>
      <c r="B43" s="39"/>
      <c r="C43" s="101"/>
      <c r="D43" s="325">
        <f>+'PCR Cycle 2'!D47</f>
        <v>5.3128000000000003E-3</v>
      </c>
      <c r="E43" s="325">
        <f>+'PCR Cycle 2'!E47</f>
        <v>5.3587000000000001E-3</v>
      </c>
      <c r="F43" s="325">
        <f>+'PCR Cycle 2'!F47</f>
        <v>5.4904100000000003E-3</v>
      </c>
      <c r="G43" s="326">
        <f>+'PCR Cycle 2'!G47</f>
        <v>5.5567100000000003E-3</v>
      </c>
      <c r="H43" s="325">
        <f>+'PCR Cycle 2'!H47</f>
        <v>5.5623000000000001E-3</v>
      </c>
      <c r="I43" s="327">
        <f>+'PCR Cycle 2'!I47</f>
        <v>5.5681000000000003E-3</v>
      </c>
      <c r="J43" s="325">
        <f>+'PCR Cycle 2'!J47</f>
        <v>5.5681000000000003E-3</v>
      </c>
      <c r="K43" s="325">
        <f>+'PCR Cycle 2'!K47</f>
        <v>5.5681000000000003E-3</v>
      </c>
      <c r="L43" s="84"/>
    </row>
    <row r="44" spans="1:15" x14ac:dyDescent="0.25">
      <c r="A44" s="39" t="s">
        <v>37</v>
      </c>
      <c r="B44" s="39"/>
      <c r="C44" s="103"/>
      <c r="D44" s="82"/>
      <c r="E44" s="82"/>
      <c r="F44" s="82"/>
      <c r="G44" s="83"/>
      <c r="H44" s="82"/>
      <c r="I44" s="84"/>
      <c r="J44" s="82"/>
      <c r="K44" s="82"/>
      <c r="L44" s="84"/>
    </row>
    <row r="45" spans="1:15" x14ac:dyDescent="0.25">
      <c r="A45" s="46" t="s">
        <v>24</v>
      </c>
      <c r="C45" s="331">
        <v>-27.609999999999992</v>
      </c>
      <c r="D45" s="41">
        <f t="shared" ref="D45:L45" si="14">ROUND((C38+C45+D32/2)*D$43,2)</f>
        <v>77.430000000000007</v>
      </c>
      <c r="E45" s="41">
        <f t="shared" si="14"/>
        <v>-50.22</v>
      </c>
      <c r="F45" s="105">
        <f t="shared" si="14"/>
        <v>-170.96</v>
      </c>
      <c r="G45" s="40">
        <f t="shared" si="14"/>
        <v>-226.66</v>
      </c>
      <c r="H45" s="116">
        <f t="shared" si="14"/>
        <v>-219.81</v>
      </c>
      <c r="I45" s="49">
        <f t="shared" si="14"/>
        <v>-216.36</v>
      </c>
      <c r="J45" s="151">
        <f t="shared" si="14"/>
        <v>-216.3</v>
      </c>
      <c r="K45" s="105">
        <f t="shared" si="14"/>
        <v>-214.24</v>
      </c>
      <c r="L45" s="61">
        <f t="shared" si="14"/>
        <v>0</v>
      </c>
      <c r="O45" s="174">
        <f t="shared" ref="O45:O48" si="15">-SUM(J45:L45)</f>
        <v>430.54</v>
      </c>
    </row>
    <row r="46" spans="1:15" x14ac:dyDescent="0.25">
      <c r="A46" s="46" t="s">
        <v>134</v>
      </c>
      <c r="C46" s="331">
        <v>4083.69</v>
      </c>
      <c r="D46" s="41">
        <f t="shared" ref="D46:L46" si="16">ROUND((C39+C46+D33/2)*D$43,2)</f>
        <v>-2057.59</v>
      </c>
      <c r="E46" s="41">
        <f t="shared" si="16"/>
        <v>-2148.2800000000002</v>
      </c>
      <c r="F46" s="105">
        <f t="shared" si="16"/>
        <v>-2287.1</v>
      </c>
      <c r="G46" s="40">
        <f t="shared" si="16"/>
        <v>-2384.92</v>
      </c>
      <c r="H46" s="116">
        <f t="shared" si="16"/>
        <v>-2436</v>
      </c>
      <c r="I46" s="49">
        <f t="shared" si="16"/>
        <v>-2484.6799999999998</v>
      </c>
      <c r="J46" s="151">
        <f t="shared" si="16"/>
        <v>-2527.06</v>
      </c>
      <c r="K46" s="105">
        <f t="shared" si="16"/>
        <v>-2568.73</v>
      </c>
      <c r="L46" s="61">
        <f t="shared" si="16"/>
        <v>0</v>
      </c>
      <c r="O46" s="174">
        <f t="shared" si="15"/>
        <v>5095.79</v>
      </c>
    </row>
    <row r="47" spans="1:15" x14ac:dyDescent="0.25">
      <c r="A47" s="46" t="s">
        <v>135</v>
      </c>
      <c r="C47" s="331">
        <v>-4768.8500000000004</v>
      </c>
      <c r="D47" s="41">
        <f t="shared" ref="D47:L47" si="17">ROUND((C40+C47+D34/2)*D$43,2)</f>
        <v>2475.9499999999998</v>
      </c>
      <c r="E47" s="41">
        <f t="shared" si="17"/>
        <v>2444.31</v>
      </c>
      <c r="F47" s="105">
        <f t="shared" si="17"/>
        <v>2442.37</v>
      </c>
      <c r="G47" s="40">
        <f t="shared" si="17"/>
        <v>2428.02</v>
      </c>
      <c r="H47" s="116">
        <f t="shared" si="17"/>
        <v>2408.41</v>
      </c>
      <c r="I47" s="49">
        <f t="shared" si="17"/>
        <v>2390.9699999999998</v>
      </c>
      <c r="J47" s="151">
        <f t="shared" si="17"/>
        <v>2374.0500000000002</v>
      </c>
      <c r="K47" s="105">
        <f t="shared" si="17"/>
        <v>2357.4699999999998</v>
      </c>
      <c r="L47" s="61">
        <f t="shared" si="17"/>
        <v>0</v>
      </c>
      <c r="O47" s="174">
        <f t="shared" si="15"/>
        <v>-4731.5200000000004</v>
      </c>
    </row>
    <row r="48" spans="1:15" ht="15.75" thickBot="1" x14ac:dyDescent="0.3">
      <c r="A48" s="46" t="s">
        <v>136</v>
      </c>
      <c r="C48" s="331">
        <v>-1618.08</v>
      </c>
      <c r="D48" s="41">
        <f t="shared" ref="D48:L48" si="18">ROUND((C41+C48+D35/2)*D$43,2)</f>
        <v>840.42</v>
      </c>
      <c r="E48" s="41">
        <f t="shared" si="18"/>
        <v>828.68</v>
      </c>
      <c r="F48" s="105">
        <f t="shared" si="18"/>
        <v>827.95</v>
      </c>
      <c r="G48" s="40">
        <f t="shared" si="18"/>
        <v>821.45</v>
      </c>
      <c r="H48" s="116">
        <f t="shared" si="18"/>
        <v>811.63</v>
      </c>
      <c r="I48" s="49">
        <f t="shared" si="18"/>
        <v>802.18</v>
      </c>
      <c r="J48" s="151">
        <f t="shared" si="18"/>
        <v>792.66</v>
      </c>
      <c r="K48" s="105">
        <f t="shared" si="18"/>
        <v>783.58</v>
      </c>
      <c r="L48" s="61">
        <f t="shared" si="18"/>
        <v>0</v>
      </c>
      <c r="O48" s="174">
        <f t="shared" si="15"/>
        <v>-1576.24</v>
      </c>
    </row>
    <row r="49" spans="1:12" ht="16.5" thickTop="1" thickBot="1" x14ac:dyDescent="0.3">
      <c r="A49" s="54" t="s">
        <v>22</v>
      </c>
      <c r="B49" s="54"/>
      <c r="C49" s="104">
        <v>0</v>
      </c>
      <c r="D49" s="42">
        <f t="shared" ref="D49:L49" si="19">SUM(D45:D48)+SUM(D38:D41)-D52</f>
        <v>0</v>
      </c>
      <c r="E49" s="42">
        <f t="shared" si="19"/>
        <v>0</v>
      </c>
      <c r="F49" s="50">
        <f t="shared" si="19"/>
        <v>0</v>
      </c>
      <c r="G49" s="137">
        <f t="shared" si="19"/>
        <v>0</v>
      </c>
      <c r="H49" s="50">
        <f t="shared" si="19"/>
        <v>0</v>
      </c>
      <c r="I49" s="62">
        <f t="shared" si="19"/>
        <v>1.1641532182693481E-10</v>
      </c>
      <c r="J49" s="152">
        <f t="shared" si="19"/>
        <v>0</v>
      </c>
      <c r="K49" s="50">
        <f t="shared" si="19"/>
        <v>6.5483618527650833E-11</v>
      </c>
      <c r="L49" s="62">
        <f t="shared" si="19"/>
        <v>6.5483618527650833E-11</v>
      </c>
    </row>
    <row r="50" spans="1:12" ht="16.5" thickTop="1" thickBot="1" x14ac:dyDescent="0.3">
      <c r="A50" s="54" t="s">
        <v>23</v>
      </c>
      <c r="B50" s="54"/>
      <c r="C50" s="104">
        <v>0</v>
      </c>
      <c r="D50" s="42">
        <f t="shared" ref="D50:L50" si="20">SUM(D45:D48)-D29</f>
        <v>0</v>
      </c>
      <c r="E50" s="42">
        <f t="shared" si="20"/>
        <v>0</v>
      </c>
      <c r="F50" s="50">
        <f t="shared" si="20"/>
        <v>0</v>
      </c>
      <c r="G50" s="137">
        <f t="shared" si="20"/>
        <v>0</v>
      </c>
      <c r="H50" s="50">
        <f t="shared" si="20"/>
        <v>0</v>
      </c>
      <c r="I50" s="62">
        <f t="shared" si="20"/>
        <v>0</v>
      </c>
      <c r="J50" s="153">
        <f t="shared" si="20"/>
        <v>0</v>
      </c>
      <c r="K50" s="42">
        <f t="shared" si="20"/>
        <v>0</v>
      </c>
      <c r="L50" s="42">
        <f t="shared" si="20"/>
        <v>0</v>
      </c>
    </row>
    <row r="51" spans="1:12" ht="16.5" thickTop="1" thickBot="1" x14ac:dyDescent="0.3">
      <c r="C51" s="98"/>
      <c r="D51" s="17"/>
      <c r="E51" s="17"/>
      <c r="F51" s="17"/>
      <c r="G51" s="10"/>
      <c r="H51" s="17"/>
      <c r="I51" s="11"/>
      <c r="J51" s="17"/>
      <c r="K51" s="17"/>
      <c r="L51" s="11"/>
    </row>
    <row r="52" spans="1:12" ht="15.75" thickBot="1" x14ac:dyDescent="0.3">
      <c r="A52" s="46" t="s">
        <v>36</v>
      </c>
      <c r="B52" s="113">
        <f>SUM(B38:B41)</f>
        <v>150246.63698000016</v>
      </c>
      <c r="C52" s="99">
        <f t="shared" ref="C52:L52" si="21">(C15-SUM(C18:C21))+SUM(C45:C48)+B52</f>
        <v>277131.64698000014</v>
      </c>
      <c r="D52" s="41">
        <f t="shared" si="21"/>
        <v>227219.53698000012</v>
      </c>
      <c r="E52" s="41">
        <f t="shared" si="21"/>
        <v>174883.4869800001</v>
      </c>
      <c r="F52" s="105">
        <f t="shared" si="21"/>
        <v>121810.50698000011</v>
      </c>
      <c r="G52" s="40">
        <f t="shared" si="21"/>
        <v>108418.7369800001</v>
      </c>
      <c r="H52" s="41">
        <f t="shared" si="21"/>
        <v>95022.206980000105</v>
      </c>
      <c r="I52" s="61">
        <f t="shared" si="21"/>
        <v>82231.4369800001</v>
      </c>
      <c r="J52" s="151">
        <f t="shared" si="21"/>
        <v>70255.496980000098</v>
      </c>
      <c r="K52" s="105">
        <f t="shared" si="21"/>
        <v>58723.536980000099</v>
      </c>
      <c r="L52" s="61">
        <f t="shared" si="21"/>
        <v>49046.956980000097</v>
      </c>
    </row>
    <row r="53" spans="1:12" x14ac:dyDescent="0.25">
      <c r="A53" s="46" t="s">
        <v>12</v>
      </c>
      <c r="C53" s="114"/>
      <c r="D53" s="17"/>
      <c r="E53" s="17"/>
      <c r="F53" s="17"/>
      <c r="G53" s="10"/>
      <c r="H53" s="17"/>
      <c r="I53" s="11"/>
      <c r="J53" s="17"/>
      <c r="K53" s="17"/>
      <c r="L53" s="11"/>
    </row>
    <row r="54" spans="1:12" ht="15.75" thickBot="1" x14ac:dyDescent="0.3">
      <c r="A54" s="37"/>
      <c r="B54" s="37"/>
      <c r="C54" s="138"/>
      <c r="D54" s="44"/>
      <c r="E54" s="44"/>
      <c r="F54" s="44"/>
      <c r="G54" s="43"/>
      <c r="H54" s="44"/>
      <c r="I54" s="45"/>
      <c r="J54" s="44"/>
      <c r="K54" s="44"/>
      <c r="L54" s="45"/>
    </row>
    <row r="56" spans="1:12" x14ac:dyDescent="0.25">
      <c r="A56" s="69" t="s">
        <v>11</v>
      </c>
      <c r="B56" s="69"/>
      <c r="C56" s="69"/>
    </row>
    <row r="57" spans="1:12" ht="31.5" customHeight="1" x14ac:dyDescent="0.25">
      <c r="A57" s="362" t="s">
        <v>155</v>
      </c>
      <c r="B57" s="362"/>
      <c r="C57" s="362"/>
      <c r="D57" s="362"/>
      <c r="E57" s="362"/>
      <c r="F57" s="362"/>
      <c r="G57" s="362"/>
      <c r="H57" s="362"/>
      <c r="I57" s="362"/>
      <c r="J57" s="217"/>
      <c r="K57" s="217"/>
      <c r="L57" s="217"/>
    </row>
    <row r="58" spans="1:12" ht="57" customHeight="1" x14ac:dyDescent="0.25">
      <c r="A58" s="362" t="s">
        <v>267</v>
      </c>
      <c r="B58" s="362"/>
      <c r="C58" s="362"/>
      <c r="D58" s="362"/>
      <c r="E58" s="362"/>
      <c r="F58" s="362"/>
      <c r="G58" s="362"/>
      <c r="H58" s="362"/>
      <c r="I58" s="362"/>
      <c r="J58" s="217"/>
      <c r="K58" s="217"/>
    </row>
    <row r="59" spans="1:12" ht="18.75" customHeight="1" x14ac:dyDescent="0.25">
      <c r="A59" s="362" t="s">
        <v>187</v>
      </c>
      <c r="B59" s="362"/>
      <c r="C59" s="362"/>
      <c r="D59" s="362"/>
      <c r="E59" s="362"/>
      <c r="F59" s="362"/>
      <c r="G59" s="362"/>
      <c r="H59" s="362"/>
      <c r="I59" s="362"/>
      <c r="J59" s="217"/>
      <c r="K59" s="217"/>
      <c r="L59" s="217"/>
    </row>
    <row r="60" spans="1:12" x14ac:dyDescent="0.25">
      <c r="A60" s="63" t="s">
        <v>31</v>
      </c>
      <c r="B60" s="63"/>
      <c r="C60" s="63"/>
      <c r="D60" s="39"/>
      <c r="E60" s="39"/>
      <c r="F60" s="39"/>
      <c r="G60" s="39"/>
      <c r="H60" s="39"/>
      <c r="I60" s="39"/>
    </row>
    <row r="61" spans="1:12" x14ac:dyDescent="0.25">
      <c r="A61" s="63" t="s">
        <v>240</v>
      </c>
      <c r="B61" s="63"/>
      <c r="C61" s="63"/>
      <c r="D61" s="39"/>
      <c r="E61" s="39"/>
      <c r="F61" s="39"/>
      <c r="G61" s="39"/>
      <c r="H61" s="39"/>
      <c r="I61" s="39"/>
    </row>
    <row r="62" spans="1:12" x14ac:dyDescent="0.25">
      <c r="A62" s="63" t="s">
        <v>95</v>
      </c>
      <c r="B62" s="63"/>
      <c r="C62" s="63"/>
      <c r="D62" s="39"/>
      <c r="E62" s="39"/>
      <c r="F62" s="39"/>
      <c r="G62" s="39"/>
      <c r="H62" s="39"/>
      <c r="I62" s="39"/>
    </row>
    <row r="63" spans="1:12" x14ac:dyDescent="0.25">
      <c r="A63" s="3" t="s">
        <v>182</v>
      </c>
      <c r="B63" s="3"/>
      <c r="C63" s="3"/>
    </row>
  </sheetData>
  <mergeCells count="6">
    <mergeCell ref="A59:I59"/>
    <mergeCell ref="D13:F13"/>
    <mergeCell ref="G13:I13"/>
    <mergeCell ref="J13:L13"/>
    <mergeCell ref="A57:I57"/>
    <mergeCell ref="A58:I58"/>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D152-8B9E-41F1-8D17-EEF361E7FE19}">
  <sheetPr>
    <pageSetUpPr fitToPage="1"/>
  </sheetPr>
  <dimension ref="A1:AI60"/>
  <sheetViews>
    <sheetView workbookViewId="0">
      <selection activeCell="L4" sqref="L4"/>
    </sheetView>
  </sheetViews>
  <sheetFormatPr defaultColWidth="9.140625" defaultRowHeight="15" outlineLevelCol="1" x14ac:dyDescent="0.25"/>
  <cols>
    <col min="1" max="1" width="37.7109375" style="46" customWidth="1"/>
    <col min="2" max="2" width="12.28515625" style="46" bestFit="1" customWidth="1"/>
    <col min="3" max="3" width="12.42578125" style="46" bestFit="1" customWidth="1"/>
    <col min="4" max="4" width="15.42578125" style="46" customWidth="1"/>
    <col min="5" max="5" width="15.85546875" style="46" bestFit="1" customWidth="1"/>
    <col min="6" max="6" width="12.28515625" style="46" bestFit="1" customWidth="1"/>
    <col min="7" max="8" width="13.28515625" style="46" bestFit="1" customWidth="1"/>
    <col min="9" max="9" width="12.28515625" style="46" bestFit="1" customWidth="1"/>
    <col min="10" max="10" width="12.5703125" style="46" customWidth="1"/>
    <col min="11" max="11" width="12.85546875" style="46" customWidth="1"/>
    <col min="12" max="12" width="16" style="46" customWidth="1"/>
    <col min="13" max="13" width="15" style="46" bestFit="1" customWidth="1"/>
    <col min="14" max="14" width="16" style="46" bestFit="1" customWidth="1"/>
    <col min="15" max="15" width="17.85546875" style="174" customWidth="1" outlineLevel="1"/>
    <col min="16" max="16" width="15.28515625" style="46" bestFit="1" customWidth="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Missouri West, Inc. - DSIM Rider Update Filed 12/01/2023</v>
      </c>
      <c r="B1" s="3"/>
      <c r="C1" s="3"/>
    </row>
    <row r="2" spans="1:35" x14ac:dyDescent="0.25">
      <c r="D2" s="3" t="s">
        <v>164</v>
      </c>
    </row>
    <row r="3" spans="1:35" ht="30" x14ac:dyDescent="0.25">
      <c r="D3" s="48" t="s">
        <v>46</v>
      </c>
      <c r="E3" s="70" t="s">
        <v>58</v>
      </c>
      <c r="F3" s="48" t="s">
        <v>3</v>
      </c>
      <c r="G3" s="70" t="s">
        <v>55</v>
      </c>
      <c r="H3" s="48" t="s">
        <v>10</v>
      </c>
      <c r="I3" s="48" t="s">
        <v>59</v>
      </c>
      <c r="S3" s="48"/>
    </row>
    <row r="4" spans="1:35" x14ac:dyDescent="0.25">
      <c r="A4" s="20" t="s">
        <v>24</v>
      </c>
      <c r="B4" s="20"/>
      <c r="C4" s="20"/>
      <c r="D4" s="22">
        <f>SUM(C15:L15)</f>
        <v>953620.58000000007</v>
      </c>
      <c r="E4" s="22">
        <f>SUM(C21:K21)</f>
        <v>740846.02</v>
      </c>
      <c r="F4" s="22">
        <f>E4-D4</f>
        <v>-212774.56000000006</v>
      </c>
      <c r="G4" s="22">
        <f>+B35</f>
        <v>221100.75999999989</v>
      </c>
      <c r="H4" s="22">
        <f>SUM(C42:K42)</f>
        <v>6868.0599999999995</v>
      </c>
      <c r="I4" s="25">
        <f>SUM(F4:H4)</f>
        <v>15194.259999999837</v>
      </c>
      <c r="J4" s="47">
        <f>+I4-L35</f>
        <v>-8.3673512563109398E-11</v>
      </c>
      <c r="M4" s="47"/>
    </row>
    <row r="5" spans="1:35" x14ac:dyDescent="0.25">
      <c r="A5" s="20" t="s">
        <v>107</v>
      </c>
      <c r="B5" s="20"/>
      <c r="C5" s="20"/>
      <c r="D5" s="22">
        <f t="shared" ref="D5:D7" si="0">SUM(C16:L16)</f>
        <v>134755.28000000003</v>
      </c>
      <c r="E5" s="22">
        <f t="shared" ref="E5:E7" si="1">SUM(C22:K22)</f>
        <v>111579.15</v>
      </c>
      <c r="F5" s="22">
        <f t="shared" ref="F5:F7" si="2">E5-D5</f>
        <v>-23176.130000000034</v>
      </c>
      <c r="G5" s="22">
        <f t="shared" ref="G5:G7" si="3">+B36</f>
        <v>24678.260000000002</v>
      </c>
      <c r="H5" s="22">
        <f t="shared" ref="H5:H7" si="4">SUM(C43:K43)</f>
        <v>803.29</v>
      </c>
      <c r="I5" s="25">
        <f t="shared" ref="I5:I7" si="5">SUM(F5:H5)</f>
        <v>2305.4199999999682</v>
      </c>
      <c r="J5" s="47">
        <f>+I5-L36</f>
        <v>-2.319211489520967E-11</v>
      </c>
      <c r="M5" s="47"/>
    </row>
    <row r="6" spans="1:35" x14ac:dyDescent="0.25">
      <c r="A6" s="20" t="s">
        <v>108</v>
      </c>
      <c r="B6" s="20"/>
      <c r="C6" s="20"/>
      <c r="D6" s="22">
        <f t="shared" si="0"/>
        <v>273756.2</v>
      </c>
      <c r="E6" s="22">
        <f t="shared" si="1"/>
        <v>220752.20999999996</v>
      </c>
      <c r="F6" s="22">
        <f t="shared" si="2"/>
        <v>-53003.990000000049</v>
      </c>
      <c r="G6" s="22">
        <f t="shared" si="3"/>
        <v>41467.87999999999</v>
      </c>
      <c r="H6" s="22">
        <f t="shared" si="4"/>
        <v>1227.29</v>
      </c>
      <c r="I6" s="25">
        <f t="shared" si="5"/>
        <v>-10308.820000000058</v>
      </c>
      <c r="J6" s="47">
        <f>+I6-L37</f>
        <v>-4.3655745685100555E-11</v>
      </c>
      <c r="M6" s="47"/>
    </row>
    <row r="7" spans="1:35" ht="15.75" thickBot="1" x14ac:dyDescent="0.3">
      <c r="A7" s="20" t="s">
        <v>109</v>
      </c>
      <c r="B7" s="20"/>
      <c r="C7" s="20"/>
      <c r="D7" s="22">
        <f t="shared" si="0"/>
        <v>118188.07999999999</v>
      </c>
      <c r="E7" s="22">
        <f t="shared" si="1"/>
        <v>85990.51</v>
      </c>
      <c r="F7" s="22">
        <f t="shared" si="2"/>
        <v>-32197.569999999992</v>
      </c>
      <c r="G7" s="22">
        <f t="shared" si="3"/>
        <v>55623.189999999988</v>
      </c>
      <c r="H7" s="22">
        <f t="shared" si="4"/>
        <v>1725.4900000000002</v>
      </c>
      <c r="I7" s="25">
        <f t="shared" si="5"/>
        <v>25151.109999999997</v>
      </c>
      <c r="J7" s="47">
        <f>+I7-L38</f>
        <v>0</v>
      </c>
      <c r="M7" s="47"/>
    </row>
    <row r="8" spans="1:35" ht="16.5" thickTop="1" thickBot="1" x14ac:dyDescent="0.3">
      <c r="D8" s="27">
        <f t="shared" ref="D8:I8" si="6">SUM(D4:D7)</f>
        <v>1480320.1400000001</v>
      </c>
      <c r="E8" s="27">
        <f t="shared" si="6"/>
        <v>1159167.8899999999</v>
      </c>
      <c r="F8" s="27">
        <f t="shared" si="6"/>
        <v>-321152.25000000017</v>
      </c>
      <c r="G8" s="27">
        <f t="shared" si="6"/>
        <v>342870.08999999991</v>
      </c>
      <c r="H8" s="27">
        <f t="shared" si="6"/>
        <v>10624.13</v>
      </c>
      <c r="I8" s="27">
        <f t="shared" si="6"/>
        <v>32341.969999999743</v>
      </c>
      <c r="T8" s="5"/>
    </row>
    <row r="9" spans="1:35" ht="16.5" thickTop="1" thickBot="1" x14ac:dyDescent="0.3">
      <c r="V9" s="4"/>
      <c r="W9" s="5"/>
    </row>
    <row r="10" spans="1:35" ht="105.75" thickBot="1" x14ac:dyDescent="0.3">
      <c r="B10" s="112" t="str">
        <f>+'PCR Cycle 2'!B13</f>
        <v>Cumulative Over/Under Carryover From 06/01/2023 Filing</v>
      </c>
      <c r="C10" s="143" t="str">
        <f>+'PCR Cycle 2'!C13</f>
        <v>Reverse May 2023 - July 2023 Forecast From 06/01/2023 Filing</v>
      </c>
      <c r="D10" s="375" t="s">
        <v>33</v>
      </c>
      <c r="E10" s="363"/>
      <c r="F10" s="364"/>
      <c r="G10" s="372" t="s">
        <v>33</v>
      </c>
      <c r="H10" s="373"/>
      <c r="I10" s="374"/>
      <c r="J10" s="359" t="s">
        <v>8</v>
      </c>
      <c r="K10" s="360"/>
      <c r="L10" s="361"/>
      <c r="O10" s="281" t="s">
        <v>247</v>
      </c>
    </row>
    <row r="11" spans="1:35" x14ac:dyDescent="0.25">
      <c r="A11" s="46" t="s">
        <v>86</v>
      </c>
      <c r="C11" s="102"/>
      <c r="D11" s="19">
        <f>+'PCR Cycle 2'!D14</f>
        <v>45077</v>
      </c>
      <c r="E11" s="19">
        <f t="shared" ref="E11:L11" si="7">EOMONTH(D11,1)</f>
        <v>45107</v>
      </c>
      <c r="F11" s="19">
        <f t="shared" si="7"/>
        <v>45138</v>
      </c>
      <c r="G11" s="14">
        <f t="shared" si="7"/>
        <v>45169</v>
      </c>
      <c r="H11" s="19">
        <f t="shared" si="7"/>
        <v>45199</v>
      </c>
      <c r="I11" s="15">
        <f t="shared" si="7"/>
        <v>45230</v>
      </c>
      <c r="J11" s="19">
        <f t="shared" si="7"/>
        <v>45260</v>
      </c>
      <c r="K11" s="19">
        <f t="shared" si="7"/>
        <v>45291</v>
      </c>
      <c r="L11" s="15">
        <f t="shared" si="7"/>
        <v>45322</v>
      </c>
      <c r="Z11" s="1"/>
      <c r="AA11" s="1"/>
      <c r="AB11" s="1"/>
      <c r="AC11" s="1"/>
      <c r="AD11" s="1"/>
      <c r="AE11" s="1"/>
      <c r="AF11" s="1"/>
      <c r="AG11" s="1"/>
      <c r="AH11" s="1"/>
      <c r="AI11" s="1"/>
    </row>
    <row r="12" spans="1:35" x14ac:dyDescent="0.25">
      <c r="A12" s="46" t="s">
        <v>5</v>
      </c>
      <c r="C12" s="96">
        <v>-18871.32</v>
      </c>
      <c r="D12" s="106">
        <f t="shared" ref="D12:K12" si="8">SUM(D21:D24)</f>
        <v>9438.369999999999</v>
      </c>
      <c r="E12" s="106">
        <f t="shared" si="8"/>
        <v>9438.369999999999</v>
      </c>
      <c r="F12" s="107">
        <f t="shared" si="8"/>
        <v>9438.369999999999</v>
      </c>
      <c r="G12" s="16">
        <f t="shared" si="8"/>
        <v>229944.82</v>
      </c>
      <c r="H12" s="55">
        <f t="shared" si="8"/>
        <v>229944.82</v>
      </c>
      <c r="I12" s="154">
        <f t="shared" si="8"/>
        <v>229944.82</v>
      </c>
      <c r="J12" s="147">
        <f t="shared" si="8"/>
        <v>229944.82</v>
      </c>
      <c r="K12" s="77">
        <f t="shared" si="8"/>
        <v>229944.82</v>
      </c>
      <c r="L12" s="78"/>
      <c r="O12" s="174">
        <f>-SUM(J12:L12)</f>
        <v>-459889.64</v>
      </c>
    </row>
    <row r="13" spans="1:35" x14ac:dyDescent="0.25">
      <c r="C13" s="98"/>
      <c r="D13" s="17"/>
      <c r="E13" s="17"/>
      <c r="F13" s="17"/>
      <c r="G13" s="10"/>
      <c r="H13" s="17"/>
      <c r="I13" s="11"/>
      <c r="J13" s="31"/>
      <c r="K13" s="31"/>
      <c r="L13" s="29"/>
    </row>
    <row r="14" spans="1:35" x14ac:dyDescent="0.25">
      <c r="A14" s="46" t="s">
        <v>87</v>
      </c>
      <c r="C14" s="98"/>
      <c r="D14" s="18"/>
      <c r="E14" s="18"/>
      <c r="F14" s="18"/>
      <c r="G14" s="90"/>
      <c r="H14" s="18"/>
      <c r="I14" s="155"/>
      <c r="J14" s="31"/>
      <c r="K14" s="31"/>
      <c r="L14" s="29"/>
      <c r="M14" s="3" t="s">
        <v>50</v>
      </c>
      <c r="N14" s="39"/>
    </row>
    <row r="15" spans="1:35" x14ac:dyDescent="0.25">
      <c r="A15" s="46" t="s">
        <v>24</v>
      </c>
      <c r="C15" s="96">
        <v>-110704.28</v>
      </c>
      <c r="D15" s="126">
        <f>ROUND('[4]May 2023'!$G104,2)</f>
        <v>27483.07</v>
      </c>
      <c r="E15" s="126">
        <f>ROUND('[4]June 2023'!$G104,2)</f>
        <v>37128.68</v>
      </c>
      <c r="F15" s="126">
        <f>ROUND('[4]July 2023'!$G104,2)</f>
        <v>47455.01</v>
      </c>
      <c r="G15" s="16">
        <f>ROUND('[4]August 2023'!$G104,2)</f>
        <v>183440.07</v>
      </c>
      <c r="H15" s="55">
        <f>ROUND('[4]September 2023'!$G104,2)</f>
        <v>178235.24</v>
      </c>
      <c r="I15" s="154">
        <f>ROUND('[4]October 2023'!$G104,2)</f>
        <v>123290.55</v>
      </c>
      <c r="J15" s="116">
        <f>ROUND('PCR Cycle 2'!J26*$M15,2)</f>
        <v>114361.24</v>
      </c>
      <c r="K15" s="41">
        <f>ROUND('PCR Cycle 2'!K26*$M15,2)</f>
        <v>158548.23000000001</v>
      </c>
      <c r="L15" s="61">
        <f>ROUND('PCR Cycle 2'!L26*$M15,2)</f>
        <v>194382.77</v>
      </c>
      <c r="M15" s="72">
        <v>4.8999999999999998E-4</v>
      </c>
      <c r="N15" s="4"/>
      <c r="O15" s="174">
        <f t="shared" ref="O15:O18" si="9">-SUM(J15:L15)</f>
        <v>-467292.24</v>
      </c>
    </row>
    <row r="16" spans="1:35" x14ac:dyDescent="0.25">
      <c r="A16" s="46" t="s">
        <v>134</v>
      </c>
      <c r="C16" s="96">
        <v>-26183.46</v>
      </c>
      <c r="D16" s="126">
        <f>ROUND('[4]May 2023'!$G105,2)</f>
        <v>7298.97</v>
      </c>
      <c r="E16" s="126">
        <f>ROUND('[4]June 2023'!$G105,2)</f>
        <v>8838.43</v>
      </c>
      <c r="F16" s="126">
        <f>ROUND('[4]July 2023'!$G105,2)</f>
        <v>9964.0499999999993</v>
      </c>
      <c r="G16" s="16">
        <f>ROUND('[4]August 2023'!$G105,2)</f>
        <v>25938.720000000001</v>
      </c>
      <c r="H16" s="55">
        <f>ROUND('[4]September 2023'!$G105,2)</f>
        <v>25491.73</v>
      </c>
      <c r="I16" s="154">
        <f>ROUND('[4]October 2023'!$G105,2)</f>
        <v>21785.11</v>
      </c>
      <c r="J16" s="116">
        <f>ROUND('PCR Cycle 2'!J27*$M16,2)</f>
        <v>19799.93</v>
      </c>
      <c r="K16" s="41">
        <f>ROUND('PCR Cycle 2'!K27*$M16,2)</f>
        <v>20415.77</v>
      </c>
      <c r="L16" s="61">
        <f>ROUND('PCR Cycle 2'!L27*$M16,2)</f>
        <v>21406.03</v>
      </c>
      <c r="M16" s="72">
        <v>2.0000000000000001E-4</v>
      </c>
      <c r="N16" s="4"/>
      <c r="O16" s="174">
        <f t="shared" si="9"/>
        <v>-61621.729999999996</v>
      </c>
    </row>
    <row r="17" spans="1:15" x14ac:dyDescent="0.25">
      <c r="A17" s="46" t="s">
        <v>135</v>
      </c>
      <c r="C17" s="96">
        <v>-26303.369999999995</v>
      </c>
      <c r="D17" s="126">
        <f>ROUND('[4]May 2023'!$G106,2)</f>
        <v>7660.2</v>
      </c>
      <c r="E17" s="126">
        <f>ROUND('[4]June 2023'!$G106,2)</f>
        <v>8734.2099999999991</v>
      </c>
      <c r="F17" s="126">
        <f>ROUND('[4]July 2023'!$G106,2)</f>
        <v>9418.89</v>
      </c>
      <c r="G17" s="16">
        <f>ROUND('[4]August 2023'!$G106,2)</f>
        <v>50444.56</v>
      </c>
      <c r="H17" s="55">
        <f>ROUND('[4]September 2023'!$G106,2)</f>
        <v>50397.68</v>
      </c>
      <c r="I17" s="154">
        <f>ROUND('[4]October 2023'!$G106,2)</f>
        <v>44093.64</v>
      </c>
      <c r="J17" s="116">
        <f>ROUND('PCR Cycle 2'!J28*$M17,2)</f>
        <v>41549.25</v>
      </c>
      <c r="K17" s="41">
        <f>ROUND('PCR Cycle 2'!K28*$M17,2)</f>
        <v>42841.56</v>
      </c>
      <c r="L17" s="61">
        <f>ROUND('PCR Cycle 2'!L28*$M17,2)</f>
        <v>44919.58</v>
      </c>
      <c r="M17" s="72">
        <v>4.7000000000000004E-4</v>
      </c>
      <c r="N17" s="4"/>
      <c r="O17" s="174">
        <f t="shared" si="9"/>
        <v>-129310.39</v>
      </c>
    </row>
    <row r="18" spans="1:15" x14ac:dyDescent="0.25">
      <c r="A18" s="46" t="s">
        <v>136</v>
      </c>
      <c r="C18" s="96">
        <v>-17597.75</v>
      </c>
      <c r="D18" s="126">
        <f>ROUND('[4]May 2023'!$G107,2)</f>
        <v>5255.02</v>
      </c>
      <c r="E18" s="126">
        <f>ROUND('[4]June 2023'!$G107,2)</f>
        <v>5636.96</v>
      </c>
      <c r="F18" s="126">
        <f>ROUND('[4]July 2023'!$G107,2)</f>
        <v>5988.08</v>
      </c>
      <c r="G18" s="16">
        <f>ROUND('[4]August 2023'!$G107,2)</f>
        <v>20992.58</v>
      </c>
      <c r="H18" s="55">
        <f>ROUND('[4]September 2023'!$G107,2)</f>
        <v>20606.78</v>
      </c>
      <c r="I18" s="154">
        <f>ROUND('[4]October 2023'!$G107,2)</f>
        <v>20244.919999999998</v>
      </c>
      <c r="J18" s="116">
        <f>ROUND('PCR Cycle 2'!J29*$M18,2)</f>
        <v>18334.66</v>
      </c>
      <c r="K18" s="41">
        <f>ROUND('PCR Cycle 2'!K29*$M18,2)</f>
        <v>18904.93</v>
      </c>
      <c r="L18" s="61">
        <f>ROUND('PCR Cycle 2'!L29*$M18,2)</f>
        <v>19821.900000000001</v>
      </c>
      <c r="M18" s="72">
        <v>3.1E-4</v>
      </c>
      <c r="N18" s="4"/>
      <c r="O18" s="174">
        <f t="shared" si="9"/>
        <v>-57061.49</v>
      </c>
    </row>
    <row r="19" spans="1:15" x14ac:dyDescent="0.25">
      <c r="C19" s="67"/>
      <c r="D19" s="68"/>
      <c r="E19" s="68"/>
      <c r="F19" s="68"/>
      <c r="G19" s="67"/>
      <c r="H19" s="68"/>
      <c r="I19" s="156"/>
      <c r="J19" s="56"/>
      <c r="K19" s="56"/>
      <c r="L19" s="13"/>
      <c r="N19" s="4"/>
    </row>
    <row r="20" spans="1:15" x14ac:dyDescent="0.25">
      <c r="A20" s="46" t="s">
        <v>89</v>
      </c>
      <c r="C20" s="36"/>
      <c r="D20" s="37"/>
      <c r="E20" s="37"/>
      <c r="F20" s="37"/>
      <c r="G20" s="36"/>
      <c r="H20" s="37"/>
      <c r="I20" s="158"/>
      <c r="J20" s="52"/>
      <c r="K20" s="52"/>
      <c r="L20" s="38"/>
    </row>
    <row r="21" spans="1:15" x14ac:dyDescent="0.25">
      <c r="A21" s="46" t="s">
        <v>24</v>
      </c>
      <c r="C21" s="96">
        <v>-11637.26</v>
      </c>
      <c r="D21" s="106">
        <f>ROUND((+'EO Cycle 3'!$F29/12+'EO Cycle 3'!$F40/12),2)</f>
        <v>5820.21</v>
      </c>
      <c r="E21" s="106">
        <f>ROUND((+'EO Cycle 3'!$F29/12+'EO Cycle 3'!$F40/12),2)</f>
        <v>5820.21</v>
      </c>
      <c r="F21" s="106">
        <f>ROUND((+'EO Cycle 3'!$F29/12+'EO Cycle 3'!$F40/12),2)</f>
        <v>5820.21</v>
      </c>
      <c r="G21" s="16">
        <f>ROUND((+'EO Cycle 3'!$F40/12+'EO Cycle 3'!$F62/12),2)</f>
        <v>147004.53</v>
      </c>
      <c r="H21" s="55">
        <f>ROUND((+'EO Cycle 3'!$F40/12+'EO Cycle 3'!$F62/12),2)</f>
        <v>147004.53</v>
      </c>
      <c r="I21" s="154">
        <f>ROUND((+'EO Cycle 3'!$F40/12+'EO Cycle 3'!$F62/12),2)</f>
        <v>147004.53</v>
      </c>
      <c r="J21" s="133">
        <f>ROUND((+'EO Cycle 3'!$F40/12+'EO Cycle 3'!$F62/12),2)</f>
        <v>147004.53</v>
      </c>
      <c r="K21" s="133">
        <f>ROUND((+'EO Cycle 3'!$F40/12+'EO Cycle 3'!$F62/12),2)</f>
        <v>147004.53</v>
      </c>
      <c r="L21" s="78"/>
      <c r="O21" s="174">
        <f t="shared" ref="O21:O26" si="10">-SUM(J21:L21)</f>
        <v>-294009.06</v>
      </c>
    </row>
    <row r="22" spans="1:15" x14ac:dyDescent="0.25">
      <c r="A22" s="46" t="s">
        <v>134</v>
      </c>
      <c r="C22" s="96">
        <v>-4894.24</v>
      </c>
      <c r="D22" s="106">
        <f>ROUND((+'EO Cycle 3'!$F33/12+'EO Cycle 3'!$F44/12),2)</f>
        <v>2447.9299999999998</v>
      </c>
      <c r="E22" s="106">
        <f>ROUND((+'EO Cycle 3'!$F33/12+'EO Cycle 3'!$F44/12),2)</f>
        <v>2447.9299999999998</v>
      </c>
      <c r="F22" s="106">
        <f>ROUND((+'EO Cycle 3'!$F33/12+'EO Cycle 3'!$F44/12),2)</f>
        <v>2447.9299999999998</v>
      </c>
      <c r="G22" s="16">
        <f>ROUND((+'EO Cycle 3'!$F44/12+'EO Cycle 3'!$F66/12),2)</f>
        <v>21825.919999999998</v>
      </c>
      <c r="H22" s="55">
        <f>ROUND((+'EO Cycle 3'!$F44/12+'EO Cycle 3'!$F66/12),2)</f>
        <v>21825.919999999998</v>
      </c>
      <c r="I22" s="154">
        <f>ROUND((+'EO Cycle 3'!$F44/12+'EO Cycle 3'!$F66/12),2)</f>
        <v>21825.919999999998</v>
      </c>
      <c r="J22" s="133">
        <f>ROUND((+'EO Cycle 3'!$F44/12+'EO Cycle 3'!$F66/12),2)</f>
        <v>21825.919999999998</v>
      </c>
      <c r="K22" s="133">
        <f>ROUND((+'EO Cycle 3'!$F44/12+'EO Cycle 3'!$F66/12),2)</f>
        <v>21825.919999999998</v>
      </c>
      <c r="L22" s="78"/>
      <c r="O22" s="174">
        <f t="shared" si="10"/>
        <v>-43651.839999999997</v>
      </c>
    </row>
    <row r="23" spans="1:15" x14ac:dyDescent="0.25">
      <c r="A23" s="46" t="s">
        <v>135</v>
      </c>
      <c r="C23" s="96">
        <v>-2095.6799999999998</v>
      </c>
      <c r="D23" s="106">
        <f>ROUND((+'EO Cycle 3'!$F34/12+'EO Cycle 3'!$F45/12),2)</f>
        <v>1048.18</v>
      </c>
      <c r="E23" s="106">
        <f>ROUND((+'EO Cycle 3'!$F34/12+'EO Cycle 3'!$F45/12),2)</f>
        <v>1048.18</v>
      </c>
      <c r="F23" s="106">
        <f>ROUND((+'EO Cycle 3'!$F34/12+'EO Cycle 3'!$F45/12),2)</f>
        <v>1048.18</v>
      </c>
      <c r="G23" s="16">
        <f>ROUND((+'EO Cycle 3'!$F45/12+'EO Cycle 3'!$F67/12),2)</f>
        <v>43940.67</v>
      </c>
      <c r="H23" s="55">
        <f>ROUND((+'EO Cycle 3'!$F45/12+'EO Cycle 3'!$F67/12),2)</f>
        <v>43940.67</v>
      </c>
      <c r="I23" s="154">
        <f>ROUND((+'EO Cycle 3'!$F45/12+'EO Cycle 3'!$F67/12),2)</f>
        <v>43940.67</v>
      </c>
      <c r="J23" s="133">
        <f>ROUND((+'EO Cycle 3'!$F45/12+'EO Cycle 3'!$F67/12),2)</f>
        <v>43940.67</v>
      </c>
      <c r="K23" s="133">
        <f>ROUND((+'EO Cycle 3'!$F45/12+'EO Cycle 3'!$F67/12),2)</f>
        <v>43940.67</v>
      </c>
      <c r="L23" s="78"/>
      <c r="O23" s="174">
        <f t="shared" si="10"/>
        <v>-87881.34</v>
      </c>
    </row>
    <row r="24" spans="1:15" x14ac:dyDescent="0.25">
      <c r="A24" s="46" t="s">
        <v>136</v>
      </c>
      <c r="C24" s="96">
        <v>-244.14</v>
      </c>
      <c r="D24" s="106">
        <f>ROUND((+'EO Cycle 3'!$F35/12+'EO Cycle 3'!$F46/12),2)</f>
        <v>122.05</v>
      </c>
      <c r="E24" s="106">
        <f>ROUND((+'EO Cycle 3'!$F35/12+'EO Cycle 3'!$F46/12),2)</f>
        <v>122.05</v>
      </c>
      <c r="F24" s="106">
        <f>ROUND((+'EO Cycle 3'!$F35/12+'EO Cycle 3'!$F46/12),2)</f>
        <v>122.05</v>
      </c>
      <c r="G24" s="16">
        <f>ROUND((+'EO Cycle 3'!$F46/12+'EO Cycle 3'!$F68/12),2)</f>
        <v>17173.7</v>
      </c>
      <c r="H24" s="55">
        <f>ROUND((+'EO Cycle 3'!$F46/12+'EO Cycle 3'!$F68/12),2)</f>
        <v>17173.7</v>
      </c>
      <c r="I24" s="154">
        <f>ROUND((+'EO Cycle 3'!$F46/12+'EO Cycle 3'!$F68/12),2)</f>
        <v>17173.7</v>
      </c>
      <c r="J24" s="133">
        <f>ROUND((+'EO Cycle 3'!$F46/12+'EO Cycle 3'!$F68/12),2)</f>
        <v>17173.7</v>
      </c>
      <c r="K24" s="133">
        <f>ROUND((+'EO Cycle 3'!$F46/12+'EO Cycle 3'!$F68/12),2)</f>
        <v>17173.7</v>
      </c>
      <c r="L24" s="78"/>
      <c r="N24" s="47"/>
      <c r="O24" s="174">
        <f t="shared" si="10"/>
        <v>-34347.4</v>
      </c>
    </row>
    <row r="25" spans="1:15" x14ac:dyDescent="0.25">
      <c r="C25" s="98"/>
      <c r="D25" s="18"/>
      <c r="E25" s="18"/>
      <c r="F25" s="18"/>
      <c r="G25" s="90"/>
      <c r="H25" s="18"/>
      <c r="I25" s="155"/>
      <c r="J25" s="56"/>
      <c r="K25" s="56"/>
      <c r="L25" s="13"/>
    </row>
    <row r="26" spans="1:15" ht="15.75" thickBot="1" x14ac:dyDescent="0.3">
      <c r="A26" s="3" t="s">
        <v>14</v>
      </c>
      <c r="B26" s="3"/>
      <c r="C26" s="100">
        <v>-4756.9399999999996</v>
      </c>
      <c r="D26" s="126">
        <v>2554.9299999999998</v>
      </c>
      <c r="E26" s="126">
        <v>2351.81</v>
      </c>
      <c r="F26" s="127">
        <v>2108.79</v>
      </c>
      <c r="G26" s="26">
        <v>1828.51</v>
      </c>
      <c r="H26" s="115">
        <v>1574.49</v>
      </c>
      <c r="I26" s="159">
        <v>1517.37</v>
      </c>
      <c r="J26" s="150">
        <v>1682.91</v>
      </c>
      <c r="K26" s="135">
        <v>1762.26</v>
      </c>
      <c r="L26" s="81"/>
      <c r="O26" s="174">
        <f t="shared" si="10"/>
        <v>-3445.17</v>
      </c>
    </row>
    <row r="27" spans="1:15" x14ac:dyDescent="0.25">
      <c r="C27" s="64"/>
      <c r="D27" s="139"/>
      <c r="E27" s="139"/>
      <c r="F27" s="140"/>
      <c r="G27" s="64"/>
      <c r="H27" s="33"/>
      <c r="I27" s="160"/>
      <c r="J27" s="34"/>
      <c r="K27" s="34"/>
      <c r="L27" s="60"/>
    </row>
    <row r="28" spans="1:15" x14ac:dyDescent="0.25">
      <c r="A28" s="46" t="s">
        <v>52</v>
      </c>
      <c r="C28" s="65"/>
      <c r="D28" s="140"/>
      <c r="E28" s="140"/>
      <c r="F28" s="140"/>
      <c r="G28" s="65"/>
      <c r="H28" s="35"/>
      <c r="I28" s="161"/>
      <c r="J28" s="34"/>
      <c r="K28" s="34"/>
      <c r="L28" s="60"/>
    </row>
    <row r="29" spans="1:15" x14ac:dyDescent="0.25">
      <c r="A29" s="46" t="s">
        <v>24</v>
      </c>
      <c r="C29" s="99">
        <f t="shared" ref="C29:L32" si="11">C21-C15</f>
        <v>99067.02</v>
      </c>
      <c r="D29" s="41">
        <f t="shared" si="11"/>
        <v>-21662.86</v>
      </c>
      <c r="E29" s="41">
        <f t="shared" si="11"/>
        <v>-31308.47</v>
      </c>
      <c r="F29" s="105">
        <f t="shared" si="11"/>
        <v>-41634.800000000003</v>
      </c>
      <c r="G29" s="40">
        <f t="shared" si="11"/>
        <v>-36435.540000000008</v>
      </c>
      <c r="H29" s="41">
        <f t="shared" si="11"/>
        <v>-31230.709999999992</v>
      </c>
      <c r="I29" s="61">
        <f t="shared" si="11"/>
        <v>23713.979999999996</v>
      </c>
      <c r="J29" s="116">
        <f t="shared" si="11"/>
        <v>32643.289999999994</v>
      </c>
      <c r="K29" s="41">
        <f t="shared" si="11"/>
        <v>-11543.700000000012</v>
      </c>
      <c r="L29" s="61">
        <f t="shared" si="11"/>
        <v>-194382.77</v>
      </c>
    </row>
    <row r="30" spans="1:15" x14ac:dyDescent="0.25">
      <c r="A30" s="46" t="s">
        <v>134</v>
      </c>
      <c r="C30" s="99">
        <f t="shared" si="11"/>
        <v>21289.22</v>
      </c>
      <c r="D30" s="41">
        <f t="shared" si="11"/>
        <v>-4851.0400000000009</v>
      </c>
      <c r="E30" s="41">
        <f t="shared" si="11"/>
        <v>-6390.5</v>
      </c>
      <c r="F30" s="105">
        <f t="shared" si="11"/>
        <v>-7516.119999999999</v>
      </c>
      <c r="G30" s="40">
        <f t="shared" si="11"/>
        <v>-4112.8000000000029</v>
      </c>
      <c r="H30" s="41">
        <f t="shared" si="11"/>
        <v>-3665.8100000000013</v>
      </c>
      <c r="I30" s="61">
        <f t="shared" si="11"/>
        <v>40.809999999997672</v>
      </c>
      <c r="J30" s="116">
        <f t="shared" si="11"/>
        <v>2025.989999999998</v>
      </c>
      <c r="K30" s="41">
        <f t="shared" si="11"/>
        <v>1410.1499999999978</v>
      </c>
      <c r="L30" s="61">
        <f t="shared" si="11"/>
        <v>-21406.03</v>
      </c>
    </row>
    <row r="31" spans="1:15" x14ac:dyDescent="0.25">
      <c r="A31" s="46" t="s">
        <v>135</v>
      </c>
      <c r="C31" s="99">
        <f t="shared" si="11"/>
        <v>24207.689999999995</v>
      </c>
      <c r="D31" s="41">
        <f t="shared" si="11"/>
        <v>-6612.0199999999995</v>
      </c>
      <c r="E31" s="41">
        <f t="shared" si="11"/>
        <v>-7686.0299999999988</v>
      </c>
      <c r="F31" s="105">
        <f t="shared" si="11"/>
        <v>-8370.7099999999991</v>
      </c>
      <c r="G31" s="40">
        <f t="shared" si="11"/>
        <v>-6503.8899999999994</v>
      </c>
      <c r="H31" s="41">
        <f t="shared" si="11"/>
        <v>-6457.010000000002</v>
      </c>
      <c r="I31" s="61">
        <f t="shared" si="11"/>
        <v>-152.97000000000116</v>
      </c>
      <c r="J31" s="116">
        <f t="shared" si="11"/>
        <v>2391.4199999999983</v>
      </c>
      <c r="K31" s="41">
        <f t="shared" si="11"/>
        <v>1099.1100000000006</v>
      </c>
      <c r="L31" s="61">
        <f t="shared" si="11"/>
        <v>-44919.58</v>
      </c>
    </row>
    <row r="32" spans="1:15" x14ac:dyDescent="0.25">
      <c r="A32" s="46" t="s">
        <v>136</v>
      </c>
      <c r="C32" s="99">
        <f t="shared" si="11"/>
        <v>17353.61</v>
      </c>
      <c r="D32" s="41">
        <f t="shared" si="11"/>
        <v>-5132.97</v>
      </c>
      <c r="E32" s="41">
        <f t="shared" si="11"/>
        <v>-5514.91</v>
      </c>
      <c r="F32" s="105">
        <f t="shared" si="11"/>
        <v>-5866.03</v>
      </c>
      <c r="G32" s="40">
        <f t="shared" si="11"/>
        <v>-3818.880000000001</v>
      </c>
      <c r="H32" s="41">
        <f t="shared" si="11"/>
        <v>-3433.0799999999981</v>
      </c>
      <c r="I32" s="61">
        <f t="shared" si="11"/>
        <v>-3071.2199999999975</v>
      </c>
      <c r="J32" s="116">
        <f t="shared" si="11"/>
        <v>-1160.9599999999991</v>
      </c>
      <c r="K32" s="41">
        <f t="shared" si="11"/>
        <v>-1731.2299999999996</v>
      </c>
      <c r="L32" s="61">
        <f t="shared" si="11"/>
        <v>-19821.900000000001</v>
      </c>
    </row>
    <row r="33" spans="1:15" x14ac:dyDescent="0.25">
      <c r="C33" s="98"/>
      <c r="D33" s="17"/>
      <c r="E33" s="17"/>
      <c r="F33" s="17"/>
      <c r="G33" s="10"/>
      <c r="H33" s="17"/>
      <c r="I33" s="11"/>
      <c r="J33" s="17"/>
      <c r="K33" s="17"/>
      <c r="L33" s="11"/>
    </row>
    <row r="34" spans="1:15" ht="15.75" thickBot="1" x14ac:dyDescent="0.3">
      <c r="A34" s="46" t="s">
        <v>53</v>
      </c>
      <c r="C34" s="98"/>
      <c r="D34" s="17"/>
      <c r="E34" s="17"/>
      <c r="F34" s="17"/>
      <c r="G34" s="10"/>
      <c r="H34" s="17"/>
      <c r="I34" s="11"/>
      <c r="J34" s="17"/>
      <c r="K34" s="17"/>
      <c r="L34" s="11"/>
    </row>
    <row r="35" spans="1:15" x14ac:dyDescent="0.25">
      <c r="A35" s="46" t="s">
        <v>24</v>
      </c>
      <c r="B35" s="349">
        <v>221100.75999999989</v>
      </c>
      <c r="C35" s="99">
        <f t="shared" ref="C35:L38" si="12">B35+C29+B42</f>
        <v>320167.77999999991</v>
      </c>
      <c r="D35" s="41">
        <f t="shared" si="12"/>
        <v>295459.60999999993</v>
      </c>
      <c r="E35" s="41">
        <f t="shared" si="12"/>
        <v>265778.39999999991</v>
      </c>
      <c r="F35" s="105">
        <f t="shared" si="12"/>
        <v>225651.7099999999</v>
      </c>
      <c r="G35" s="40">
        <f t="shared" si="12"/>
        <v>190569.3899999999</v>
      </c>
      <c r="H35" s="41">
        <f t="shared" si="12"/>
        <v>160498.84999999992</v>
      </c>
      <c r="I35" s="61">
        <f t="shared" si="12"/>
        <v>185192.42999999991</v>
      </c>
      <c r="J35" s="116">
        <f t="shared" si="12"/>
        <v>218800.86999999991</v>
      </c>
      <c r="K35" s="41">
        <f t="shared" si="12"/>
        <v>208384.58999999991</v>
      </c>
      <c r="L35" s="61">
        <f t="shared" si="12"/>
        <v>15194.25999999992</v>
      </c>
    </row>
    <row r="36" spans="1:15" x14ac:dyDescent="0.25">
      <c r="A36" s="46" t="s">
        <v>134</v>
      </c>
      <c r="B36" s="350">
        <v>24678.260000000002</v>
      </c>
      <c r="C36" s="99">
        <f t="shared" si="12"/>
        <v>45967.48</v>
      </c>
      <c r="D36" s="41">
        <f t="shared" si="12"/>
        <v>40701.990000000005</v>
      </c>
      <c r="E36" s="41">
        <f t="shared" si="12"/>
        <v>34540.620000000003</v>
      </c>
      <c r="F36" s="105">
        <f t="shared" si="12"/>
        <v>27226.720000000005</v>
      </c>
      <c r="G36" s="40">
        <f t="shared" si="12"/>
        <v>23284.04</v>
      </c>
      <c r="H36" s="41">
        <f t="shared" si="12"/>
        <v>19759.04</v>
      </c>
      <c r="I36" s="61">
        <f t="shared" si="12"/>
        <v>19919.949999999997</v>
      </c>
      <c r="J36" s="116">
        <f t="shared" si="12"/>
        <v>22056.739999999994</v>
      </c>
      <c r="K36" s="41">
        <f t="shared" si="12"/>
        <v>23584.05999999999</v>
      </c>
      <c r="L36" s="61">
        <f t="shared" si="12"/>
        <v>2305.4199999999914</v>
      </c>
    </row>
    <row r="37" spans="1:15" x14ac:dyDescent="0.25">
      <c r="A37" s="46" t="s">
        <v>135</v>
      </c>
      <c r="B37" s="350">
        <v>41467.87999999999</v>
      </c>
      <c r="C37" s="99">
        <f t="shared" si="12"/>
        <v>65675.569999999978</v>
      </c>
      <c r="D37" s="41">
        <f t="shared" si="12"/>
        <v>58461.449999999983</v>
      </c>
      <c r="E37" s="41">
        <f t="shared" si="12"/>
        <v>51103.579999999987</v>
      </c>
      <c r="F37" s="105">
        <f t="shared" si="12"/>
        <v>43027.30999999999</v>
      </c>
      <c r="G37" s="40">
        <f t="shared" si="12"/>
        <v>36782.639999999992</v>
      </c>
      <c r="H37" s="41">
        <f t="shared" si="12"/>
        <v>30548.089999999989</v>
      </c>
      <c r="I37" s="61">
        <f t="shared" si="12"/>
        <v>30582.999999999989</v>
      </c>
      <c r="J37" s="116">
        <f t="shared" si="12"/>
        <v>33145.139999999985</v>
      </c>
      <c r="K37" s="41">
        <f t="shared" si="12"/>
        <v>34422.149999999987</v>
      </c>
      <c r="L37" s="61">
        <f t="shared" si="12"/>
        <v>-10308.820000000014</v>
      </c>
    </row>
    <row r="38" spans="1:15" ht="15.75" thickBot="1" x14ac:dyDescent="0.3">
      <c r="A38" s="46" t="s">
        <v>136</v>
      </c>
      <c r="B38" s="351">
        <v>55623.189999999988</v>
      </c>
      <c r="C38" s="99">
        <f t="shared" si="12"/>
        <v>72976.799999999988</v>
      </c>
      <c r="D38" s="41">
        <f t="shared" si="12"/>
        <v>67148.749999999985</v>
      </c>
      <c r="E38" s="41">
        <f t="shared" si="12"/>
        <v>62004.219999999979</v>
      </c>
      <c r="F38" s="105">
        <f t="shared" si="12"/>
        <v>56485.229999999981</v>
      </c>
      <c r="G38" s="40">
        <f t="shared" si="12"/>
        <v>52992.57999999998</v>
      </c>
      <c r="H38" s="41">
        <f t="shared" si="12"/>
        <v>49864.569999999985</v>
      </c>
      <c r="I38" s="61">
        <f t="shared" si="12"/>
        <v>47080.259999999995</v>
      </c>
      <c r="J38" s="116">
        <f t="shared" si="12"/>
        <v>46189.999999999993</v>
      </c>
      <c r="K38" s="41">
        <f t="shared" si="12"/>
        <v>44719.189999999988</v>
      </c>
      <c r="L38" s="61">
        <f t="shared" si="12"/>
        <v>25151.109999999986</v>
      </c>
    </row>
    <row r="39" spans="1:15" x14ac:dyDescent="0.25">
      <c r="C39" s="98"/>
      <c r="D39" s="17"/>
      <c r="E39" s="17"/>
      <c r="F39" s="17"/>
      <c r="G39" s="10"/>
      <c r="H39" s="17"/>
      <c r="I39" s="11"/>
      <c r="J39" s="17"/>
      <c r="K39" s="17"/>
      <c r="L39" s="11"/>
    </row>
    <row r="40" spans="1:15" x14ac:dyDescent="0.25">
      <c r="A40" s="39" t="s">
        <v>88</v>
      </c>
      <c r="B40" s="39"/>
      <c r="C40" s="101"/>
      <c r="D40" s="82">
        <f>+'PCR Cycle 2'!D47</f>
        <v>5.3128000000000003E-3</v>
      </c>
      <c r="E40" s="82">
        <f>+'PCR Cycle 2'!E47</f>
        <v>5.3587000000000001E-3</v>
      </c>
      <c r="F40" s="82">
        <f>+'PCR Cycle 2'!F47</f>
        <v>5.4904100000000003E-3</v>
      </c>
      <c r="G40" s="83">
        <f>+'PCR Cycle 2'!G47</f>
        <v>5.5567100000000003E-3</v>
      </c>
      <c r="H40" s="82">
        <f>+'PCR Cycle 2'!H47</f>
        <v>5.5623000000000001E-3</v>
      </c>
      <c r="I40" s="91">
        <f>+'PCR Cycle 2'!I47</f>
        <v>5.5681000000000003E-3</v>
      </c>
      <c r="J40" s="82">
        <f>+'PCR Cycle 2'!J47</f>
        <v>5.5681000000000003E-3</v>
      </c>
      <c r="K40" s="82">
        <f>+'PCR Cycle 2'!K47</f>
        <v>5.5681000000000003E-3</v>
      </c>
      <c r="L40" s="84"/>
    </row>
    <row r="41" spans="1:15" x14ac:dyDescent="0.25">
      <c r="A41" s="39" t="s">
        <v>37</v>
      </c>
      <c r="B41" s="39"/>
      <c r="C41" s="103"/>
      <c r="D41" s="82"/>
      <c r="E41" s="82"/>
      <c r="F41" s="82"/>
      <c r="G41" s="83"/>
      <c r="H41" s="82"/>
      <c r="I41" s="84"/>
      <c r="J41" s="82"/>
      <c r="K41" s="82"/>
      <c r="L41" s="84"/>
    </row>
    <row r="42" spans="1:15" x14ac:dyDescent="0.25">
      <c r="A42" s="46" t="s">
        <v>24</v>
      </c>
      <c r="C42" s="352">
        <v>-3045.31</v>
      </c>
      <c r="D42" s="41">
        <f t="shared" ref="D42:L45" si="13">ROUND((C35+C42+D29/2)*D$40,2)</f>
        <v>1627.26</v>
      </c>
      <c r="E42" s="41">
        <f t="shared" si="13"/>
        <v>1508.11</v>
      </c>
      <c r="F42" s="105">
        <f t="shared" si="13"/>
        <v>1353.22</v>
      </c>
      <c r="G42" s="40">
        <f t="shared" si="13"/>
        <v>1160.17</v>
      </c>
      <c r="H42" s="116">
        <f t="shared" si="13"/>
        <v>979.6</v>
      </c>
      <c r="I42" s="49">
        <f t="shared" si="13"/>
        <v>965.15</v>
      </c>
      <c r="J42" s="151">
        <f t="shared" si="13"/>
        <v>1127.42</v>
      </c>
      <c r="K42" s="105">
        <f t="shared" si="13"/>
        <v>1192.44</v>
      </c>
      <c r="L42" s="61">
        <f t="shared" si="13"/>
        <v>0</v>
      </c>
      <c r="O42" s="174">
        <f t="shared" ref="O42:O45" si="14">-SUM(J42:L42)</f>
        <v>-2319.86</v>
      </c>
    </row>
    <row r="43" spans="1:15" x14ac:dyDescent="0.25">
      <c r="A43" s="46" t="s">
        <v>134</v>
      </c>
      <c r="C43" s="352">
        <v>-414.45</v>
      </c>
      <c r="D43" s="41">
        <f t="shared" si="13"/>
        <v>229.13</v>
      </c>
      <c r="E43" s="41">
        <f t="shared" si="13"/>
        <v>202.22</v>
      </c>
      <c r="F43" s="105">
        <f t="shared" si="13"/>
        <v>170.12</v>
      </c>
      <c r="G43" s="40">
        <f t="shared" si="13"/>
        <v>140.81</v>
      </c>
      <c r="H43" s="116">
        <f t="shared" si="13"/>
        <v>120.1</v>
      </c>
      <c r="I43" s="49">
        <f t="shared" si="13"/>
        <v>110.8</v>
      </c>
      <c r="J43" s="151">
        <f t="shared" si="13"/>
        <v>117.17</v>
      </c>
      <c r="K43" s="105">
        <f t="shared" si="13"/>
        <v>127.39</v>
      </c>
      <c r="L43" s="61">
        <f t="shared" si="13"/>
        <v>0</v>
      </c>
      <c r="O43" s="174">
        <f t="shared" si="14"/>
        <v>-244.56</v>
      </c>
    </row>
    <row r="44" spans="1:15" x14ac:dyDescent="0.25">
      <c r="A44" s="46" t="s">
        <v>135</v>
      </c>
      <c r="C44" s="352">
        <v>-602.1</v>
      </c>
      <c r="D44" s="41">
        <f t="shared" si="13"/>
        <v>328.16</v>
      </c>
      <c r="E44" s="41">
        <f t="shared" si="13"/>
        <v>294.44</v>
      </c>
      <c r="F44" s="105">
        <f t="shared" si="13"/>
        <v>259.22000000000003</v>
      </c>
      <c r="G44" s="40">
        <f t="shared" si="13"/>
        <v>222.46</v>
      </c>
      <c r="H44" s="116">
        <f t="shared" si="13"/>
        <v>187.88</v>
      </c>
      <c r="I44" s="49">
        <f t="shared" si="13"/>
        <v>170.72</v>
      </c>
      <c r="J44" s="151">
        <f t="shared" si="13"/>
        <v>177.9</v>
      </c>
      <c r="K44" s="105">
        <f t="shared" si="13"/>
        <v>188.61</v>
      </c>
      <c r="L44" s="61">
        <f t="shared" si="13"/>
        <v>0</v>
      </c>
      <c r="O44" s="174">
        <f t="shared" si="14"/>
        <v>-366.51</v>
      </c>
    </row>
    <row r="45" spans="1:15" ht="15.75" thickBot="1" x14ac:dyDescent="0.3">
      <c r="A45" s="46" t="s">
        <v>136</v>
      </c>
      <c r="C45" s="352">
        <v>-695.07999999999993</v>
      </c>
      <c r="D45" s="41">
        <f t="shared" si="13"/>
        <v>370.38</v>
      </c>
      <c r="E45" s="41">
        <f t="shared" si="13"/>
        <v>347.04</v>
      </c>
      <c r="F45" s="105">
        <f t="shared" si="13"/>
        <v>326.23</v>
      </c>
      <c r="G45" s="40">
        <f t="shared" si="13"/>
        <v>305.07</v>
      </c>
      <c r="H45" s="116">
        <f t="shared" si="13"/>
        <v>286.91000000000003</v>
      </c>
      <c r="I45" s="49">
        <f t="shared" si="13"/>
        <v>270.7</v>
      </c>
      <c r="J45" s="151">
        <f t="shared" si="13"/>
        <v>260.42</v>
      </c>
      <c r="K45" s="105">
        <f t="shared" si="13"/>
        <v>253.82</v>
      </c>
      <c r="L45" s="61">
        <f t="shared" si="13"/>
        <v>0</v>
      </c>
      <c r="O45" s="174">
        <f t="shared" si="14"/>
        <v>-514.24</v>
      </c>
    </row>
    <row r="46" spans="1:15" ht="16.5" thickTop="1" thickBot="1" x14ac:dyDescent="0.3">
      <c r="A46" s="54" t="s">
        <v>22</v>
      </c>
      <c r="B46" s="54"/>
      <c r="C46" s="104">
        <v>0</v>
      </c>
      <c r="D46" s="42">
        <f t="shared" ref="D46:L46" si="15">SUM(D42:D45)+SUM(D35:D38)-D49</f>
        <v>0</v>
      </c>
      <c r="E46" s="42">
        <f t="shared" si="15"/>
        <v>0</v>
      </c>
      <c r="F46" s="50">
        <f t="shared" si="15"/>
        <v>0</v>
      </c>
      <c r="G46" s="137">
        <f t="shared" si="15"/>
        <v>0</v>
      </c>
      <c r="H46" s="50">
        <f t="shared" si="15"/>
        <v>0</v>
      </c>
      <c r="I46" s="62">
        <f t="shared" si="15"/>
        <v>0</v>
      </c>
      <c r="J46" s="152">
        <f t="shared" si="15"/>
        <v>0</v>
      </c>
      <c r="K46" s="50">
        <f t="shared" si="15"/>
        <v>0</v>
      </c>
      <c r="L46" s="62">
        <f t="shared" si="15"/>
        <v>-2.9103830456733704E-11</v>
      </c>
    </row>
    <row r="47" spans="1:15" ht="16.5" thickTop="1" thickBot="1" x14ac:dyDescent="0.3">
      <c r="A47" s="54" t="s">
        <v>23</v>
      </c>
      <c r="B47" s="54"/>
      <c r="C47" s="104">
        <v>0</v>
      </c>
      <c r="D47" s="42">
        <f t="shared" ref="D47:L47" si="16">SUM(D42:D45)-D26</f>
        <v>0</v>
      </c>
      <c r="E47" s="42">
        <f t="shared" si="16"/>
        <v>0</v>
      </c>
      <c r="F47" s="50">
        <f t="shared" si="16"/>
        <v>0</v>
      </c>
      <c r="G47" s="137">
        <f t="shared" si="16"/>
        <v>0</v>
      </c>
      <c r="H47" s="50">
        <f t="shared" si="16"/>
        <v>0</v>
      </c>
      <c r="I47" s="62">
        <f t="shared" si="16"/>
        <v>0</v>
      </c>
      <c r="J47" s="153">
        <f t="shared" si="16"/>
        <v>0</v>
      </c>
      <c r="K47" s="42">
        <f t="shared" si="16"/>
        <v>0</v>
      </c>
      <c r="L47" s="42">
        <f t="shared" si="16"/>
        <v>0</v>
      </c>
    </row>
    <row r="48" spans="1:15" ht="16.5" thickTop="1" thickBot="1" x14ac:dyDescent="0.3">
      <c r="C48" s="98"/>
      <c r="D48" s="17"/>
      <c r="E48" s="17"/>
      <c r="F48" s="17"/>
      <c r="G48" s="10"/>
      <c r="H48" s="17"/>
      <c r="I48" s="11"/>
      <c r="J48" s="17"/>
      <c r="K48" s="17"/>
      <c r="L48" s="11"/>
    </row>
    <row r="49" spans="1:12" ht="15.75" thickBot="1" x14ac:dyDescent="0.3">
      <c r="A49" s="46" t="s">
        <v>36</v>
      </c>
      <c r="B49" s="113">
        <f>SUM(B35:B38)</f>
        <v>342870.08999999991</v>
      </c>
      <c r="C49" s="99">
        <f t="shared" ref="C49:L49" si="17">(C12-SUM(C15:C18))+SUM(C42:C45)+B49</f>
        <v>500030.68999999989</v>
      </c>
      <c r="D49" s="41">
        <f t="shared" si="17"/>
        <v>464326.72999999986</v>
      </c>
      <c r="E49" s="41">
        <f t="shared" si="17"/>
        <v>415778.62999999989</v>
      </c>
      <c r="F49" s="105">
        <f t="shared" si="17"/>
        <v>354499.75999999989</v>
      </c>
      <c r="G49" s="40">
        <f t="shared" si="17"/>
        <v>305457.15999999992</v>
      </c>
      <c r="H49" s="41">
        <f t="shared" si="17"/>
        <v>262245.03999999992</v>
      </c>
      <c r="I49" s="61">
        <f t="shared" si="17"/>
        <v>284293.00999999995</v>
      </c>
      <c r="J49" s="151">
        <f t="shared" si="17"/>
        <v>321875.65999999992</v>
      </c>
      <c r="K49" s="105">
        <f t="shared" si="17"/>
        <v>312872.24999999994</v>
      </c>
      <c r="L49" s="61">
        <f t="shared" si="17"/>
        <v>32341.969999999914</v>
      </c>
    </row>
    <row r="50" spans="1:12" x14ac:dyDescent="0.25">
      <c r="A50" s="46" t="s">
        <v>12</v>
      </c>
      <c r="C50" s="114"/>
      <c r="D50" s="17"/>
      <c r="E50" s="17"/>
      <c r="F50" s="17"/>
      <c r="G50" s="10"/>
      <c r="H50" s="17"/>
      <c r="I50" s="11"/>
      <c r="J50" s="17"/>
      <c r="K50" s="17"/>
      <c r="L50" s="11"/>
    </row>
    <row r="51" spans="1:12" ht="15.75" thickBot="1" x14ac:dyDescent="0.3">
      <c r="A51" s="37"/>
      <c r="B51" s="37"/>
      <c r="C51" s="138"/>
      <c r="D51" s="44"/>
      <c r="E51" s="44"/>
      <c r="F51" s="44"/>
      <c r="G51" s="43"/>
      <c r="H51" s="44"/>
      <c r="I51" s="45"/>
      <c r="J51" s="44"/>
      <c r="K51" s="44"/>
      <c r="L51" s="45"/>
    </row>
    <row r="53" spans="1:12" x14ac:dyDescent="0.25">
      <c r="A53" s="69" t="s">
        <v>11</v>
      </c>
      <c r="B53" s="69"/>
      <c r="C53" s="69"/>
    </row>
    <row r="54" spans="1:12" ht="31.5" customHeight="1" x14ac:dyDescent="0.25">
      <c r="A54" s="362" t="s">
        <v>155</v>
      </c>
      <c r="B54" s="362"/>
      <c r="C54" s="362"/>
      <c r="D54" s="362"/>
      <c r="E54" s="362"/>
      <c r="F54" s="362"/>
      <c r="G54" s="362"/>
      <c r="H54" s="362"/>
      <c r="I54" s="362"/>
      <c r="J54" s="268"/>
      <c r="K54" s="268"/>
      <c r="L54" s="268"/>
    </row>
    <row r="55" spans="1:12" ht="62.1" customHeight="1" x14ac:dyDescent="0.25">
      <c r="A55" s="362" t="s">
        <v>267</v>
      </c>
      <c r="B55" s="362"/>
      <c r="C55" s="362"/>
      <c r="D55" s="362"/>
      <c r="E55" s="362"/>
      <c r="F55" s="362"/>
      <c r="G55" s="362"/>
      <c r="H55" s="362"/>
      <c r="I55" s="362"/>
      <c r="J55" s="268"/>
      <c r="K55" s="268"/>
    </row>
    <row r="56" spans="1:12" ht="18.75" customHeight="1" x14ac:dyDescent="0.25">
      <c r="A56" s="362" t="s">
        <v>188</v>
      </c>
      <c r="B56" s="362"/>
      <c r="C56" s="362"/>
      <c r="D56" s="362"/>
      <c r="E56" s="362"/>
      <c r="F56" s="362"/>
      <c r="G56" s="362"/>
      <c r="H56" s="362"/>
      <c r="I56" s="362"/>
      <c r="J56" s="268"/>
      <c r="K56" s="268"/>
      <c r="L56" s="268"/>
    </row>
    <row r="57" spans="1:12" x14ac:dyDescent="0.25">
      <c r="A57" s="63" t="s">
        <v>31</v>
      </c>
      <c r="B57" s="63"/>
      <c r="C57" s="63"/>
      <c r="D57" s="39"/>
      <c r="E57" s="39"/>
      <c r="F57" s="39"/>
      <c r="G57" s="39"/>
      <c r="H57" s="39"/>
      <c r="I57" s="39"/>
    </row>
    <row r="58" spans="1:12" x14ac:dyDescent="0.25">
      <c r="A58" s="63" t="s">
        <v>240</v>
      </c>
      <c r="B58" s="63"/>
      <c r="C58" s="63"/>
      <c r="D58" s="39"/>
      <c r="E58" s="39"/>
      <c r="F58" s="39"/>
      <c r="G58" s="39"/>
      <c r="H58" s="39"/>
      <c r="I58" s="39"/>
    </row>
    <row r="59" spans="1:12" x14ac:dyDescent="0.25">
      <c r="A59" s="63" t="s">
        <v>95</v>
      </c>
      <c r="B59" s="63"/>
      <c r="C59" s="63"/>
      <c r="D59" s="39"/>
      <c r="E59" s="39"/>
      <c r="F59" s="39"/>
      <c r="G59" s="39"/>
      <c r="H59" s="39"/>
      <c r="I59" s="39"/>
    </row>
    <row r="60" spans="1:12" x14ac:dyDescent="0.25">
      <c r="A60" s="3"/>
      <c r="B60" s="3"/>
      <c r="C60" s="3"/>
    </row>
  </sheetData>
  <mergeCells count="6">
    <mergeCell ref="A56:I56"/>
    <mergeCell ref="D10:F10"/>
    <mergeCell ref="G10:I10"/>
    <mergeCell ref="J10:L10"/>
    <mergeCell ref="A54:I54"/>
    <mergeCell ref="A55:I55"/>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3"/>
  <sheetViews>
    <sheetView workbookViewId="0">
      <selection activeCell="H3" sqref="H3"/>
    </sheetView>
  </sheetViews>
  <sheetFormatPr defaultColWidth="9.140625" defaultRowHeight="15" x14ac:dyDescent="0.25"/>
  <cols>
    <col min="1" max="1" width="43.140625" style="46" customWidth="1"/>
    <col min="2" max="2" width="14.28515625" style="46" bestFit="1" customWidth="1"/>
    <col min="3" max="3" width="14.28515625" style="46" customWidth="1"/>
    <col min="4" max="4" width="13.28515625" style="46" bestFit="1" customWidth="1"/>
    <col min="5" max="5" width="12.28515625" style="46" bestFit="1" customWidth="1"/>
    <col min="6" max="6" width="13.42578125" style="46" bestFit="1" customWidth="1"/>
    <col min="7" max="16384" width="9.140625" style="46"/>
  </cols>
  <sheetData>
    <row r="1" spans="1:4" x14ac:dyDescent="0.25">
      <c r="A1" s="63" t="str">
        <f>+'PPC Cycle 3'!A1</f>
        <v>Evergy Missouri West, Inc. - DSIM Rider Update Filed 12/01/2023</v>
      </c>
    </row>
    <row r="2" spans="1:4" x14ac:dyDescent="0.25">
      <c r="A2" s="9" t="str">
        <f>+'PPC Cycle 3'!A2</f>
        <v>Projections for Cycle 3 January 2024 - December 2024 DSIM</v>
      </c>
    </row>
    <row r="3" spans="1:4" ht="45.75" customHeight="1" x14ac:dyDescent="0.25">
      <c r="B3" s="358" t="s">
        <v>97</v>
      </c>
      <c r="C3" s="358"/>
      <c r="D3" s="358"/>
    </row>
    <row r="4" spans="1:4" x14ac:dyDescent="0.25">
      <c r="B4" s="48" t="s">
        <v>17</v>
      </c>
    </row>
    <row r="5" spans="1:4" x14ac:dyDescent="0.25">
      <c r="A5" s="20" t="s">
        <v>84</v>
      </c>
      <c r="B5" s="271">
        <f>+B8</f>
        <v>0</v>
      </c>
    </row>
    <row r="6" spans="1:4" x14ac:dyDescent="0.25">
      <c r="A6" s="20" t="s">
        <v>85</v>
      </c>
      <c r="B6" s="271">
        <f>+C8</f>
        <v>0</v>
      </c>
    </row>
    <row r="7" spans="1:4" ht="30" x14ac:dyDescent="0.25">
      <c r="A7" s="20"/>
      <c r="B7" s="249" t="s">
        <v>84</v>
      </c>
      <c r="C7" s="250" t="s">
        <v>85</v>
      </c>
      <c r="D7" s="250" t="s">
        <v>5</v>
      </c>
    </row>
    <row r="8" spans="1:4" x14ac:dyDescent="0.25">
      <c r="A8" s="20" t="s">
        <v>24</v>
      </c>
      <c r="B8" s="201">
        <v>0</v>
      </c>
      <c r="C8" s="201">
        <v>0</v>
      </c>
      <c r="D8" s="201">
        <f>SUM(B8:C8)</f>
        <v>0</v>
      </c>
    </row>
    <row r="9" spans="1:4" x14ac:dyDescent="0.25">
      <c r="A9" s="20" t="s">
        <v>25</v>
      </c>
      <c r="B9" s="201">
        <v>0</v>
      </c>
      <c r="C9" s="201">
        <v>0</v>
      </c>
      <c r="D9" s="201">
        <f>SUM(B9:C9)</f>
        <v>0</v>
      </c>
    </row>
    <row r="10" spans="1:4" ht="15.75" thickBot="1" x14ac:dyDescent="0.3">
      <c r="A10" s="20" t="s">
        <v>5</v>
      </c>
      <c r="B10" s="202">
        <f>SUM(B8:B9)</f>
        <v>0</v>
      </c>
      <c r="C10" s="202">
        <f>SUM(C8:C9)</f>
        <v>0</v>
      </c>
      <c r="D10" s="202">
        <f>SUM(D8:D9)</f>
        <v>0</v>
      </c>
    </row>
    <row r="11" spans="1:4" ht="16.5" thickTop="1" thickBot="1" x14ac:dyDescent="0.3">
      <c r="B11" s="203">
        <f>+B10-B5</f>
        <v>0</v>
      </c>
      <c r="C11" s="203">
        <f>+C10-B6</f>
        <v>0</v>
      </c>
      <c r="D11" s="203">
        <f>ROUND(B5+B6,2)-D10</f>
        <v>0</v>
      </c>
    </row>
    <row r="12" spans="1:4" ht="30.75" thickTop="1" x14ac:dyDescent="0.25">
      <c r="B12" s="211"/>
      <c r="C12" s="210" t="s">
        <v>110</v>
      </c>
    </row>
    <row r="13" spans="1:4" x14ac:dyDescent="0.25">
      <c r="A13" s="20" t="s">
        <v>107</v>
      </c>
      <c r="B13" s="201">
        <f>ROUND($D$9*C13,2)</f>
        <v>0</v>
      </c>
      <c r="C13" s="208">
        <f>+'PCR Cycle 2'!K8</f>
        <v>0.39209287804949344</v>
      </c>
    </row>
    <row r="14" spans="1:4" x14ac:dyDescent="0.25">
      <c r="A14" s="20" t="s">
        <v>108</v>
      </c>
      <c r="B14" s="201">
        <f>ROUND($D$9*C14,2)</f>
        <v>0</v>
      </c>
      <c r="C14" s="208">
        <f>+'PCR Cycle 2'!K9</f>
        <v>0.45435908608374953</v>
      </c>
    </row>
    <row r="15" spans="1:4" ht="15.75" thickBot="1" x14ac:dyDescent="0.3">
      <c r="A15" s="20" t="s">
        <v>109</v>
      </c>
      <c r="B15" s="201">
        <f>ROUND($D$9*C15,2)</f>
        <v>0</v>
      </c>
      <c r="C15" s="208">
        <f>+'PCR Cycle 2'!K10</f>
        <v>0.15354803586675725</v>
      </c>
    </row>
    <row r="16" spans="1:4" ht="16.5" thickTop="1" thickBot="1" x14ac:dyDescent="0.3">
      <c r="A16" s="20" t="s">
        <v>111</v>
      </c>
      <c r="B16" s="32">
        <f>SUM(B13:B15)</f>
        <v>0</v>
      </c>
      <c r="C16" s="209">
        <f>SUM(C13:C15)</f>
        <v>1.0000000000000002</v>
      </c>
    </row>
    <row r="17" spans="1:5" ht="15.75" thickTop="1" x14ac:dyDescent="0.25"/>
    <row r="18" spans="1:5" x14ac:dyDescent="0.25">
      <c r="A18" s="53" t="s">
        <v>11</v>
      </c>
    </row>
    <row r="19" spans="1:5" s="39" customFormat="1" x14ac:dyDescent="0.25">
      <c r="A19" s="3" t="s">
        <v>223</v>
      </c>
      <c r="B19" s="46"/>
      <c r="C19" s="46"/>
      <c r="D19" s="46"/>
    </row>
    <row r="20" spans="1:5" s="39" customFormat="1" x14ac:dyDescent="0.25">
      <c r="A20" s="3" t="s">
        <v>224</v>
      </c>
      <c r="B20" s="46"/>
      <c r="C20" s="46"/>
      <c r="D20" s="46"/>
    </row>
    <row r="21" spans="1:5" s="39" customFormat="1" x14ac:dyDescent="0.25">
      <c r="A21" s="3"/>
      <c r="B21" s="46"/>
      <c r="C21" s="46"/>
      <c r="D21" s="46"/>
    </row>
    <row r="23" spans="1:5" x14ac:dyDescent="0.25">
      <c r="A23" s="3"/>
      <c r="D23" s="174"/>
    </row>
    <row r="24" spans="1:5" x14ac:dyDescent="0.25">
      <c r="D24" s="174"/>
    </row>
    <row r="25" spans="1:5" x14ac:dyDescent="0.25">
      <c r="B25" s="70"/>
      <c r="D25" s="174"/>
    </row>
    <row r="26" spans="1:5" x14ac:dyDescent="0.25">
      <c r="A26" s="198"/>
      <c r="B26" s="199"/>
      <c r="D26" s="174"/>
    </row>
    <row r="27" spans="1:5" x14ac:dyDescent="0.25">
      <c r="A27" s="198"/>
      <c r="B27" s="199"/>
      <c r="D27" s="174"/>
    </row>
    <row r="28" spans="1:5" x14ac:dyDescent="0.25">
      <c r="A28" s="198"/>
      <c r="B28" s="199"/>
      <c r="D28" s="174"/>
    </row>
    <row r="29" spans="1:5" x14ac:dyDescent="0.25">
      <c r="A29" s="198"/>
      <c r="B29" s="199"/>
      <c r="D29" s="174"/>
      <c r="E29" s="248"/>
    </row>
    <row r="30" spans="1:5" x14ac:dyDescent="0.25">
      <c r="A30" s="198"/>
      <c r="B30" s="175"/>
      <c r="D30" s="174"/>
    </row>
    <row r="31" spans="1:5" x14ac:dyDescent="0.25">
      <c r="A31" s="198"/>
      <c r="B31" s="175"/>
      <c r="D31" s="174"/>
    </row>
    <row r="32" spans="1:5" ht="17.25" x14ac:dyDescent="0.4">
      <c r="A32" s="198"/>
      <c r="B32" s="175"/>
      <c r="D32" s="200"/>
    </row>
    <row r="33" spans="1:4" x14ac:dyDescent="0.25">
      <c r="A33" s="198"/>
      <c r="D33" s="174"/>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65FAA-E64F-44DA-8ADF-AFC1E38B881D}">
  <sheetPr>
    <pageSetUpPr fitToPage="1"/>
  </sheetPr>
  <dimension ref="A1:E35"/>
  <sheetViews>
    <sheetView workbookViewId="0">
      <selection activeCell="G3" sqref="G3"/>
    </sheetView>
  </sheetViews>
  <sheetFormatPr defaultColWidth="9.140625" defaultRowHeight="15" x14ac:dyDescent="0.25"/>
  <cols>
    <col min="1" max="1" width="43.140625" style="46" customWidth="1"/>
    <col min="2" max="2" width="14.28515625" style="46" bestFit="1" customWidth="1"/>
    <col min="3" max="3" width="14.28515625" style="46" customWidth="1"/>
    <col min="4" max="4" width="13.28515625" style="46" bestFit="1" customWidth="1"/>
    <col min="5" max="6" width="13.42578125" style="46" bestFit="1" customWidth="1"/>
    <col min="7" max="16384" width="9.140625" style="46"/>
  </cols>
  <sheetData>
    <row r="1" spans="1:5" x14ac:dyDescent="0.25">
      <c r="A1" s="63" t="str">
        <f>+'PPC Cycle 3'!A1</f>
        <v>Evergy Missouri West, Inc. - DSIM Rider Update Filed 12/01/2023</v>
      </c>
    </row>
    <row r="2" spans="1:5" x14ac:dyDescent="0.25">
      <c r="A2" s="9" t="str">
        <f>+'PPC Cycle 3'!A2</f>
        <v>Projections for Cycle 3 January 2024 - December 2024 DSIM</v>
      </c>
    </row>
    <row r="3" spans="1:5" ht="45.75" customHeight="1" x14ac:dyDescent="0.25">
      <c r="B3" s="358" t="s">
        <v>170</v>
      </c>
      <c r="C3" s="358"/>
      <c r="D3" s="358"/>
    </row>
    <row r="4" spans="1:5" x14ac:dyDescent="0.25">
      <c r="B4" s="48" t="s">
        <v>17</v>
      </c>
    </row>
    <row r="5" spans="1:5" x14ac:dyDescent="0.25">
      <c r="A5" s="20" t="s">
        <v>171</v>
      </c>
      <c r="B5" s="271">
        <f>+B11</f>
        <v>0</v>
      </c>
    </row>
    <row r="6" spans="1:5" x14ac:dyDescent="0.25">
      <c r="A6" s="20" t="s">
        <v>172</v>
      </c>
      <c r="B6" s="271">
        <f>+C11</f>
        <v>0</v>
      </c>
    </row>
    <row r="7" spans="1:5" x14ac:dyDescent="0.25">
      <c r="A7" s="20" t="s">
        <v>173</v>
      </c>
      <c r="B7" s="271">
        <f>+D11</f>
        <v>0</v>
      </c>
    </row>
    <row r="8" spans="1:5" ht="60" x14ac:dyDescent="0.25">
      <c r="A8" s="20"/>
      <c r="B8" s="249" t="s">
        <v>171</v>
      </c>
      <c r="C8" s="249" t="s">
        <v>172</v>
      </c>
      <c r="D8" s="250" t="s">
        <v>173</v>
      </c>
      <c r="E8" s="250" t="s">
        <v>5</v>
      </c>
    </row>
    <row r="9" spans="1:5" x14ac:dyDescent="0.25">
      <c r="A9" s="20" t="s">
        <v>24</v>
      </c>
      <c r="B9" s="201">
        <v>0</v>
      </c>
      <c r="C9" s="201">
        <v>0</v>
      </c>
      <c r="D9" s="201">
        <v>0</v>
      </c>
      <c r="E9" s="201">
        <f>SUM(B9:D9)</f>
        <v>0</v>
      </c>
    </row>
    <row r="10" spans="1:5" x14ac:dyDescent="0.25">
      <c r="A10" s="20" t="s">
        <v>25</v>
      </c>
      <c r="B10" s="201">
        <v>0</v>
      </c>
      <c r="C10" s="201">
        <v>0</v>
      </c>
      <c r="D10" s="201">
        <v>0</v>
      </c>
      <c r="E10" s="201">
        <f>SUM(B10:D10)</f>
        <v>0</v>
      </c>
    </row>
    <row r="11" spans="1:5" ht="15.75" thickBot="1" x14ac:dyDescent="0.3">
      <c r="A11" s="20" t="s">
        <v>5</v>
      </c>
      <c r="B11" s="202">
        <f>SUM(B9:B10)</f>
        <v>0</v>
      </c>
      <c r="C11" s="202">
        <f>SUM(C9:C10)</f>
        <v>0</v>
      </c>
      <c r="D11" s="202">
        <f>SUM(D9:D10)</f>
        <v>0</v>
      </c>
      <c r="E11" s="202">
        <f>SUM(E9:E10)</f>
        <v>0</v>
      </c>
    </row>
    <row r="12" spans="1:5" ht="16.5" thickTop="1" thickBot="1" x14ac:dyDescent="0.3">
      <c r="B12" s="203">
        <f>+B11-B5</f>
        <v>0</v>
      </c>
      <c r="C12" s="203">
        <f>+C11-B6</f>
        <v>0</v>
      </c>
      <c r="D12" s="203">
        <f>+D11-B7</f>
        <v>0</v>
      </c>
      <c r="E12" s="203">
        <f>ROUND(B5+B6+B7,2)-E11</f>
        <v>0</v>
      </c>
    </row>
    <row r="13" spans="1:5" ht="15.75" thickTop="1" x14ac:dyDescent="0.25">
      <c r="B13" s="211"/>
      <c r="C13" s="279" t="s">
        <v>177</v>
      </c>
    </row>
    <row r="14" spans="1:5" x14ac:dyDescent="0.25">
      <c r="A14" s="20" t="s">
        <v>107</v>
      </c>
      <c r="B14" s="201">
        <f>ROUND($E$10*C14,2)</f>
        <v>0</v>
      </c>
      <c r="C14" s="208">
        <f>+'PCR Cycle 2'!K8</f>
        <v>0.39209287804949344</v>
      </c>
    </row>
    <row r="15" spans="1:5" x14ac:dyDescent="0.25">
      <c r="A15" s="20" t="s">
        <v>108</v>
      </c>
      <c r="B15" s="201">
        <f>ROUND($E$10*C15,2)</f>
        <v>0</v>
      </c>
      <c r="C15" s="208">
        <f>+'PCR Cycle 2'!K9</f>
        <v>0.45435908608374953</v>
      </c>
    </row>
    <row r="16" spans="1:5" ht="15.75" thickBot="1" x14ac:dyDescent="0.3">
      <c r="A16" s="20" t="s">
        <v>109</v>
      </c>
      <c r="B16" s="201">
        <f>ROUND($E$10*C16,2)</f>
        <v>0</v>
      </c>
      <c r="C16" s="208">
        <f>+'PCR Cycle 2'!K10</f>
        <v>0.15354803586675725</v>
      </c>
    </row>
    <row r="17" spans="1:5" ht="16.5" thickTop="1" thickBot="1" x14ac:dyDescent="0.3">
      <c r="A17" s="20" t="s">
        <v>111</v>
      </c>
      <c r="B17" s="32">
        <f>SUM(B14:B16)</f>
        <v>0</v>
      </c>
      <c r="C17" s="209">
        <f>SUM(C14:C16)</f>
        <v>1.0000000000000002</v>
      </c>
    </row>
    <row r="18" spans="1:5" ht="15.75" thickTop="1" x14ac:dyDescent="0.25"/>
    <row r="19" spans="1:5" x14ac:dyDescent="0.25">
      <c r="A19" s="53" t="s">
        <v>11</v>
      </c>
    </row>
    <row r="20" spans="1:5" s="39" customFormat="1" x14ac:dyDescent="0.25">
      <c r="A20" s="3" t="s">
        <v>225</v>
      </c>
      <c r="B20" s="46"/>
      <c r="C20" s="46"/>
      <c r="D20" s="46"/>
    </row>
    <row r="21" spans="1:5" s="39" customFormat="1" x14ac:dyDescent="0.25">
      <c r="A21" s="3" t="s">
        <v>226</v>
      </c>
      <c r="B21" s="46"/>
      <c r="C21" s="46"/>
      <c r="D21" s="46"/>
    </row>
    <row r="22" spans="1:5" s="39" customFormat="1" x14ac:dyDescent="0.25">
      <c r="A22" s="3" t="s">
        <v>227</v>
      </c>
      <c r="B22" s="46"/>
      <c r="C22" s="46"/>
      <c r="D22" s="46"/>
    </row>
    <row r="23" spans="1:5" s="39" customFormat="1" x14ac:dyDescent="0.25">
      <c r="A23" s="3"/>
      <c r="B23" s="46"/>
      <c r="C23" s="46"/>
      <c r="D23" s="46"/>
    </row>
    <row r="25" spans="1:5" x14ac:dyDescent="0.25">
      <c r="A25" s="3"/>
      <c r="D25" s="174"/>
    </row>
    <row r="26" spans="1:5" x14ac:dyDescent="0.25">
      <c r="D26" s="174"/>
    </row>
    <row r="27" spans="1:5" x14ac:dyDescent="0.25">
      <c r="B27" s="70"/>
      <c r="D27" s="174"/>
    </row>
    <row r="28" spans="1:5" x14ac:dyDescent="0.25">
      <c r="A28" s="198"/>
      <c r="B28" s="199"/>
      <c r="D28" s="174"/>
    </row>
    <row r="29" spans="1:5" x14ac:dyDescent="0.25">
      <c r="A29" s="198"/>
      <c r="B29" s="199"/>
      <c r="D29" s="174"/>
    </row>
    <row r="30" spans="1:5" x14ac:dyDescent="0.25">
      <c r="A30" s="198"/>
      <c r="B30" s="199"/>
      <c r="D30" s="174"/>
    </row>
    <row r="31" spans="1:5" x14ac:dyDescent="0.25">
      <c r="A31" s="198"/>
      <c r="B31" s="199"/>
      <c r="D31" s="174"/>
      <c r="E31" s="248"/>
    </row>
    <row r="32" spans="1:5" x14ac:dyDescent="0.25">
      <c r="A32" s="198"/>
      <c r="B32" s="175"/>
      <c r="D32" s="174"/>
    </row>
    <row r="33" spans="1:4" x14ac:dyDescent="0.25">
      <c r="A33" s="198"/>
      <c r="B33" s="175"/>
      <c r="D33" s="174"/>
    </row>
    <row r="34" spans="1:4" ht="17.25" x14ac:dyDescent="0.4">
      <c r="A34" s="198"/>
      <c r="B34" s="175"/>
      <c r="D34" s="200"/>
    </row>
    <row r="35" spans="1:4" x14ac:dyDescent="0.25">
      <c r="A35" s="198"/>
      <c r="D35" s="174"/>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59999389629810485"/>
    <pageSetUpPr fitToPage="1"/>
  </sheetPr>
  <dimension ref="A1:AI53"/>
  <sheetViews>
    <sheetView workbookViewId="0">
      <selection activeCell="O3" sqref="O3"/>
    </sheetView>
  </sheetViews>
  <sheetFormatPr defaultColWidth="9.140625" defaultRowHeight="15" outlineLevelCol="1" x14ac:dyDescent="0.25"/>
  <cols>
    <col min="1" max="1" width="39.28515625" style="46" customWidth="1"/>
    <col min="2" max="2" width="12.28515625" style="46" bestFit="1" customWidth="1"/>
    <col min="3" max="3" width="12.42578125" style="46" bestFit="1" customWidth="1"/>
    <col min="4" max="4" width="15.42578125" style="46" customWidth="1"/>
    <col min="5" max="5" width="15.85546875" style="46" bestFit="1" customWidth="1"/>
    <col min="6" max="6" width="12.28515625" style="46" bestFit="1" customWidth="1"/>
    <col min="7" max="8" width="13.28515625" style="46" bestFit="1" customWidth="1"/>
    <col min="9" max="9" width="14.42578125" style="46" bestFit="1" customWidth="1"/>
    <col min="10" max="10" width="12.42578125" style="46" customWidth="1"/>
    <col min="11" max="11" width="12.85546875" style="46" customWidth="1"/>
    <col min="12" max="12" width="16" style="46" customWidth="1"/>
    <col min="13" max="13" width="15" style="46" bestFit="1" customWidth="1"/>
    <col min="14" max="14" width="16" style="46" bestFit="1" customWidth="1"/>
    <col min="15" max="15" width="17.85546875" style="46" customWidth="1" outlineLevel="1"/>
    <col min="16" max="16" width="15.28515625" style="46" bestFit="1" customWidth="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Missouri West, Inc. - DSIM Rider Update Filed 12/01/2023</v>
      </c>
      <c r="B1" s="3"/>
      <c r="C1" s="3"/>
    </row>
    <row r="2" spans="1:35" x14ac:dyDescent="0.25">
      <c r="D2" s="3" t="s">
        <v>96</v>
      </c>
    </row>
    <row r="3" spans="1:35" ht="30" x14ac:dyDescent="0.25">
      <c r="D3" s="48" t="s">
        <v>46</v>
      </c>
      <c r="E3" s="70" t="s">
        <v>17</v>
      </c>
      <c r="F3" s="48" t="s">
        <v>3</v>
      </c>
      <c r="G3" s="70" t="s">
        <v>55</v>
      </c>
      <c r="H3" s="48" t="s">
        <v>10</v>
      </c>
      <c r="I3" s="48" t="s">
        <v>18</v>
      </c>
      <c r="S3" s="48"/>
    </row>
    <row r="4" spans="1:35" x14ac:dyDescent="0.25">
      <c r="A4" s="20" t="s">
        <v>24</v>
      </c>
      <c r="B4" s="20"/>
      <c r="C4" s="20"/>
      <c r="D4" s="22">
        <f>SUM(C18:L18)</f>
        <v>-19543.03</v>
      </c>
      <c r="E4" s="22">
        <f>SUM(C22:K22)</f>
        <v>0</v>
      </c>
      <c r="F4" s="22">
        <f>E4-D4</f>
        <v>19543.03</v>
      </c>
      <c r="G4" s="22">
        <f>+B32</f>
        <v>-38564.939999999966</v>
      </c>
      <c r="H4" s="22">
        <f>SUM(C37:K37)</f>
        <v>-1094.01</v>
      </c>
      <c r="I4" s="201">
        <f>SUM(F4:H4)</f>
        <v>-20115.919999999966</v>
      </c>
      <c r="J4" s="47">
        <f>+I4-L32</f>
        <v>0</v>
      </c>
      <c r="M4" s="47"/>
    </row>
    <row r="5" spans="1:35" ht="15.75" thickBot="1" x14ac:dyDescent="0.3">
      <c r="A5" s="20" t="s">
        <v>25</v>
      </c>
      <c r="B5" s="20"/>
      <c r="C5" s="20"/>
      <c r="D5" s="22">
        <f>SUM(C19:L19)</f>
        <v>0</v>
      </c>
      <c r="E5" s="22">
        <f>SUM(C23:K23)</f>
        <v>0</v>
      </c>
      <c r="F5" s="22">
        <f>E5-D5</f>
        <v>0</v>
      </c>
      <c r="G5" s="22">
        <f>+B33</f>
        <v>0</v>
      </c>
      <c r="H5" s="22">
        <f>SUM(C38:K38)</f>
        <v>0</v>
      </c>
      <c r="I5" s="264">
        <f>SUM(F5:H5)</f>
        <v>0</v>
      </c>
      <c r="J5" s="47">
        <f>+I5-L33</f>
        <v>0</v>
      </c>
      <c r="M5" s="47"/>
    </row>
    <row r="6" spans="1:35" ht="16.5" thickTop="1" thickBot="1" x14ac:dyDescent="0.3">
      <c r="D6" s="27">
        <f t="shared" ref="D6" si="0">SUM(D4:D5)</f>
        <v>-19543.03</v>
      </c>
      <c r="E6" s="27">
        <f>SUM(E4:E5)</f>
        <v>0</v>
      </c>
      <c r="F6" s="27">
        <f>SUM(F4:F5)</f>
        <v>19543.03</v>
      </c>
      <c r="G6" s="27">
        <f>SUM(G4:G5)</f>
        <v>-38564.939999999966</v>
      </c>
      <c r="H6" s="27">
        <f>SUM(H4:H5)</f>
        <v>-1094.01</v>
      </c>
      <c r="I6" s="27">
        <f>SUM(I4:I5)</f>
        <v>-20115.919999999966</v>
      </c>
      <c r="T6" s="5"/>
    </row>
    <row r="7" spans="1:35" ht="45.75" thickTop="1" x14ac:dyDescent="0.25">
      <c r="I7" s="211"/>
      <c r="J7" s="210" t="s">
        <v>122</v>
      </c>
    </row>
    <row r="8" spans="1:35" x14ac:dyDescent="0.25">
      <c r="A8" s="20" t="s">
        <v>107</v>
      </c>
      <c r="I8" s="25">
        <f>ROUND($I$5*J8,2)</f>
        <v>0</v>
      </c>
      <c r="J8" s="208">
        <f>+'PCR Cycle 2'!K8</f>
        <v>0.39209287804949344</v>
      </c>
      <c r="K8" s="39"/>
    </row>
    <row r="9" spans="1:35" x14ac:dyDescent="0.25">
      <c r="A9" s="20" t="s">
        <v>108</v>
      </c>
      <c r="I9" s="25">
        <f t="shared" ref="I9:I10" si="1">ROUND($I$5*J9,2)</f>
        <v>0</v>
      </c>
      <c r="J9" s="208">
        <f>+'PCR Cycle 2'!K9</f>
        <v>0.45435908608374953</v>
      </c>
      <c r="K9" s="39"/>
    </row>
    <row r="10" spans="1:35" ht="15.75" thickBot="1" x14ac:dyDescent="0.3">
      <c r="A10" s="20" t="s">
        <v>109</v>
      </c>
      <c r="I10" s="25">
        <f t="shared" si="1"/>
        <v>0</v>
      </c>
      <c r="J10" s="208">
        <f>+'PCR Cycle 2'!K10</f>
        <v>0.15354803586675725</v>
      </c>
      <c r="K10" s="39"/>
    </row>
    <row r="11" spans="1:35" ht="16.5" thickTop="1" thickBot="1" x14ac:dyDescent="0.3">
      <c r="A11" s="20" t="s">
        <v>111</v>
      </c>
      <c r="I11" s="27">
        <f>SUM(I8:I10)</f>
        <v>0</v>
      </c>
      <c r="J11" s="209">
        <f>SUM(J8:J10)</f>
        <v>1.0000000000000002</v>
      </c>
      <c r="V11" s="4"/>
    </row>
    <row r="12" spans="1:35" ht="16.5" thickTop="1" thickBot="1" x14ac:dyDescent="0.3">
      <c r="V12" s="4"/>
      <c r="W12" s="5"/>
    </row>
    <row r="13" spans="1:35" ht="105.75" thickBot="1" x14ac:dyDescent="0.3">
      <c r="B13" s="112" t="str">
        <f>+'PCR Cycle 2'!B13</f>
        <v>Cumulative Over/Under Carryover From 06/01/2023 Filing</v>
      </c>
      <c r="C13" s="143" t="str">
        <f>+'PCR Cycle 2'!C13</f>
        <v>Reverse May 2023 - July 2023 Forecast From 06/01/2023 Filing</v>
      </c>
      <c r="D13" s="363" t="s">
        <v>33</v>
      </c>
      <c r="E13" s="363"/>
      <c r="F13" s="364"/>
      <c r="G13" s="372" t="s">
        <v>33</v>
      </c>
      <c r="H13" s="373"/>
      <c r="I13" s="374"/>
      <c r="J13" s="359" t="s">
        <v>8</v>
      </c>
      <c r="K13" s="360"/>
      <c r="L13" s="361"/>
      <c r="O13" s="281" t="s">
        <v>247</v>
      </c>
    </row>
    <row r="14" spans="1:35" x14ac:dyDescent="0.25">
      <c r="A14" s="46" t="s">
        <v>91</v>
      </c>
      <c r="C14" s="102"/>
      <c r="D14" s="19">
        <f>+'PCR Cycle 2'!D14</f>
        <v>45077</v>
      </c>
      <c r="E14" s="19">
        <f t="shared" ref="E14:L14" si="2">EOMONTH(D14,1)</f>
        <v>45107</v>
      </c>
      <c r="F14" s="19">
        <f t="shared" si="2"/>
        <v>45138</v>
      </c>
      <c r="G14" s="14">
        <f t="shared" si="2"/>
        <v>45169</v>
      </c>
      <c r="H14" s="19">
        <f t="shared" si="2"/>
        <v>45199</v>
      </c>
      <c r="I14" s="15">
        <f t="shared" si="2"/>
        <v>45230</v>
      </c>
      <c r="J14" s="19">
        <f t="shared" si="2"/>
        <v>45260</v>
      </c>
      <c r="K14" s="19">
        <f t="shared" si="2"/>
        <v>45291</v>
      </c>
      <c r="L14" s="15">
        <f t="shared" si="2"/>
        <v>45322</v>
      </c>
      <c r="Z14" s="1"/>
      <c r="AA14" s="1"/>
      <c r="AB14" s="1"/>
      <c r="AC14" s="1"/>
      <c r="AD14" s="1"/>
      <c r="AE14" s="1"/>
      <c r="AF14" s="1"/>
      <c r="AG14" s="1"/>
      <c r="AH14" s="1"/>
      <c r="AI14" s="1"/>
    </row>
    <row r="15" spans="1:35" x14ac:dyDescent="0.25">
      <c r="A15" s="46" t="s">
        <v>5</v>
      </c>
      <c r="C15" s="96">
        <v>0</v>
      </c>
      <c r="D15" s="106">
        <f>SUM(D22:D23)</f>
        <v>0</v>
      </c>
      <c r="E15" s="106">
        <f t="shared" ref="E15:H15" si="3">SUM(E22:E23)</f>
        <v>0</v>
      </c>
      <c r="F15" s="107">
        <f t="shared" si="3"/>
        <v>0</v>
      </c>
      <c r="G15" s="16">
        <f t="shared" si="3"/>
        <v>0</v>
      </c>
      <c r="H15" s="55">
        <f t="shared" si="3"/>
        <v>0</v>
      </c>
      <c r="I15" s="154">
        <f>+I22+I23</f>
        <v>0</v>
      </c>
      <c r="J15" s="147">
        <f t="shared" ref="J15:K15" si="4">+J22+J23</f>
        <v>0</v>
      </c>
      <c r="K15" s="77">
        <f t="shared" si="4"/>
        <v>0</v>
      </c>
      <c r="L15" s="78"/>
      <c r="O15" s="47">
        <f>-SUM(J15:L15)</f>
        <v>0</v>
      </c>
    </row>
    <row r="16" spans="1:35" x14ac:dyDescent="0.25">
      <c r="C16" s="98"/>
      <c r="D16" s="17"/>
      <c r="E16" s="17"/>
      <c r="F16" s="17"/>
      <c r="G16" s="28"/>
      <c r="H16" s="17"/>
      <c r="I16" s="11"/>
      <c r="J16" s="31"/>
      <c r="K16" s="31"/>
      <c r="L16" s="29"/>
    </row>
    <row r="17" spans="1:15" x14ac:dyDescent="0.25">
      <c r="A17" s="46" t="s">
        <v>90</v>
      </c>
      <c r="C17" s="98"/>
      <c r="D17" s="18"/>
      <c r="E17" s="18"/>
      <c r="F17" s="18"/>
      <c r="G17" s="265"/>
      <c r="H17" s="18"/>
      <c r="I17" s="155"/>
      <c r="J17" s="31"/>
      <c r="K17" s="31"/>
      <c r="L17" s="29"/>
      <c r="M17" s="3" t="s">
        <v>50</v>
      </c>
      <c r="N17" s="39"/>
    </row>
    <row r="18" spans="1:15" x14ac:dyDescent="0.25">
      <c r="A18" s="46" t="s">
        <v>24</v>
      </c>
      <c r="C18" s="96">
        <v>8515.7099999999991</v>
      </c>
      <c r="D18" s="126">
        <f>ROUND('[4]May 2023'!$G$60,2)</f>
        <v>-2114.16</v>
      </c>
      <c r="E18" s="126">
        <f>ROUND('[4]June 2023'!$G$60,2)</f>
        <v>-2856.22</v>
      </c>
      <c r="F18" s="126">
        <f>ROUND('[4]July 2023'!$G$60,2)</f>
        <v>-3650.35</v>
      </c>
      <c r="G18" s="16">
        <f>ROUND('[4]August 2023'!$G$60,2)</f>
        <v>-3745.78</v>
      </c>
      <c r="H18" s="55">
        <f>ROUND('[4]September 2023'!$G$60,2)</f>
        <v>-3639.59</v>
      </c>
      <c r="I18" s="154">
        <f>ROUND('[4]October 2023'!$G$60,2)</f>
        <v>-2516.06</v>
      </c>
      <c r="J18" s="116">
        <f>ROUND('PCR Cycle 2'!J26*$M18,2)</f>
        <v>-2333.9</v>
      </c>
      <c r="K18" s="41">
        <f>ROUND('PCR Cycle 2'!K26*$M18,2)</f>
        <v>-3235.68</v>
      </c>
      <c r="L18" s="61">
        <f>ROUND('PCR Cycle 2'!L26*$M18,2)</f>
        <v>-3967</v>
      </c>
      <c r="M18" s="72">
        <v>-1.0000000000000001E-5</v>
      </c>
      <c r="N18" s="4"/>
      <c r="O18" s="47">
        <f t="shared" ref="O18:O19" si="5">-SUM(J18:L18)</f>
        <v>9536.58</v>
      </c>
    </row>
    <row r="19" spans="1:15" x14ac:dyDescent="0.25">
      <c r="A19" s="46" t="s">
        <v>25</v>
      </c>
      <c r="C19" s="96">
        <v>0</v>
      </c>
      <c r="D19" s="126">
        <f>ROUND('[4]May 2023'!$G$64,2)</f>
        <v>0</v>
      </c>
      <c r="E19" s="126">
        <f>ROUND('[4]June 2023'!$G$64,2)</f>
        <v>0</v>
      </c>
      <c r="F19" s="126">
        <f>ROUND('[4]July 2023'!$G$64,2)</f>
        <v>0</v>
      </c>
      <c r="G19" s="16">
        <f>ROUND('[4]August 2023'!$G$64,2)</f>
        <v>0</v>
      </c>
      <c r="H19" s="55">
        <f>ROUND('[4]September 2023'!$G$64,2)</f>
        <v>0</v>
      </c>
      <c r="I19" s="154">
        <f>ROUND('[4]October 2023'!$G$64,2)</f>
        <v>0</v>
      </c>
      <c r="J19" s="116">
        <f>ROUND(SUM('PCR Cycle 2'!J27:J29)*$M19,2)</f>
        <v>0</v>
      </c>
      <c r="K19" s="41">
        <f>ROUND(SUM('PCR Cycle 2'!K27:K29)*$M19,2)</f>
        <v>0</v>
      </c>
      <c r="L19" s="61">
        <f>ROUND(SUM('PCR Cycle 2'!L27:L29)*$M19,2)</f>
        <v>0</v>
      </c>
      <c r="M19" s="72">
        <v>0</v>
      </c>
      <c r="N19" s="4"/>
      <c r="O19" s="47">
        <f t="shared" si="5"/>
        <v>0</v>
      </c>
    </row>
    <row r="20" spans="1:15" x14ac:dyDescent="0.25">
      <c r="C20" s="67"/>
      <c r="D20" s="68"/>
      <c r="E20" s="68"/>
      <c r="F20" s="68"/>
      <c r="G20" s="97"/>
      <c r="H20" s="68"/>
      <c r="I20" s="156"/>
      <c r="J20" s="56"/>
      <c r="K20" s="56"/>
      <c r="L20" s="13"/>
      <c r="N20" s="4"/>
    </row>
    <row r="21" spans="1:15" x14ac:dyDescent="0.25">
      <c r="A21" s="46" t="s">
        <v>92</v>
      </c>
      <c r="C21" s="36"/>
      <c r="D21" s="37"/>
      <c r="E21" s="37"/>
      <c r="F21" s="37"/>
      <c r="G21" s="36"/>
      <c r="H21" s="37"/>
      <c r="I21" s="158"/>
      <c r="J21" s="52"/>
      <c r="K21" s="52"/>
      <c r="L21" s="38"/>
    </row>
    <row r="22" spans="1:15" x14ac:dyDescent="0.25">
      <c r="A22" s="46" t="s">
        <v>24</v>
      </c>
      <c r="C22" s="96">
        <v>0</v>
      </c>
      <c r="D22" s="106">
        <v>0</v>
      </c>
      <c r="E22" s="106">
        <v>0</v>
      </c>
      <c r="F22" s="107">
        <v>0</v>
      </c>
      <c r="G22" s="16">
        <v>0</v>
      </c>
      <c r="H22" s="55">
        <v>0</v>
      </c>
      <c r="I22" s="154">
        <v>0</v>
      </c>
      <c r="J22" s="149">
        <v>0</v>
      </c>
      <c r="K22" s="133">
        <v>0</v>
      </c>
      <c r="L22" s="78"/>
      <c r="O22" s="47">
        <f t="shared" ref="O22:O25" si="6">-SUM(J22:L22)</f>
        <v>0</v>
      </c>
    </row>
    <row r="23" spans="1:15" x14ac:dyDescent="0.25">
      <c r="A23" s="46" t="s">
        <v>25</v>
      </c>
      <c r="C23" s="96">
        <v>0</v>
      </c>
      <c r="D23" s="106">
        <v>0</v>
      </c>
      <c r="E23" s="106">
        <v>0</v>
      </c>
      <c r="F23" s="107">
        <v>0</v>
      </c>
      <c r="G23" s="16">
        <v>0</v>
      </c>
      <c r="H23" s="55">
        <v>0</v>
      </c>
      <c r="I23" s="154">
        <v>0</v>
      </c>
      <c r="J23" s="149">
        <v>0</v>
      </c>
      <c r="K23" s="133">
        <v>0</v>
      </c>
      <c r="L23" s="78"/>
      <c r="N23" s="47"/>
      <c r="O23" s="47">
        <f t="shared" si="6"/>
        <v>0</v>
      </c>
    </row>
    <row r="24" spans="1:15" x14ac:dyDescent="0.25">
      <c r="C24" s="98"/>
      <c r="D24" s="18"/>
      <c r="E24" s="18"/>
      <c r="F24" s="18"/>
      <c r="G24" s="265"/>
      <c r="H24" s="18"/>
      <c r="I24" s="155"/>
      <c r="J24" s="56"/>
      <c r="K24" s="56"/>
      <c r="L24" s="13"/>
    </row>
    <row r="25" spans="1:15" ht="15.75" thickBot="1" x14ac:dyDescent="0.3">
      <c r="A25" s="3" t="s">
        <v>14</v>
      </c>
      <c r="B25" s="3"/>
      <c r="C25" s="100">
        <v>460.23</v>
      </c>
      <c r="D25" s="126">
        <v>-242.06</v>
      </c>
      <c r="E25" s="126">
        <v>-232.14</v>
      </c>
      <c r="F25" s="127">
        <v>-221.26</v>
      </c>
      <c r="G25" s="26">
        <v>-204.61</v>
      </c>
      <c r="H25" s="115">
        <v>-185.42</v>
      </c>
      <c r="I25" s="159">
        <v>-169.51</v>
      </c>
      <c r="J25" s="150">
        <v>-156.94</v>
      </c>
      <c r="K25" s="135">
        <v>-142.31</v>
      </c>
      <c r="L25" s="81"/>
      <c r="O25" s="47">
        <f t="shared" si="6"/>
        <v>299.25</v>
      </c>
    </row>
    <row r="26" spans="1:15" x14ac:dyDescent="0.25">
      <c r="C26" s="64"/>
      <c r="D26" s="139"/>
      <c r="E26" s="139"/>
      <c r="F26" s="140"/>
      <c r="G26" s="64"/>
      <c r="H26" s="33"/>
      <c r="I26" s="160"/>
      <c r="J26" s="34"/>
      <c r="K26" s="34"/>
      <c r="L26" s="60"/>
    </row>
    <row r="27" spans="1:15" x14ac:dyDescent="0.25">
      <c r="A27" s="46" t="s">
        <v>52</v>
      </c>
      <c r="C27" s="65"/>
      <c r="D27" s="140"/>
      <c r="E27" s="140"/>
      <c r="F27" s="140"/>
      <c r="G27" s="266"/>
      <c r="H27" s="35"/>
      <c r="I27" s="161"/>
      <c r="J27" s="34"/>
      <c r="K27" s="34"/>
      <c r="L27" s="60"/>
    </row>
    <row r="28" spans="1:15" x14ac:dyDescent="0.25">
      <c r="A28" s="46" t="s">
        <v>24</v>
      </c>
      <c r="C28" s="99">
        <f t="shared" ref="C28:L28" si="7">C22-C18</f>
        <v>-8515.7099999999991</v>
      </c>
      <c r="D28" s="41">
        <f t="shared" si="7"/>
        <v>2114.16</v>
      </c>
      <c r="E28" s="41">
        <f t="shared" si="7"/>
        <v>2856.22</v>
      </c>
      <c r="F28" s="105">
        <f t="shared" si="7"/>
        <v>3650.35</v>
      </c>
      <c r="G28" s="40">
        <f t="shared" si="7"/>
        <v>3745.78</v>
      </c>
      <c r="H28" s="41">
        <f t="shared" si="7"/>
        <v>3639.59</v>
      </c>
      <c r="I28" s="61">
        <f t="shared" si="7"/>
        <v>2516.06</v>
      </c>
      <c r="J28" s="116">
        <f t="shared" si="7"/>
        <v>2333.9</v>
      </c>
      <c r="K28" s="41">
        <f t="shared" si="7"/>
        <v>3235.68</v>
      </c>
      <c r="L28" s="61">
        <f t="shared" si="7"/>
        <v>3967</v>
      </c>
    </row>
    <row r="29" spans="1:15" x14ac:dyDescent="0.25">
      <c r="A29" s="46" t="s">
        <v>25</v>
      </c>
      <c r="C29" s="99">
        <f t="shared" ref="C29:L29" si="8">C23-C19</f>
        <v>0</v>
      </c>
      <c r="D29" s="41">
        <f t="shared" si="8"/>
        <v>0</v>
      </c>
      <c r="E29" s="41">
        <f t="shared" si="8"/>
        <v>0</v>
      </c>
      <c r="F29" s="105">
        <f t="shared" si="8"/>
        <v>0</v>
      </c>
      <c r="G29" s="40">
        <f t="shared" si="8"/>
        <v>0</v>
      </c>
      <c r="H29" s="41">
        <f t="shared" si="8"/>
        <v>0</v>
      </c>
      <c r="I29" s="61">
        <f t="shared" si="8"/>
        <v>0</v>
      </c>
      <c r="J29" s="116">
        <f t="shared" si="8"/>
        <v>0</v>
      </c>
      <c r="K29" s="41">
        <f t="shared" si="8"/>
        <v>0</v>
      </c>
      <c r="L29" s="61">
        <f t="shared" si="8"/>
        <v>0</v>
      </c>
    </row>
    <row r="30" spans="1:15" x14ac:dyDescent="0.25">
      <c r="C30" s="98"/>
      <c r="D30" s="17"/>
      <c r="E30" s="17"/>
      <c r="F30" s="17"/>
      <c r="G30" s="28"/>
      <c r="H30" s="17"/>
      <c r="I30" s="11"/>
      <c r="J30" s="17"/>
      <c r="K30" s="17"/>
      <c r="L30" s="11"/>
    </row>
    <row r="31" spans="1:15" ht="15.75" thickBot="1" x14ac:dyDescent="0.3">
      <c r="A31" s="46" t="s">
        <v>53</v>
      </c>
      <c r="C31" s="98"/>
      <c r="D31" s="17"/>
      <c r="E31" s="17"/>
      <c r="F31" s="17"/>
      <c r="G31" s="28"/>
      <c r="H31" s="17"/>
      <c r="I31" s="11"/>
      <c r="J31" s="17"/>
      <c r="K31" s="17"/>
      <c r="L31" s="11"/>
    </row>
    <row r="32" spans="1:15" x14ac:dyDescent="0.25">
      <c r="A32" s="46" t="s">
        <v>24</v>
      </c>
      <c r="B32" s="349">
        <v>-38564.939999999966</v>
      </c>
      <c r="C32" s="99">
        <f>B32+C28+B37</f>
        <v>-47080.649999999965</v>
      </c>
      <c r="D32" s="41">
        <f t="shared" ref="D32:L33" si="9">C32+D28+C37</f>
        <v>-44506.259999999958</v>
      </c>
      <c r="E32" s="41">
        <f t="shared" si="9"/>
        <v>-41892.109999999957</v>
      </c>
      <c r="F32" s="105">
        <f t="shared" si="9"/>
        <v>-38473.899999999958</v>
      </c>
      <c r="G32" s="40">
        <f t="shared" si="9"/>
        <v>-34949.379999999961</v>
      </c>
      <c r="H32" s="41">
        <f t="shared" si="9"/>
        <v>-31514.399999999961</v>
      </c>
      <c r="I32" s="61">
        <f t="shared" si="9"/>
        <v>-29183.74999999996</v>
      </c>
      <c r="J32" s="116">
        <f t="shared" si="9"/>
        <v>-27019.349999999959</v>
      </c>
      <c r="K32" s="41">
        <f t="shared" si="9"/>
        <v>-23940.609999999957</v>
      </c>
      <c r="L32" s="61">
        <f t="shared" si="9"/>
        <v>-20115.919999999958</v>
      </c>
    </row>
    <row r="33" spans="1:15" ht="15.75" thickBot="1" x14ac:dyDescent="0.3">
      <c r="A33" s="46" t="s">
        <v>25</v>
      </c>
      <c r="B33" s="351">
        <v>0</v>
      </c>
      <c r="C33" s="99">
        <f>B33+C29+B38</f>
        <v>0</v>
      </c>
      <c r="D33" s="41">
        <f t="shared" si="9"/>
        <v>0</v>
      </c>
      <c r="E33" s="41">
        <f t="shared" si="9"/>
        <v>0</v>
      </c>
      <c r="F33" s="105">
        <f t="shared" si="9"/>
        <v>0</v>
      </c>
      <c r="G33" s="40">
        <f t="shared" si="9"/>
        <v>0</v>
      </c>
      <c r="H33" s="41">
        <f t="shared" si="9"/>
        <v>0</v>
      </c>
      <c r="I33" s="61">
        <f t="shared" si="9"/>
        <v>0</v>
      </c>
      <c r="J33" s="116">
        <f t="shared" si="9"/>
        <v>0</v>
      </c>
      <c r="K33" s="41">
        <f t="shared" si="9"/>
        <v>0</v>
      </c>
      <c r="L33" s="61">
        <f t="shared" si="9"/>
        <v>0</v>
      </c>
    </row>
    <row r="34" spans="1:15" x14ac:dyDescent="0.25">
      <c r="C34" s="98"/>
      <c r="D34" s="17"/>
      <c r="E34" s="17"/>
      <c r="F34" s="17"/>
      <c r="G34" s="10"/>
      <c r="H34" s="17"/>
      <c r="I34" s="11"/>
      <c r="J34" s="17"/>
      <c r="K34" s="17"/>
      <c r="L34" s="11"/>
    </row>
    <row r="35" spans="1:15" x14ac:dyDescent="0.25">
      <c r="A35" s="39" t="s">
        <v>88</v>
      </c>
      <c r="B35" s="39"/>
      <c r="C35" s="101"/>
      <c r="D35" s="325">
        <f>+'PCR Cycle 2'!D47</f>
        <v>5.3128000000000003E-3</v>
      </c>
      <c r="E35" s="325">
        <f>+'PCR Cycle 2'!E47</f>
        <v>5.3587000000000001E-3</v>
      </c>
      <c r="F35" s="325">
        <f>+'PCR Cycle 2'!F47</f>
        <v>5.4904100000000003E-3</v>
      </c>
      <c r="G35" s="326">
        <f>+'PCR Cycle 2'!G47</f>
        <v>5.5567100000000003E-3</v>
      </c>
      <c r="H35" s="325">
        <f>+'PCR Cycle 2'!H47</f>
        <v>5.5623000000000001E-3</v>
      </c>
      <c r="I35" s="327">
        <f>+'PCR Cycle 2'!I47</f>
        <v>5.5681000000000003E-3</v>
      </c>
      <c r="J35" s="325">
        <f>+'PCR Cycle 2'!J47</f>
        <v>5.5681000000000003E-3</v>
      </c>
      <c r="K35" s="325">
        <f>+'PCR Cycle 2'!K47</f>
        <v>5.5681000000000003E-3</v>
      </c>
      <c r="L35" s="84"/>
    </row>
    <row r="36" spans="1:15" x14ac:dyDescent="0.25">
      <c r="A36" s="39" t="s">
        <v>37</v>
      </c>
      <c r="B36" s="39"/>
      <c r="C36" s="103"/>
      <c r="D36" s="82"/>
      <c r="E36" s="82"/>
      <c r="F36" s="82"/>
      <c r="G36" s="83"/>
      <c r="H36" s="82"/>
      <c r="I36" s="84"/>
      <c r="J36" s="82"/>
      <c r="K36" s="82"/>
      <c r="L36" s="84"/>
    </row>
    <row r="37" spans="1:15" x14ac:dyDescent="0.25">
      <c r="A37" s="46" t="s">
        <v>24</v>
      </c>
      <c r="C37" s="352">
        <v>460.23</v>
      </c>
      <c r="D37" s="41">
        <f t="shared" ref="D37:L38" si="10">ROUND((C32+C37+D28/2)*D$35,2)</f>
        <v>-242.07</v>
      </c>
      <c r="E37" s="41">
        <f t="shared" si="10"/>
        <v>-232.14</v>
      </c>
      <c r="F37" s="105">
        <f t="shared" si="10"/>
        <v>-221.26</v>
      </c>
      <c r="G37" s="40">
        <f t="shared" si="10"/>
        <v>-204.61</v>
      </c>
      <c r="H37" s="116">
        <f t="shared" si="10"/>
        <v>-185.41</v>
      </c>
      <c r="I37" s="49">
        <f t="shared" si="10"/>
        <v>-169.5</v>
      </c>
      <c r="J37" s="151">
        <f t="shared" si="10"/>
        <v>-156.94</v>
      </c>
      <c r="K37" s="105">
        <f t="shared" si="10"/>
        <v>-142.31</v>
      </c>
      <c r="L37" s="61">
        <f t="shared" si="10"/>
        <v>0</v>
      </c>
      <c r="O37" s="47">
        <f t="shared" ref="O37:O38" si="11">-SUM(J37:L37)</f>
        <v>299.25</v>
      </c>
    </row>
    <row r="38" spans="1:15" ht="15.75" thickBot="1" x14ac:dyDescent="0.3">
      <c r="A38" s="46" t="s">
        <v>25</v>
      </c>
      <c r="C38" s="352">
        <v>0</v>
      </c>
      <c r="D38" s="41">
        <f t="shared" si="10"/>
        <v>0</v>
      </c>
      <c r="E38" s="41">
        <f t="shared" si="10"/>
        <v>0</v>
      </c>
      <c r="F38" s="105">
        <f t="shared" si="10"/>
        <v>0</v>
      </c>
      <c r="G38" s="40">
        <f t="shared" si="10"/>
        <v>0</v>
      </c>
      <c r="H38" s="116">
        <f t="shared" si="10"/>
        <v>0</v>
      </c>
      <c r="I38" s="49">
        <f t="shared" si="10"/>
        <v>0</v>
      </c>
      <c r="J38" s="151">
        <f t="shared" si="10"/>
        <v>0</v>
      </c>
      <c r="K38" s="105">
        <f t="shared" si="10"/>
        <v>0</v>
      </c>
      <c r="L38" s="61">
        <f t="shared" si="10"/>
        <v>0</v>
      </c>
      <c r="O38" s="47">
        <f t="shared" si="11"/>
        <v>0</v>
      </c>
    </row>
    <row r="39" spans="1:15" ht="16.5" thickTop="1" thickBot="1" x14ac:dyDescent="0.3">
      <c r="A39" s="54" t="s">
        <v>22</v>
      </c>
      <c r="B39" s="54"/>
      <c r="C39" s="104">
        <v>0</v>
      </c>
      <c r="D39" s="42">
        <f t="shared" ref="D39:I39" si="12">SUM(D37:D38)+SUM(D32:D33)-D42</f>
        <v>0</v>
      </c>
      <c r="E39" s="42">
        <f t="shared" si="12"/>
        <v>0</v>
      </c>
      <c r="F39" s="50">
        <f t="shared" ref="F39:H39" si="13">SUM(F37:F38)+SUM(F32:F33)-F42</f>
        <v>0</v>
      </c>
      <c r="G39" s="267">
        <f t="shared" si="13"/>
        <v>0</v>
      </c>
      <c r="H39" s="50">
        <f t="shared" si="13"/>
        <v>0</v>
      </c>
      <c r="I39" s="62">
        <f t="shared" si="12"/>
        <v>0</v>
      </c>
      <c r="J39" s="152">
        <f t="shared" ref="J39:L39" si="14">SUM(J37:J38)+SUM(J32:J33)-J42</f>
        <v>0</v>
      </c>
      <c r="K39" s="50">
        <f t="shared" si="14"/>
        <v>0</v>
      </c>
      <c r="L39" s="62">
        <f t="shared" si="14"/>
        <v>0</v>
      </c>
    </row>
    <row r="40" spans="1:15" ht="16.5" thickTop="1" thickBot="1" x14ac:dyDescent="0.3">
      <c r="A40" s="54" t="s">
        <v>23</v>
      </c>
      <c r="B40" s="54"/>
      <c r="C40" s="104">
        <v>0</v>
      </c>
      <c r="D40" s="42">
        <f t="shared" ref="D40:I40" si="15">SUM(D37:D38)-D25</f>
        <v>-9.9999999999909051E-3</v>
      </c>
      <c r="E40" s="42">
        <f t="shared" si="15"/>
        <v>0</v>
      </c>
      <c r="F40" s="50">
        <f t="shared" ref="F40:H40" si="16">SUM(F37:F38)-F25</f>
        <v>0</v>
      </c>
      <c r="G40" s="267">
        <f t="shared" si="16"/>
        <v>0</v>
      </c>
      <c r="H40" s="50">
        <f t="shared" si="16"/>
        <v>9.9999999999909051E-3</v>
      </c>
      <c r="I40" s="62">
        <f t="shared" si="15"/>
        <v>9.9999999999909051E-3</v>
      </c>
      <c r="J40" s="153">
        <f t="shared" ref="J40:L40" si="17">SUM(J37:J38)-J25</f>
        <v>0</v>
      </c>
      <c r="K40" s="42">
        <f t="shared" si="17"/>
        <v>0</v>
      </c>
      <c r="L40" s="42">
        <f t="shared" si="17"/>
        <v>0</v>
      </c>
    </row>
    <row r="41" spans="1:15" ht="16.5" thickTop="1" thickBot="1" x14ac:dyDescent="0.3">
      <c r="C41" s="98"/>
      <c r="D41" s="17"/>
      <c r="E41" s="17"/>
      <c r="F41" s="17"/>
      <c r="G41" s="10"/>
      <c r="H41" s="17"/>
      <c r="I41" s="11"/>
      <c r="J41" s="17"/>
      <c r="K41" s="17"/>
      <c r="L41" s="11"/>
    </row>
    <row r="42" spans="1:15" ht="15.75" thickBot="1" x14ac:dyDescent="0.3">
      <c r="A42" s="46" t="s">
        <v>36</v>
      </c>
      <c r="B42" s="113">
        <f>SUM(B32:B33)</f>
        <v>-38564.939999999966</v>
      </c>
      <c r="C42" s="99">
        <f t="shared" ref="C42:L42" si="18">(C15-SUM(C18:C19))+SUM(C37:C38)+B42</f>
        <v>-46620.419999999969</v>
      </c>
      <c r="D42" s="41">
        <f t="shared" si="18"/>
        <v>-44748.329999999973</v>
      </c>
      <c r="E42" s="41">
        <f t="shared" si="18"/>
        <v>-42124.249999999971</v>
      </c>
      <c r="F42" s="105">
        <f t="shared" si="18"/>
        <v>-38695.159999999974</v>
      </c>
      <c r="G42" s="40">
        <f t="shared" si="18"/>
        <v>-35153.989999999976</v>
      </c>
      <c r="H42" s="41">
        <f t="shared" si="18"/>
        <v>-31699.809999999976</v>
      </c>
      <c r="I42" s="61">
        <f t="shared" si="18"/>
        <v>-29353.249999999975</v>
      </c>
      <c r="J42" s="151">
        <f t="shared" si="18"/>
        <v>-27176.289999999975</v>
      </c>
      <c r="K42" s="105">
        <f t="shared" si="18"/>
        <v>-24082.919999999976</v>
      </c>
      <c r="L42" s="61">
        <f t="shared" si="18"/>
        <v>-20115.919999999976</v>
      </c>
    </row>
    <row r="43" spans="1:15" x14ac:dyDescent="0.25">
      <c r="A43" s="46" t="s">
        <v>12</v>
      </c>
      <c r="C43" s="114"/>
      <c r="D43" s="17"/>
      <c r="E43" s="17"/>
      <c r="F43" s="17"/>
      <c r="G43" s="10"/>
      <c r="H43" s="17"/>
      <c r="I43" s="11"/>
      <c r="J43" s="17"/>
      <c r="K43" s="17"/>
      <c r="L43" s="11"/>
    </row>
    <row r="44" spans="1:15" ht="15.75" thickBot="1" x14ac:dyDescent="0.3">
      <c r="A44" s="37"/>
      <c r="B44" s="37"/>
      <c r="C44" s="138"/>
      <c r="D44" s="44"/>
      <c r="E44" s="44"/>
      <c r="F44" s="44"/>
      <c r="G44" s="43"/>
      <c r="H44" s="44"/>
      <c r="I44" s="45"/>
      <c r="J44" s="44"/>
      <c r="K44" s="44"/>
      <c r="L44" s="45"/>
    </row>
    <row r="46" spans="1:15" x14ac:dyDescent="0.25">
      <c r="A46" s="69" t="s">
        <v>11</v>
      </c>
      <c r="B46" s="69"/>
      <c r="C46" s="69"/>
    </row>
    <row r="47" spans="1:15" x14ac:dyDescent="0.25">
      <c r="A47" s="369" t="s">
        <v>168</v>
      </c>
      <c r="B47" s="369"/>
      <c r="C47" s="369"/>
      <c r="D47" s="369"/>
      <c r="E47" s="369"/>
      <c r="F47" s="369"/>
      <c r="G47" s="369"/>
      <c r="H47" s="369"/>
      <c r="I47" s="369"/>
      <c r="J47" s="168"/>
      <c r="K47" s="168"/>
      <c r="L47" s="168"/>
    </row>
    <row r="48" spans="1:15" ht="61.5" customHeight="1" x14ac:dyDescent="0.25">
      <c r="A48" s="369" t="s">
        <v>268</v>
      </c>
      <c r="B48" s="369"/>
      <c r="C48" s="369"/>
      <c r="D48" s="369"/>
      <c r="E48" s="369"/>
      <c r="F48" s="369"/>
      <c r="G48" s="369"/>
      <c r="H48" s="369"/>
      <c r="I48" s="369"/>
      <c r="J48" s="168"/>
      <c r="K48" s="168"/>
    </row>
    <row r="49" spans="1:12" ht="18.75" customHeight="1" x14ac:dyDescent="0.25">
      <c r="A49" s="3" t="s">
        <v>184</v>
      </c>
      <c r="B49" s="3"/>
      <c r="C49" s="3"/>
      <c r="I49" s="4"/>
      <c r="J49" s="168"/>
      <c r="K49" s="168"/>
      <c r="L49" s="168"/>
    </row>
    <row r="50" spans="1:12" x14ac:dyDescent="0.25">
      <c r="A50" s="3" t="s">
        <v>240</v>
      </c>
      <c r="B50" s="3"/>
      <c r="C50" s="3"/>
      <c r="I50" s="4"/>
    </row>
    <row r="51" spans="1:12" x14ac:dyDescent="0.25">
      <c r="A51" s="3" t="s">
        <v>125</v>
      </c>
      <c r="B51" s="3"/>
      <c r="C51" s="3"/>
      <c r="I51" s="4"/>
    </row>
    <row r="52" spans="1:12" x14ac:dyDescent="0.25">
      <c r="A52" s="3" t="s">
        <v>182</v>
      </c>
      <c r="B52" s="63"/>
      <c r="C52" s="63"/>
      <c r="D52" s="39"/>
      <c r="E52" s="39"/>
      <c r="F52" s="39"/>
      <c r="G52" s="39"/>
      <c r="H52" s="39"/>
      <c r="I52" s="39"/>
    </row>
    <row r="53" spans="1:12" x14ac:dyDescent="0.25">
      <c r="A53" s="3"/>
      <c r="B53" s="3"/>
      <c r="C53" s="3"/>
    </row>
  </sheetData>
  <mergeCells count="5">
    <mergeCell ref="D13:F13"/>
    <mergeCell ref="G13:I13"/>
    <mergeCell ref="J13:L13"/>
    <mergeCell ref="A47:I47"/>
    <mergeCell ref="A48:I48"/>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55197-5D25-4B83-9D4C-E7AB3BA59864}">
  <sheetPr>
    <tabColor theme="9" tint="0.59999389629810485"/>
    <pageSetUpPr fitToPage="1"/>
  </sheetPr>
  <dimension ref="A1:AI65"/>
  <sheetViews>
    <sheetView workbookViewId="0">
      <selection activeCell="O3" sqref="O3"/>
    </sheetView>
  </sheetViews>
  <sheetFormatPr defaultColWidth="9.140625" defaultRowHeight="15" outlineLevelCol="1" x14ac:dyDescent="0.25"/>
  <cols>
    <col min="1" max="1" width="37.7109375" style="46" customWidth="1"/>
    <col min="2" max="2" width="12.28515625" style="46" bestFit="1" customWidth="1"/>
    <col min="3" max="3" width="12.42578125" style="46" bestFit="1" customWidth="1"/>
    <col min="4" max="4" width="15.42578125" style="46" customWidth="1"/>
    <col min="5" max="5" width="15.85546875" style="46" bestFit="1" customWidth="1"/>
    <col min="6" max="6" width="12.28515625" style="46" bestFit="1" customWidth="1"/>
    <col min="7" max="8" width="13.28515625" style="46" bestFit="1" customWidth="1"/>
    <col min="9" max="9" width="14.42578125" style="46" bestFit="1" customWidth="1"/>
    <col min="10" max="10" width="12.42578125" style="46" customWidth="1"/>
    <col min="11" max="11" width="12.85546875" style="46" customWidth="1"/>
    <col min="12" max="12" width="16" style="46" customWidth="1"/>
    <col min="13" max="13" width="15" style="46" bestFit="1" customWidth="1"/>
    <col min="14" max="14" width="16" style="46" bestFit="1" customWidth="1"/>
    <col min="15" max="15" width="17.85546875" style="46" customWidth="1" outlineLevel="1"/>
    <col min="16" max="16" width="15.28515625" style="46" bestFit="1" customWidth="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Missouri West, Inc. - DSIM Rider Update Filed 12/01/2023</v>
      </c>
      <c r="B1" s="3"/>
      <c r="C1" s="3"/>
    </row>
    <row r="2" spans="1:35" x14ac:dyDescent="0.25">
      <c r="D2" s="3" t="s">
        <v>174</v>
      </c>
    </row>
    <row r="3" spans="1:35" ht="30" x14ac:dyDescent="0.25">
      <c r="D3" s="48" t="s">
        <v>46</v>
      </c>
      <c r="E3" s="70" t="s">
        <v>17</v>
      </c>
      <c r="F3" s="48" t="s">
        <v>3</v>
      </c>
      <c r="G3" s="70" t="s">
        <v>55</v>
      </c>
      <c r="H3" s="48" t="s">
        <v>10</v>
      </c>
      <c r="I3" s="48" t="s">
        <v>18</v>
      </c>
      <c r="S3" s="48"/>
    </row>
    <row r="4" spans="1:35" x14ac:dyDescent="0.25">
      <c r="A4" s="20" t="s">
        <v>24</v>
      </c>
      <c r="B4" s="20"/>
      <c r="C4" s="20"/>
      <c r="D4" s="22">
        <f>SUM(C20:L20)</f>
        <v>-137294.04999999999</v>
      </c>
      <c r="E4" s="22">
        <f>SUM(C26:K26)</f>
        <v>0</v>
      </c>
      <c r="F4" s="22">
        <f>E4-D4</f>
        <v>137294.04999999999</v>
      </c>
      <c r="G4" s="22">
        <f>+B40</f>
        <v>-244270.94999999992</v>
      </c>
      <c r="H4" s="22">
        <f>SUM(C47:K47)</f>
        <v>-6825.09</v>
      </c>
      <c r="I4" s="25">
        <f>SUM(F4:H4)</f>
        <v>-113801.98999999993</v>
      </c>
      <c r="J4" s="317">
        <f>+I4-L40</f>
        <v>0</v>
      </c>
      <c r="M4" s="47"/>
    </row>
    <row r="5" spans="1:35" x14ac:dyDescent="0.25">
      <c r="A5" s="20" t="s">
        <v>107</v>
      </c>
      <c r="B5" s="20"/>
      <c r="C5" s="20"/>
      <c r="D5" s="22">
        <f t="shared" ref="D5:D6" si="0">SUM(C21:L21)</f>
        <v>0</v>
      </c>
      <c r="E5" s="22">
        <f t="shared" ref="E5:E6" si="1">SUM(C27:K27)</f>
        <v>0</v>
      </c>
      <c r="F5" s="22">
        <f t="shared" ref="F5:F6" si="2">E5-D5</f>
        <v>0</v>
      </c>
      <c r="G5" s="22">
        <f t="shared" ref="G5:G6" si="3">+B41</f>
        <v>6.4570571112199104E-13</v>
      </c>
      <c r="H5" s="22">
        <f t="shared" ref="H5:H6" si="4">SUM(C48:K48)</f>
        <v>0</v>
      </c>
      <c r="I5" s="25">
        <f t="shared" ref="I5:I6" si="5">SUM(F5:H5)</f>
        <v>6.4570571112199104E-13</v>
      </c>
      <c r="J5" s="317"/>
      <c r="M5" s="47"/>
    </row>
    <row r="6" spans="1:35" x14ac:dyDescent="0.25">
      <c r="A6" s="20" t="s">
        <v>108</v>
      </c>
      <c r="B6" s="20"/>
      <c r="C6" s="20"/>
      <c r="D6" s="22">
        <f t="shared" si="0"/>
        <v>0</v>
      </c>
      <c r="E6" s="22">
        <f t="shared" si="1"/>
        <v>0</v>
      </c>
      <c r="F6" s="22">
        <f t="shared" si="2"/>
        <v>0</v>
      </c>
      <c r="G6" s="22">
        <f t="shared" si="3"/>
        <v>1.0036416142611415E-13</v>
      </c>
      <c r="H6" s="22">
        <f t="shared" si="4"/>
        <v>0</v>
      </c>
      <c r="I6" s="25">
        <f t="shared" si="5"/>
        <v>1.0036416142611415E-13</v>
      </c>
      <c r="J6" s="317"/>
      <c r="M6" s="47"/>
    </row>
    <row r="7" spans="1:35" ht="15.75" thickBot="1" x14ac:dyDescent="0.3">
      <c r="A7" s="20" t="s">
        <v>109</v>
      </c>
      <c r="B7" s="20"/>
      <c r="C7" s="20"/>
      <c r="D7" s="22">
        <f>SUM(C23:L23)</f>
        <v>0</v>
      </c>
      <c r="E7" s="22">
        <f>SUM(C29:K29)</f>
        <v>0</v>
      </c>
      <c r="F7" s="22">
        <f>E7-D7</f>
        <v>0</v>
      </c>
      <c r="G7" s="22">
        <f>+B43</f>
        <v>-6.3504757008558954E-14</v>
      </c>
      <c r="H7" s="22">
        <f>SUM(C50:K50)</f>
        <v>0</v>
      </c>
      <c r="I7" s="25">
        <f>SUM(F7:H7)</f>
        <v>-6.3504757008558954E-14</v>
      </c>
      <c r="J7" s="317">
        <f>+I7-L43</f>
        <v>0</v>
      </c>
      <c r="M7" s="47"/>
    </row>
    <row r="8" spans="1:35" ht="16.5" thickTop="1" thickBot="1" x14ac:dyDescent="0.3">
      <c r="D8" s="27">
        <f t="shared" ref="D8" si="6">SUM(D4:D7)</f>
        <v>-137294.04999999999</v>
      </c>
      <c r="E8" s="27">
        <f>SUM(E4:E7)</f>
        <v>0</v>
      </c>
      <c r="F8" s="27">
        <f>SUM(F4:F7)</f>
        <v>137294.04999999999</v>
      </c>
      <c r="G8" s="27">
        <f>SUM(G4:G7)</f>
        <v>-244270.94999999992</v>
      </c>
      <c r="H8" s="27">
        <f>SUM(H4:H7)</f>
        <v>-6825.09</v>
      </c>
      <c r="I8" s="27">
        <f>SUM(I4:I7)</f>
        <v>-113801.98999999993</v>
      </c>
      <c r="T8" s="5"/>
    </row>
    <row r="9" spans="1:35" ht="45.75" thickTop="1" x14ac:dyDescent="0.25">
      <c r="I9" s="211"/>
      <c r="J9" s="210" t="s">
        <v>122</v>
      </c>
    </row>
    <row r="10" spans="1:35" x14ac:dyDescent="0.25">
      <c r="A10" s="20" t="s">
        <v>107</v>
      </c>
      <c r="I10" s="25">
        <f>ROUND($I$7*J10,2)</f>
        <v>0</v>
      </c>
      <c r="J10" s="208">
        <f>+'PCR Cycle 2'!K8</f>
        <v>0.39209287804949344</v>
      </c>
      <c r="K10" s="39"/>
    </row>
    <row r="11" spans="1:35" x14ac:dyDescent="0.25">
      <c r="A11" s="20" t="s">
        <v>108</v>
      </c>
      <c r="I11" s="25">
        <f t="shared" ref="I11:I12" si="7">ROUND($I$7*J11,2)</f>
        <v>0</v>
      </c>
      <c r="J11" s="208">
        <f>+'PCR Cycle 2'!K9</f>
        <v>0.45435908608374953</v>
      </c>
      <c r="K11" s="39"/>
    </row>
    <row r="12" spans="1:35" ht="15.75" thickBot="1" x14ac:dyDescent="0.3">
      <c r="A12" s="20" t="s">
        <v>109</v>
      </c>
      <c r="I12" s="25">
        <f t="shared" si="7"/>
        <v>0</v>
      </c>
      <c r="J12" s="208">
        <f>+'PCR Cycle 2'!K10</f>
        <v>0.15354803586675725</v>
      </c>
      <c r="K12" s="39"/>
    </row>
    <row r="13" spans="1:35" ht="16.5" thickTop="1" thickBot="1" x14ac:dyDescent="0.3">
      <c r="A13" s="20" t="s">
        <v>111</v>
      </c>
      <c r="I13" s="27">
        <f>SUM(I10:I12)</f>
        <v>0</v>
      </c>
      <c r="J13" s="209">
        <f>SUM(J10:J12)</f>
        <v>1.0000000000000002</v>
      </c>
      <c r="V13" s="4"/>
    </row>
    <row r="14" spans="1:35" ht="16.5" thickTop="1" thickBot="1" x14ac:dyDescent="0.3">
      <c r="V14" s="4"/>
      <c r="W14" s="5"/>
    </row>
    <row r="15" spans="1:35" ht="105.75" thickBot="1" x14ac:dyDescent="0.3">
      <c r="B15" s="112" t="str">
        <f>+'PCR Cycle 2'!B13</f>
        <v>Cumulative Over/Under Carryover From 06/01/2023 Filing</v>
      </c>
      <c r="C15" s="143" t="str">
        <f>+'PCR Cycle 2'!C13</f>
        <v>Reverse May 2023 - July 2023 Forecast From 06/01/2023 Filing</v>
      </c>
      <c r="D15" s="363" t="s">
        <v>33</v>
      </c>
      <c r="E15" s="363"/>
      <c r="F15" s="364"/>
      <c r="G15" s="372" t="s">
        <v>33</v>
      </c>
      <c r="H15" s="373"/>
      <c r="I15" s="374"/>
      <c r="J15" s="359" t="s">
        <v>8</v>
      </c>
      <c r="K15" s="360"/>
      <c r="L15" s="361"/>
      <c r="O15" s="281" t="s">
        <v>247</v>
      </c>
    </row>
    <row r="16" spans="1:35" x14ac:dyDescent="0.25">
      <c r="A16" s="46" t="s">
        <v>91</v>
      </c>
      <c r="C16" s="102"/>
      <c r="D16" s="19">
        <f>+'PCR Cycle 2'!D14</f>
        <v>45077</v>
      </c>
      <c r="E16" s="19">
        <f t="shared" ref="E16:L16" si="8">EOMONTH(D16,1)</f>
        <v>45107</v>
      </c>
      <c r="F16" s="19">
        <f t="shared" si="8"/>
        <v>45138</v>
      </c>
      <c r="G16" s="14">
        <f t="shared" si="8"/>
        <v>45169</v>
      </c>
      <c r="H16" s="19">
        <f t="shared" si="8"/>
        <v>45199</v>
      </c>
      <c r="I16" s="15">
        <f t="shared" si="8"/>
        <v>45230</v>
      </c>
      <c r="J16" s="19">
        <f t="shared" si="8"/>
        <v>45260</v>
      </c>
      <c r="K16" s="19">
        <f t="shared" si="8"/>
        <v>45291</v>
      </c>
      <c r="L16" s="15">
        <f t="shared" si="8"/>
        <v>45322</v>
      </c>
      <c r="Z16" s="1"/>
      <c r="AA16" s="1"/>
      <c r="AB16" s="1"/>
      <c r="AC16" s="1"/>
      <c r="AD16" s="1"/>
      <c r="AE16" s="1"/>
      <c r="AF16" s="1"/>
      <c r="AG16" s="1"/>
      <c r="AH16" s="1"/>
      <c r="AI16" s="1"/>
    </row>
    <row r="17" spans="1:15" x14ac:dyDescent="0.25">
      <c r="A17" s="46" t="s">
        <v>5</v>
      </c>
      <c r="C17" s="96">
        <v>0</v>
      </c>
      <c r="D17" s="106">
        <f>SUM(D26:D29)</f>
        <v>0</v>
      </c>
      <c r="E17" s="106">
        <f t="shared" ref="E17:H17" si="9">SUM(E26:E29)</f>
        <v>0</v>
      </c>
      <c r="F17" s="107">
        <f t="shared" si="9"/>
        <v>0</v>
      </c>
      <c r="G17" s="16">
        <f t="shared" si="9"/>
        <v>0</v>
      </c>
      <c r="H17" s="55">
        <f t="shared" si="9"/>
        <v>0</v>
      </c>
      <c r="I17" s="154">
        <f>+I26+I29</f>
        <v>0</v>
      </c>
      <c r="J17" s="147">
        <f t="shared" ref="J17:K17" si="10">+J26+J29</f>
        <v>0</v>
      </c>
      <c r="K17" s="77">
        <f t="shared" si="10"/>
        <v>0</v>
      </c>
      <c r="L17" s="78"/>
      <c r="O17" s="47">
        <f>-SUM(J17:L17)</f>
        <v>0</v>
      </c>
    </row>
    <row r="18" spans="1:15" x14ac:dyDescent="0.25">
      <c r="C18" s="98"/>
      <c r="D18" s="17"/>
      <c r="E18" s="17"/>
      <c r="F18" s="17"/>
      <c r="G18" s="28"/>
      <c r="H18" s="17"/>
      <c r="I18" s="11"/>
      <c r="J18" s="31"/>
      <c r="K18" s="31"/>
      <c r="L18" s="29"/>
    </row>
    <row r="19" spans="1:15" x14ac:dyDescent="0.25">
      <c r="A19" s="46" t="s">
        <v>90</v>
      </c>
      <c r="C19" s="98"/>
      <c r="D19" s="18"/>
      <c r="E19" s="18"/>
      <c r="F19" s="18"/>
      <c r="G19" s="265"/>
      <c r="H19" s="18"/>
      <c r="I19" s="155"/>
      <c r="J19" s="31"/>
      <c r="K19" s="31"/>
      <c r="L19" s="29"/>
      <c r="M19" s="3" t="s">
        <v>50</v>
      </c>
      <c r="N19" s="39"/>
    </row>
    <row r="20" spans="1:15" x14ac:dyDescent="0.25">
      <c r="A20" s="46" t="s">
        <v>24</v>
      </c>
      <c r="C20" s="96">
        <v>102188.56</v>
      </c>
      <c r="D20" s="126">
        <f>ROUND('[4]May 2023'!$G97,2)</f>
        <v>-25359.279999999999</v>
      </c>
      <c r="E20" s="126">
        <f>ROUND('[4]June 2023'!$G97,2)</f>
        <v>-34269.49</v>
      </c>
      <c r="F20" s="126">
        <f>ROUND('[4]July 2023'!$G97,2)</f>
        <v>-43804.45</v>
      </c>
      <c r="G20" s="16">
        <f>ROUND('[4]August 2023'!$G97,2)</f>
        <v>-26214.71</v>
      </c>
      <c r="H20" s="55">
        <f>ROUND('[4]September 2023'!$G97,2)</f>
        <v>-25464.73</v>
      </c>
      <c r="I20" s="154">
        <f>ROUND('[4]October 2023'!$G97,2)</f>
        <v>-17613.91</v>
      </c>
      <c r="J20" s="116">
        <f>ROUND('PCR Cycle 2'!J26*$M20,2)</f>
        <v>-16337.32</v>
      </c>
      <c r="K20" s="41">
        <f>ROUND('PCR Cycle 2'!K26*$M20,2)</f>
        <v>-22649.75</v>
      </c>
      <c r="L20" s="61">
        <f>ROUND('PCR Cycle 2'!L26*$M20,2)</f>
        <v>-27768.97</v>
      </c>
      <c r="M20" s="72">
        <v>-6.9999999999999994E-5</v>
      </c>
      <c r="N20" s="4"/>
      <c r="O20" s="47">
        <f>-SUM(J20:L20)</f>
        <v>66756.040000000008</v>
      </c>
    </row>
    <row r="21" spans="1:15" x14ac:dyDescent="0.25">
      <c r="A21" s="46" t="s">
        <v>107</v>
      </c>
      <c r="C21" s="96">
        <v>0</v>
      </c>
      <c r="D21" s="126">
        <f>ROUND('[4]May 2023'!$G98,2)</f>
        <v>0</v>
      </c>
      <c r="E21" s="126">
        <f>ROUND('[4]June 2023'!$G98,2)</f>
        <v>0</v>
      </c>
      <c r="F21" s="126">
        <f>ROUND('[4]July 2023'!$G98,2)</f>
        <v>0</v>
      </c>
      <c r="G21" s="16">
        <f>ROUND('[4]August 2023'!$G98,2)</f>
        <v>0</v>
      </c>
      <c r="H21" s="55">
        <f>ROUND('[4]September 2023'!$G98,2)</f>
        <v>0</v>
      </c>
      <c r="I21" s="154">
        <f>ROUND('[4]October 2023'!$G98,2)</f>
        <v>0</v>
      </c>
      <c r="J21" s="116">
        <f>ROUND('PCR Cycle 2'!J27*$M21,2)</f>
        <v>0</v>
      </c>
      <c r="K21" s="41">
        <f>ROUND('PCR Cycle 2'!K27*$M21,2)</f>
        <v>0</v>
      </c>
      <c r="L21" s="61">
        <f>ROUND('PCR Cycle 2'!L27*$M21,2)</f>
        <v>0</v>
      </c>
      <c r="M21" s="72">
        <v>0</v>
      </c>
      <c r="N21" s="4"/>
      <c r="O21" s="47">
        <f t="shared" ref="O21:O23" si="11">-SUM(J21:L21)</f>
        <v>0</v>
      </c>
    </row>
    <row r="22" spans="1:15" x14ac:dyDescent="0.25">
      <c r="A22" s="46" t="s">
        <v>108</v>
      </c>
      <c r="C22" s="96">
        <v>0</v>
      </c>
      <c r="D22" s="126">
        <f>ROUND('[4]May 2023'!$G99,2)</f>
        <v>0</v>
      </c>
      <c r="E22" s="126">
        <f>ROUND('[4]June 2023'!$G99,2)</f>
        <v>0</v>
      </c>
      <c r="F22" s="126">
        <f>ROUND('[4]July 2023'!$G99,2)</f>
        <v>0</v>
      </c>
      <c r="G22" s="16">
        <f>ROUND('[4]August 2023'!$G99,2)</f>
        <v>0</v>
      </c>
      <c r="H22" s="55">
        <f>ROUND('[4]September 2023'!$G99,2)</f>
        <v>0</v>
      </c>
      <c r="I22" s="154">
        <f>ROUND('[4]October 2023'!$G99,2)</f>
        <v>0</v>
      </c>
      <c r="J22" s="116">
        <f>ROUND('PCR Cycle 2'!J28*$M22,2)</f>
        <v>0</v>
      </c>
      <c r="K22" s="41">
        <f>ROUND('PCR Cycle 2'!K28*$M22,2)</f>
        <v>0</v>
      </c>
      <c r="L22" s="61">
        <f>ROUND('PCR Cycle 2'!L28*$M22,2)</f>
        <v>0</v>
      </c>
      <c r="M22" s="72">
        <v>0</v>
      </c>
      <c r="N22" s="4"/>
      <c r="O22" s="47">
        <f t="shared" si="11"/>
        <v>0</v>
      </c>
    </row>
    <row r="23" spans="1:15" x14ac:dyDescent="0.25">
      <c r="A23" s="46" t="s">
        <v>109</v>
      </c>
      <c r="C23" s="96">
        <v>0</v>
      </c>
      <c r="D23" s="126">
        <f>ROUND('[4]May 2023'!$G100,2)</f>
        <v>0</v>
      </c>
      <c r="E23" s="126">
        <f>ROUND('[4]June 2023'!$G100,2)</f>
        <v>0</v>
      </c>
      <c r="F23" s="126">
        <f>ROUND('[4]July 2023'!$G100,2)</f>
        <v>0</v>
      </c>
      <c r="G23" s="16">
        <f>ROUND('[4]August 2023'!$G100,2)</f>
        <v>0</v>
      </c>
      <c r="H23" s="55">
        <f>ROUND('[4]September 2023'!$G100,2)</f>
        <v>0</v>
      </c>
      <c r="I23" s="154">
        <f>ROUND('[4]October 2023'!$G100,2)</f>
        <v>0</v>
      </c>
      <c r="J23" s="116">
        <f>ROUND('PCR Cycle 2'!J29*$M23,2)</f>
        <v>0</v>
      </c>
      <c r="K23" s="41">
        <f>ROUND('PCR Cycle 2'!K29*$M23,2)</f>
        <v>0</v>
      </c>
      <c r="L23" s="61">
        <f>ROUND('PCR Cycle 2'!L29*$M23,2)</f>
        <v>0</v>
      </c>
      <c r="M23" s="72">
        <v>0</v>
      </c>
      <c r="N23" s="4"/>
      <c r="O23" s="47">
        <f t="shared" si="11"/>
        <v>0</v>
      </c>
    </row>
    <row r="24" spans="1:15" x14ac:dyDescent="0.25">
      <c r="C24" s="67"/>
      <c r="D24" s="68"/>
      <c r="E24" s="68"/>
      <c r="F24" s="68"/>
      <c r="G24" s="97"/>
      <c r="H24" s="68"/>
      <c r="I24" s="156"/>
      <c r="J24" s="56"/>
      <c r="K24" s="56"/>
      <c r="L24" s="13"/>
      <c r="N24" s="4"/>
    </row>
    <row r="25" spans="1:15" x14ac:dyDescent="0.25">
      <c r="A25" s="46" t="s">
        <v>92</v>
      </c>
      <c r="C25" s="36"/>
      <c r="D25" s="37"/>
      <c r="E25" s="37"/>
      <c r="F25" s="37"/>
      <c r="G25" s="36"/>
      <c r="H25" s="37"/>
      <c r="I25" s="158"/>
      <c r="J25" s="52"/>
      <c r="K25" s="52"/>
      <c r="L25" s="38"/>
    </row>
    <row r="26" spans="1:15" x14ac:dyDescent="0.25">
      <c r="A26" s="46" t="s">
        <v>24</v>
      </c>
      <c r="C26" s="96">
        <v>0</v>
      </c>
      <c r="D26" s="106">
        <v>0</v>
      </c>
      <c r="E26" s="106">
        <v>0</v>
      </c>
      <c r="F26" s="107">
        <v>0</v>
      </c>
      <c r="G26" s="16">
        <v>0</v>
      </c>
      <c r="H26" s="55">
        <v>0</v>
      </c>
      <c r="I26" s="154">
        <v>0</v>
      </c>
      <c r="J26" s="149">
        <v>0</v>
      </c>
      <c r="K26" s="133">
        <v>0</v>
      </c>
      <c r="L26" s="78"/>
      <c r="O26" s="47">
        <f>-SUM(J26:L26)</f>
        <v>0</v>
      </c>
    </row>
    <row r="27" spans="1:15" x14ac:dyDescent="0.25">
      <c r="A27" s="46" t="s">
        <v>107</v>
      </c>
      <c r="C27" s="96">
        <v>0</v>
      </c>
      <c r="D27" s="106">
        <v>0</v>
      </c>
      <c r="E27" s="106">
        <v>0</v>
      </c>
      <c r="F27" s="107">
        <v>0</v>
      </c>
      <c r="G27" s="16">
        <v>0</v>
      </c>
      <c r="H27" s="55">
        <v>0</v>
      </c>
      <c r="I27" s="154">
        <v>0</v>
      </c>
      <c r="J27" s="149">
        <v>0</v>
      </c>
      <c r="K27" s="133">
        <v>0</v>
      </c>
      <c r="L27" s="78"/>
      <c r="O27" s="47">
        <f t="shared" ref="O27:O31" si="12">-SUM(J27:L27)</f>
        <v>0</v>
      </c>
    </row>
    <row r="28" spans="1:15" x14ac:dyDescent="0.25">
      <c r="A28" s="46" t="s">
        <v>108</v>
      </c>
      <c r="C28" s="96">
        <v>0</v>
      </c>
      <c r="D28" s="106">
        <v>0</v>
      </c>
      <c r="E28" s="106">
        <v>0</v>
      </c>
      <c r="F28" s="107">
        <v>0</v>
      </c>
      <c r="G28" s="16">
        <v>0</v>
      </c>
      <c r="H28" s="55">
        <v>0</v>
      </c>
      <c r="I28" s="154">
        <v>0</v>
      </c>
      <c r="J28" s="149">
        <v>0</v>
      </c>
      <c r="K28" s="133">
        <v>0</v>
      </c>
      <c r="L28" s="78"/>
      <c r="O28" s="47">
        <f t="shared" si="12"/>
        <v>0</v>
      </c>
    </row>
    <row r="29" spans="1:15" x14ac:dyDescent="0.25">
      <c r="A29" s="46" t="s">
        <v>109</v>
      </c>
      <c r="C29" s="96">
        <v>0</v>
      </c>
      <c r="D29" s="106">
        <v>0</v>
      </c>
      <c r="E29" s="106">
        <v>0</v>
      </c>
      <c r="F29" s="107">
        <v>0</v>
      </c>
      <c r="G29" s="16">
        <v>0</v>
      </c>
      <c r="H29" s="55">
        <v>0</v>
      </c>
      <c r="I29" s="154">
        <v>0</v>
      </c>
      <c r="J29" s="149">
        <v>0</v>
      </c>
      <c r="K29" s="133">
        <v>0</v>
      </c>
      <c r="L29" s="78"/>
      <c r="N29" s="47"/>
      <c r="O29" s="47">
        <f t="shared" si="12"/>
        <v>0</v>
      </c>
    </row>
    <row r="30" spans="1:15" x14ac:dyDescent="0.25">
      <c r="C30" s="98"/>
      <c r="D30" s="18"/>
      <c r="E30" s="18"/>
      <c r="F30" s="18"/>
      <c r="G30" s="265"/>
      <c r="H30" s="18"/>
      <c r="I30" s="155"/>
      <c r="J30" s="56"/>
      <c r="K30" s="56"/>
      <c r="L30" s="13"/>
    </row>
    <row r="31" spans="1:15" ht="15.75" thickBot="1" x14ac:dyDescent="0.3">
      <c r="A31" s="3" t="s">
        <v>14</v>
      </c>
      <c r="B31" s="3"/>
      <c r="C31" s="100">
        <v>3278.8900000000003</v>
      </c>
      <c r="D31" s="126">
        <v>-1755.89</v>
      </c>
      <c r="E31" s="126">
        <v>-1620.7</v>
      </c>
      <c r="F31" s="127">
        <v>-1455.1</v>
      </c>
      <c r="G31" s="26">
        <v>-1286.22</v>
      </c>
      <c r="H31" s="115">
        <v>-1150.94</v>
      </c>
      <c r="I31" s="159">
        <v>-1038.6199999999999</v>
      </c>
      <c r="J31" s="150">
        <v>-949.88</v>
      </c>
      <c r="K31" s="135">
        <v>-846.63</v>
      </c>
      <c r="L31" s="81"/>
      <c r="O31" s="47">
        <f t="shared" si="12"/>
        <v>1796.51</v>
      </c>
    </row>
    <row r="32" spans="1:15" x14ac:dyDescent="0.25">
      <c r="C32" s="64"/>
      <c r="D32" s="139"/>
      <c r="E32" s="139"/>
      <c r="F32" s="140"/>
      <c r="G32" s="64"/>
      <c r="H32" s="33"/>
      <c r="I32" s="160"/>
      <c r="J32" s="34"/>
      <c r="K32" s="34"/>
      <c r="L32" s="60"/>
    </row>
    <row r="33" spans="1:15" x14ac:dyDescent="0.25">
      <c r="A33" s="46" t="s">
        <v>52</v>
      </c>
      <c r="C33" s="65"/>
      <c r="D33" s="140"/>
      <c r="E33" s="140"/>
      <c r="F33" s="140"/>
      <c r="G33" s="266"/>
      <c r="H33" s="35"/>
      <c r="I33" s="161"/>
      <c r="J33" s="34"/>
      <c r="K33" s="34"/>
      <c r="L33" s="60"/>
    </row>
    <row r="34" spans="1:15" x14ac:dyDescent="0.25">
      <c r="A34" s="46" t="s">
        <v>24</v>
      </c>
      <c r="C34" s="99">
        <f>C26-C20</f>
        <v>-102188.56</v>
      </c>
      <c r="D34" s="41">
        <f t="shared" ref="D34:L34" si="13">D26-D20</f>
        <v>25359.279999999999</v>
      </c>
      <c r="E34" s="41">
        <f t="shared" si="13"/>
        <v>34269.49</v>
      </c>
      <c r="F34" s="105">
        <f t="shared" si="13"/>
        <v>43804.45</v>
      </c>
      <c r="G34" s="40">
        <f t="shared" si="13"/>
        <v>26214.71</v>
      </c>
      <c r="H34" s="41">
        <f t="shared" si="13"/>
        <v>25464.73</v>
      </c>
      <c r="I34" s="61">
        <f t="shared" si="13"/>
        <v>17613.91</v>
      </c>
      <c r="J34" s="116">
        <f t="shared" si="13"/>
        <v>16337.32</v>
      </c>
      <c r="K34" s="41">
        <f t="shared" si="13"/>
        <v>22649.75</v>
      </c>
      <c r="L34" s="61">
        <f t="shared" si="13"/>
        <v>27768.97</v>
      </c>
    </row>
    <row r="35" spans="1:15" x14ac:dyDescent="0.25">
      <c r="A35" s="46" t="s">
        <v>107</v>
      </c>
      <c r="C35" s="99">
        <f t="shared" ref="C35:L35" si="14">C27-C21</f>
        <v>0</v>
      </c>
      <c r="D35" s="41">
        <f t="shared" si="14"/>
        <v>0</v>
      </c>
      <c r="E35" s="41">
        <f t="shared" si="14"/>
        <v>0</v>
      </c>
      <c r="F35" s="105">
        <f t="shared" si="14"/>
        <v>0</v>
      </c>
      <c r="G35" s="40">
        <f t="shared" si="14"/>
        <v>0</v>
      </c>
      <c r="H35" s="41">
        <f t="shared" si="14"/>
        <v>0</v>
      </c>
      <c r="I35" s="61">
        <f t="shared" si="14"/>
        <v>0</v>
      </c>
      <c r="J35" s="116">
        <f t="shared" si="14"/>
        <v>0</v>
      </c>
      <c r="K35" s="41">
        <f t="shared" si="14"/>
        <v>0</v>
      </c>
      <c r="L35" s="61">
        <f t="shared" si="14"/>
        <v>0</v>
      </c>
    </row>
    <row r="36" spans="1:15" x14ac:dyDescent="0.25">
      <c r="A36" s="46" t="s">
        <v>108</v>
      </c>
      <c r="C36" s="99">
        <f t="shared" ref="C36:L36" si="15">C28-C22</f>
        <v>0</v>
      </c>
      <c r="D36" s="41">
        <f t="shared" si="15"/>
        <v>0</v>
      </c>
      <c r="E36" s="41">
        <f t="shared" si="15"/>
        <v>0</v>
      </c>
      <c r="F36" s="105">
        <f t="shared" si="15"/>
        <v>0</v>
      </c>
      <c r="G36" s="40">
        <f t="shared" si="15"/>
        <v>0</v>
      </c>
      <c r="H36" s="41">
        <f t="shared" si="15"/>
        <v>0</v>
      </c>
      <c r="I36" s="61">
        <f t="shared" si="15"/>
        <v>0</v>
      </c>
      <c r="J36" s="116">
        <f t="shared" si="15"/>
        <v>0</v>
      </c>
      <c r="K36" s="41">
        <f t="shared" si="15"/>
        <v>0</v>
      </c>
      <c r="L36" s="61">
        <f t="shared" si="15"/>
        <v>0</v>
      </c>
    </row>
    <row r="37" spans="1:15" x14ac:dyDescent="0.25">
      <c r="A37" s="46" t="s">
        <v>109</v>
      </c>
      <c r="C37" s="99">
        <f t="shared" ref="C37:L37" si="16">C29-C23</f>
        <v>0</v>
      </c>
      <c r="D37" s="41">
        <f t="shared" si="16"/>
        <v>0</v>
      </c>
      <c r="E37" s="41">
        <f t="shared" si="16"/>
        <v>0</v>
      </c>
      <c r="F37" s="105">
        <f t="shared" si="16"/>
        <v>0</v>
      </c>
      <c r="G37" s="40">
        <f t="shared" si="16"/>
        <v>0</v>
      </c>
      <c r="H37" s="41">
        <f t="shared" si="16"/>
        <v>0</v>
      </c>
      <c r="I37" s="61">
        <f t="shared" si="16"/>
        <v>0</v>
      </c>
      <c r="J37" s="116">
        <f t="shared" si="16"/>
        <v>0</v>
      </c>
      <c r="K37" s="41">
        <f t="shared" si="16"/>
        <v>0</v>
      </c>
      <c r="L37" s="61">
        <f t="shared" si="16"/>
        <v>0</v>
      </c>
    </row>
    <row r="38" spans="1:15" x14ac:dyDescent="0.25">
      <c r="C38" s="98"/>
      <c r="D38" s="17"/>
      <c r="E38" s="17"/>
      <c r="F38" s="17"/>
      <c r="G38" s="28"/>
      <c r="H38" s="17"/>
      <c r="I38" s="11"/>
      <c r="J38" s="17"/>
      <c r="K38" s="17"/>
      <c r="L38" s="11"/>
    </row>
    <row r="39" spans="1:15" ht="15.75" thickBot="1" x14ac:dyDescent="0.3">
      <c r="A39" s="46" t="s">
        <v>53</v>
      </c>
      <c r="C39" s="98"/>
      <c r="D39" s="17"/>
      <c r="E39" s="17"/>
      <c r="F39" s="17"/>
      <c r="G39" s="28"/>
      <c r="H39" s="17"/>
      <c r="I39" s="11"/>
      <c r="J39" s="17"/>
      <c r="K39" s="17"/>
      <c r="L39" s="11"/>
    </row>
    <row r="40" spans="1:15" x14ac:dyDescent="0.25">
      <c r="A40" s="46" t="s">
        <v>24</v>
      </c>
      <c r="B40" s="349">
        <v>-244270.94999999992</v>
      </c>
      <c r="C40" s="99">
        <f>B40+C34+B47</f>
        <v>-346459.50999999989</v>
      </c>
      <c r="D40" s="41">
        <f t="shared" ref="D40:L40" si="17">C40+D34+C47</f>
        <v>-317821.33999999985</v>
      </c>
      <c r="E40" s="41">
        <f t="shared" si="17"/>
        <v>-285307.73999999987</v>
      </c>
      <c r="F40" s="105">
        <f t="shared" si="17"/>
        <v>-243123.98999999987</v>
      </c>
      <c r="G40" s="40">
        <f t="shared" si="17"/>
        <v>-218364.37999999989</v>
      </c>
      <c r="H40" s="41">
        <f t="shared" si="17"/>
        <v>-194185.86999999988</v>
      </c>
      <c r="I40" s="61">
        <f t="shared" si="17"/>
        <v>-177722.89999999988</v>
      </c>
      <c r="J40" s="116">
        <f t="shared" si="17"/>
        <v>-162424.19999999987</v>
      </c>
      <c r="K40" s="41">
        <f t="shared" si="17"/>
        <v>-140724.32999999987</v>
      </c>
      <c r="L40" s="61">
        <f t="shared" si="17"/>
        <v>-113801.98999999987</v>
      </c>
    </row>
    <row r="41" spans="1:15" x14ac:dyDescent="0.25">
      <c r="A41" s="46" t="s">
        <v>107</v>
      </c>
      <c r="B41" s="350">
        <v>6.4570571112199104E-13</v>
      </c>
      <c r="C41" s="99">
        <f t="shared" ref="C41:L41" si="18">B41+C35+B48</f>
        <v>6.4570571112199104E-13</v>
      </c>
      <c r="D41" s="41">
        <f t="shared" si="18"/>
        <v>6.4570571112199104E-13</v>
      </c>
      <c r="E41" s="41">
        <f t="shared" si="18"/>
        <v>6.4570571112199104E-13</v>
      </c>
      <c r="F41" s="105">
        <f t="shared" si="18"/>
        <v>6.4570571112199104E-13</v>
      </c>
      <c r="G41" s="40">
        <f t="shared" si="18"/>
        <v>6.4570571112199104E-13</v>
      </c>
      <c r="H41" s="41">
        <f t="shared" si="18"/>
        <v>6.4570571112199104E-13</v>
      </c>
      <c r="I41" s="61">
        <f t="shared" si="18"/>
        <v>6.4570571112199104E-13</v>
      </c>
      <c r="J41" s="116">
        <f t="shared" si="18"/>
        <v>6.4570571112199104E-13</v>
      </c>
      <c r="K41" s="41">
        <f t="shared" si="18"/>
        <v>6.4570571112199104E-13</v>
      </c>
      <c r="L41" s="61">
        <f t="shared" si="18"/>
        <v>6.4570571112199104E-13</v>
      </c>
    </row>
    <row r="42" spans="1:15" x14ac:dyDescent="0.25">
      <c r="A42" s="46" t="s">
        <v>108</v>
      </c>
      <c r="B42" s="350">
        <v>1.0036416142611415E-13</v>
      </c>
      <c r="C42" s="99">
        <f t="shared" ref="C42:L42" si="19">B42+C36+B49</f>
        <v>1.0036416142611415E-13</v>
      </c>
      <c r="D42" s="41">
        <f t="shared" si="19"/>
        <v>1.0036416142611415E-13</v>
      </c>
      <c r="E42" s="41">
        <f t="shared" si="19"/>
        <v>1.0036416142611415E-13</v>
      </c>
      <c r="F42" s="105">
        <f t="shared" si="19"/>
        <v>1.0036416142611415E-13</v>
      </c>
      <c r="G42" s="40">
        <f t="shared" si="19"/>
        <v>1.0036416142611415E-13</v>
      </c>
      <c r="H42" s="41">
        <f t="shared" si="19"/>
        <v>1.0036416142611415E-13</v>
      </c>
      <c r="I42" s="61">
        <f t="shared" si="19"/>
        <v>1.0036416142611415E-13</v>
      </c>
      <c r="J42" s="116">
        <f t="shared" si="19"/>
        <v>1.0036416142611415E-13</v>
      </c>
      <c r="K42" s="41">
        <f t="shared" si="19"/>
        <v>1.0036416142611415E-13</v>
      </c>
      <c r="L42" s="61">
        <f t="shared" si="19"/>
        <v>1.0036416142611415E-13</v>
      </c>
    </row>
    <row r="43" spans="1:15" ht="15.75" thickBot="1" x14ac:dyDescent="0.3">
      <c r="A43" s="46" t="s">
        <v>109</v>
      </c>
      <c r="B43" s="351">
        <v>-6.3504757008558954E-14</v>
      </c>
      <c r="C43" s="99">
        <f t="shared" ref="C43:L43" si="20">B43+C37+B50</f>
        <v>-6.3504757008558954E-14</v>
      </c>
      <c r="D43" s="41">
        <f t="shared" si="20"/>
        <v>-6.3504757008558954E-14</v>
      </c>
      <c r="E43" s="41">
        <f t="shared" si="20"/>
        <v>-6.3504757008558954E-14</v>
      </c>
      <c r="F43" s="105">
        <f t="shared" si="20"/>
        <v>-6.3504757008558954E-14</v>
      </c>
      <c r="G43" s="40">
        <f t="shared" si="20"/>
        <v>-6.3504757008558954E-14</v>
      </c>
      <c r="H43" s="41">
        <f t="shared" si="20"/>
        <v>-6.3504757008558954E-14</v>
      </c>
      <c r="I43" s="61">
        <f t="shared" si="20"/>
        <v>-6.3504757008558954E-14</v>
      </c>
      <c r="J43" s="116">
        <f t="shared" si="20"/>
        <v>-6.3504757008558954E-14</v>
      </c>
      <c r="K43" s="41">
        <f t="shared" si="20"/>
        <v>-6.3504757008558954E-14</v>
      </c>
      <c r="L43" s="61">
        <f t="shared" si="20"/>
        <v>-6.3504757008558954E-14</v>
      </c>
    </row>
    <row r="44" spans="1:15" x14ac:dyDescent="0.25">
      <c r="C44" s="98"/>
      <c r="D44" s="17"/>
      <c r="E44" s="17"/>
      <c r="F44" s="17"/>
      <c r="G44" s="10"/>
      <c r="H44" s="17"/>
      <c r="I44" s="11"/>
      <c r="J44" s="17"/>
      <c r="K44" s="17"/>
      <c r="L44" s="11"/>
    </row>
    <row r="45" spans="1:15" x14ac:dyDescent="0.25">
      <c r="A45" s="39" t="s">
        <v>88</v>
      </c>
      <c r="B45" s="39"/>
      <c r="C45" s="101"/>
      <c r="D45" s="325">
        <f>+'PCR Cycle 2'!D47</f>
        <v>5.3128000000000003E-3</v>
      </c>
      <c r="E45" s="325">
        <f>+'PCR Cycle 2'!E47</f>
        <v>5.3587000000000001E-3</v>
      </c>
      <c r="F45" s="325">
        <f>+'PCR Cycle 2'!F47</f>
        <v>5.4904100000000003E-3</v>
      </c>
      <c r="G45" s="326">
        <f>+'PCR Cycle 2'!G47</f>
        <v>5.5567100000000003E-3</v>
      </c>
      <c r="H45" s="325">
        <f>+'PCR Cycle 2'!H47</f>
        <v>5.5623000000000001E-3</v>
      </c>
      <c r="I45" s="327">
        <f>+'PCR Cycle 2'!I47</f>
        <v>5.5681000000000003E-3</v>
      </c>
      <c r="J45" s="325">
        <f>+'PCR Cycle 2'!J47</f>
        <v>5.5681000000000003E-3</v>
      </c>
      <c r="K45" s="325">
        <f>+'PCR Cycle 2'!K47</f>
        <v>5.5681000000000003E-3</v>
      </c>
      <c r="L45" s="84"/>
    </row>
    <row r="46" spans="1:15" x14ac:dyDescent="0.25">
      <c r="A46" s="39" t="s">
        <v>37</v>
      </c>
      <c r="B46" s="39"/>
      <c r="C46" s="103"/>
      <c r="D46" s="82"/>
      <c r="E46" s="82"/>
      <c r="F46" s="82"/>
      <c r="G46" s="83"/>
      <c r="H46" s="82"/>
      <c r="I46" s="84"/>
      <c r="J46" s="82"/>
      <c r="K46" s="82"/>
      <c r="L46" s="84"/>
    </row>
    <row r="47" spans="1:15" x14ac:dyDescent="0.25">
      <c r="A47" s="46" t="s">
        <v>24</v>
      </c>
      <c r="C47" s="352">
        <v>3278.8900000000003</v>
      </c>
      <c r="D47" s="41">
        <f>ROUND((C40+C47+D34/2)*D$45,2)</f>
        <v>-1755.89</v>
      </c>
      <c r="E47" s="41">
        <f t="shared" ref="E47:L47" si="21">ROUND((D40+D47+E34/2)*E$45,2)</f>
        <v>-1620.7</v>
      </c>
      <c r="F47" s="105">
        <f t="shared" si="21"/>
        <v>-1455.1</v>
      </c>
      <c r="G47" s="40">
        <f t="shared" si="21"/>
        <v>-1286.22</v>
      </c>
      <c r="H47" s="116">
        <f t="shared" si="21"/>
        <v>-1150.94</v>
      </c>
      <c r="I47" s="49">
        <f t="shared" si="21"/>
        <v>-1038.6199999999999</v>
      </c>
      <c r="J47" s="151">
        <f t="shared" si="21"/>
        <v>-949.88</v>
      </c>
      <c r="K47" s="105">
        <f t="shared" si="21"/>
        <v>-846.63</v>
      </c>
      <c r="L47" s="61">
        <f t="shared" si="21"/>
        <v>0</v>
      </c>
      <c r="O47" s="47">
        <f>-SUM(J47:L47)</f>
        <v>1796.51</v>
      </c>
    </row>
    <row r="48" spans="1:15" x14ac:dyDescent="0.25">
      <c r="A48" s="46" t="s">
        <v>107</v>
      </c>
      <c r="C48" s="352">
        <v>0</v>
      </c>
      <c r="D48" s="41">
        <f t="shared" ref="D48:L48" si="22">ROUND((C41+C48+D35/2)*D$45,2)</f>
        <v>0</v>
      </c>
      <c r="E48" s="41">
        <f t="shared" si="22"/>
        <v>0</v>
      </c>
      <c r="F48" s="105">
        <f t="shared" si="22"/>
        <v>0</v>
      </c>
      <c r="G48" s="40">
        <f>ROUND((F41+F48+G35/2)*G$45,2)*0</f>
        <v>0</v>
      </c>
      <c r="H48" s="116">
        <f t="shared" si="22"/>
        <v>0</v>
      </c>
      <c r="I48" s="49">
        <f t="shared" si="22"/>
        <v>0</v>
      </c>
      <c r="J48" s="151">
        <f t="shared" si="22"/>
        <v>0</v>
      </c>
      <c r="K48" s="105">
        <f t="shared" si="22"/>
        <v>0</v>
      </c>
      <c r="L48" s="61">
        <f t="shared" si="22"/>
        <v>0</v>
      </c>
      <c r="O48" s="47">
        <f t="shared" ref="O48:O50" si="23">-SUM(J48:L48)</f>
        <v>0</v>
      </c>
    </row>
    <row r="49" spans="1:15" x14ac:dyDescent="0.25">
      <c r="A49" s="46" t="s">
        <v>108</v>
      </c>
      <c r="C49" s="352">
        <v>0</v>
      </c>
      <c r="D49" s="41">
        <f t="shared" ref="D49:L49" si="24">ROUND((C42+C49+D36/2)*D$45,2)</f>
        <v>0</v>
      </c>
      <c r="E49" s="41">
        <f t="shared" si="24"/>
        <v>0</v>
      </c>
      <c r="F49" s="105">
        <f t="shared" si="24"/>
        <v>0</v>
      </c>
      <c r="G49" s="40">
        <f>ROUND((F42+F49+G36/2)*G$45,2)*0</f>
        <v>0</v>
      </c>
      <c r="H49" s="116">
        <f t="shared" si="24"/>
        <v>0</v>
      </c>
      <c r="I49" s="49">
        <f t="shared" si="24"/>
        <v>0</v>
      </c>
      <c r="J49" s="151">
        <f t="shared" si="24"/>
        <v>0</v>
      </c>
      <c r="K49" s="105">
        <f t="shared" si="24"/>
        <v>0</v>
      </c>
      <c r="L49" s="61">
        <f t="shared" si="24"/>
        <v>0</v>
      </c>
      <c r="O49" s="47">
        <f t="shared" si="23"/>
        <v>0</v>
      </c>
    </row>
    <row r="50" spans="1:15" ht="15.75" thickBot="1" x14ac:dyDescent="0.3">
      <c r="A50" s="46" t="s">
        <v>109</v>
      </c>
      <c r="C50" s="352">
        <v>0</v>
      </c>
      <c r="D50" s="41">
        <f t="shared" ref="D50:L50" si="25">ROUND((C43+C50+D37/2)*D$45,2)</f>
        <v>0</v>
      </c>
      <c r="E50" s="41">
        <f t="shared" si="25"/>
        <v>0</v>
      </c>
      <c r="F50" s="105">
        <f t="shared" si="25"/>
        <v>0</v>
      </c>
      <c r="G50" s="40">
        <f>ROUND((F43+F50+G37/2)*G$45,2)*0</f>
        <v>0</v>
      </c>
      <c r="H50" s="116">
        <f t="shared" si="25"/>
        <v>0</v>
      </c>
      <c r="I50" s="49">
        <f t="shared" si="25"/>
        <v>0</v>
      </c>
      <c r="J50" s="151">
        <f t="shared" si="25"/>
        <v>0</v>
      </c>
      <c r="K50" s="105">
        <f t="shared" si="25"/>
        <v>0</v>
      </c>
      <c r="L50" s="61">
        <f t="shared" si="25"/>
        <v>0</v>
      </c>
      <c r="O50" s="47">
        <f t="shared" si="23"/>
        <v>0</v>
      </c>
    </row>
    <row r="51" spans="1:15" ht="16.5" thickTop="1" thickBot="1" x14ac:dyDescent="0.3">
      <c r="A51" s="54" t="s">
        <v>22</v>
      </c>
      <c r="B51" s="54"/>
      <c r="C51" s="104">
        <v>0</v>
      </c>
      <c r="D51" s="42">
        <f t="shared" ref="D51:I51" si="26">SUM(D47:D50)+SUM(D40:D43)-D54</f>
        <v>0</v>
      </c>
      <c r="E51" s="42">
        <f t="shared" si="26"/>
        <v>0</v>
      </c>
      <c r="F51" s="50">
        <f t="shared" ref="F51:H51" si="27">SUM(F47:F50)+SUM(F40:F43)-F54</f>
        <v>0</v>
      </c>
      <c r="G51" s="267">
        <f t="shared" si="27"/>
        <v>0</v>
      </c>
      <c r="H51" s="50">
        <f t="shared" si="27"/>
        <v>0</v>
      </c>
      <c r="I51" s="62">
        <f t="shared" si="26"/>
        <v>0</v>
      </c>
      <c r="J51" s="152">
        <f t="shared" ref="J51:L51" si="28">SUM(J47:J50)+SUM(J40:J43)-J54</f>
        <v>0</v>
      </c>
      <c r="K51" s="50">
        <f t="shared" si="28"/>
        <v>0</v>
      </c>
      <c r="L51" s="62">
        <f t="shared" si="28"/>
        <v>0</v>
      </c>
    </row>
    <row r="52" spans="1:15" ht="16.5" thickTop="1" thickBot="1" x14ac:dyDescent="0.3">
      <c r="A52" s="54" t="s">
        <v>23</v>
      </c>
      <c r="B52" s="54"/>
      <c r="C52" s="104">
        <v>0</v>
      </c>
      <c r="D52" s="42">
        <f t="shared" ref="D52:I52" si="29">SUM(D47:D50)-D31</f>
        <v>0</v>
      </c>
      <c r="E52" s="42">
        <f t="shared" si="29"/>
        <v>0</v>
      </c>
      <c r="F52" s="50">
        <f t="shared" ref="F52:H52" si="30">SUM(F47:F50)-F31</f>
        <v>0</v>
      </c>
      <c r="G52" s="267">
        <f t="shared" si="30"/>
        <v>0</v>
      </c>
      <c r="H52" s="50">
        <f t="shared" si="30"/>
        <v>0</v>
      </c>
      <c r="I52" s="62">
        <f t="shared" si="29"/>
        <v>0</v>
      </c>
      <c r="J52" s="153">
        <f t="shared" ref="J52:L52" si="31">SUM(J47:J50)-J31</f>
        <v>0</v>
      </c>
      <c r="K52" s="42">
        <f t="shared" si="31"/>
        <v>0</v>
      </c>
      <c r="L52" s="42">
        <f t="shared" si="31"/>
        <v>0</v>
      </c>
    </row>
    <row r="53" spans="1:15" ht="16.5" thickTop="1" thickBot="1" x14ac:dyDescent="0.3">
      <c r="C53" s="98"/>
      <c r="D53" s="17"/>
      <c r="E53" s="17"/>
      <c r="F53" s="17"/>
      <c r="G53" s="10"/>
      <c r="H53" s="17"/>
      <c r="I53" s="11"/>
      <c r="J53" s="17"/>
      <c r="K53" s="17"/>
      <c r="L53" s="11"/>
    </row>
    <row r="54" spans="1:15" ht="15.75" thickBot="1" x14ac:dyDescent="0.3">
      <c r="A54" s="46" t="s">
        <v>36</v>
      </c>
      <c r="B54" s="113">
        <f>SUM(B40:B43)</f>
        <v>-244270.94999999992</v>
      </c>
      <c r="C54" s="99">
        <f t="shared" ref="C54:L54" si="32">(C17-SUM(C20:C23))+SUM(C47:C50)+B54</f>
        <v>-343180.61999999994</v>
      </c>
      <c r="D54" s="41">
        <f t="shared" si="32"/>
        <v>-319577.22999999992</v>
      </c>
      <c r="E54" s="41">
        <f t="shared" si="32"/>
        <v>-286928.43999999994</v>
      </c>
      <c r="F54" s="105">
        <f t="shared" si="32"/>
        <v>-244579.08999999994</v>
      </c>
      <c r="G54" s="40">
        <f t="shared" si="32"/>
        <v>-219650.59999999995</v>
      </c>
      <c r="H54" s="41">
        <f t="shared" si="32"/>
        <v>-195336.80999999994</v>
      </c>
      <c r="I54" s="61">
        <f t="shared" si="32"/>
        <v>-178761.51999999993</v>
      </c>
      <c r="J54" s="151">
        <f t="shared" si="32"/>
        <v>-163374.07999999993</v>
      </c>
      <c r="K54" s="105">
        <f t="shared" si="32"/>
        <v>-141570.95999999993</v>
      </c>
      <c r="L54" s="61">
        <f t="shared" si="32"/>
        <v>-113801.98999999993</v>
      </c>
    </row>
    <row r="55" spans="1:15" x14ac:dyDescent="0.25">
      <c r="A55" s="46" t="s">
        <v>12</v>
      </c>
      <c r="C55" s="114"/>
      <c r="D55" s="17"/>
      <c r="E55" s="17"/>
      <c r="F55" s="17"/>
      <c r="G55" s="10"/>
      <c r="H55" s="17"/>
      <c r="I55" s="11"/>
      <c r="J55" s="17"/>
      <c r="K55" s="17"/>
      <c r="L55" s="11"/>
    </row>
    <row r="56" spans="1:15" ht="15.75" thickBot="1" x14ac:dyDescent="0.3">
      <c r="A56" s="37"/>
      <c r="B56" s="37"/>
      <c r="C56" s="138"/>
      <c r="D56" s="44"/>
      <c r="E56" s="44"/>
      <c r="F56" s="44"/>
      <c r="G56" s="43"/>
      <c r="H56" s="44"/>
      <c r="I56" s="45"/>
      <c r="J56" s="44"/>
      <c r="K56" s="44"/>
      <c r="L56" s="45"/>
    </row>
    <row r="58" spans="1:15" x14ac:dyDescent="0.25">
      <c r="A58" s="69" t="s">
        <v>11</v>
      </c>
      <c r="B58" s="69"/>
      <c r="C58" s="69"/>
    </row>
    <row r="59" spans="1:15" x14ac:dyDescent="0.25">
      <c r="A59" s="369" t="s">
        <v>168</v>
      </c>
      <c r="B59" s="369"/>
      <c r="C59" s="369"/>
      <c r="D59" s="369"/>
      <c r="E59" s="369"/>
      <c r="F59" s="369"/>
      <c r="G59" s="369"/>
      <c r="H59" s="369"/>
      <c r="I59" s="369"/>
      <c r="J59" s="276"/>
      <c r="K59" s="276"/>
      <c r="L59" s="276"/>
    </row>
    <row r="60" spans="1:15" ht="58.5" customHeight="1" x14ac:dyDescent="0.25">
      <c r="A60" s="369" t="s">
        <v>231</v>
      </c>
      <c r="B60" s="369"/>
      <c r="C60" s="369"/>
      <c r="D60" s="369"/>
      <c r="E60" s="369"/>
      <c r="F60" s="369"/>
      <c r="G60" s="369"/>
      <c r="H60" s="369"/>
      <c r="I60" s="369"/>
      <c r="J60" s="276"/>
      <c r="K60" s="276"/>
    </row>
    <row r="61" spans="1:15" ht="18.75" customHeight="1" x14ac:dyDescent="0.25">
      <c r="A61" s="3" t="s">
        <v>184</v>
      </c>
      <c r="B61" s="3"/>
      <c r="C61" s="3"/>
      <c r="I61" s="4"/>
      <c r="J61" s="276"/>
      <c r="K61" s="276"/>
      <c r="L61" s="276"/>
    </row>
    <row r="62" spans="1:15" x14ac:dyDescent="0.25">
      <c r="A62" s="3" t="s">
        <v>181</v>
      </c>
      <c r="B62" s="3"/>
      <c r="C62" s="3"/>
      <c r="I62" s="4"/>
    </row>
    <row r="63" spans="1:15" x14ac:dyDescent="0.25">
      <c r="A63" s="3" t="s">
        <v>125</v>
      </c>
      <c r="B63" s="3"/>
      <c r="C63" s="3"/>
      <c r="I63" s="4"/>
    </row>
    <row r="64" spans="1:15" x14ac:dyDescent="0.25">
      <c r="A64" s="3"/>
      <c r="B64" s="63"/>
      <c r="C64" s="63"/>
      <c r="D64" s="39"/>
      <c r="E64" s="39"/>
      <c r="F64" s="39"/>
      <c r="G64" s="39"/>
      <c r="H64" s="39"/>
      <c r="I64" s="39"/>
    </row>
    <row r="65" spans="1:3" x14ac:dyDescent="0.25">
      <c r="A65" s="3"/>
      <c r="B65" s="3"/>
      <c r="C65" s="3"/>
    </row>
  </sheetData>
  <mergeCells count="5">
    <mergeCell ref="D15:F15"/>
    <mergeCell ref="G15:I15"/>
    <mergeCell ref="J15:L15"/>
    <mergeCell ref="A59:I59"/>
    <mergeCell ref="A60:I60"/>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tabSelected="1" zoomScale="90" zoomScaleNormal="90" workbookViewId="0">
      <selection activeCell="M10" sqref="M10"/>
    </sheetView>
  </sheetViews>
  <sheetFormatPr defaultRowHeight="15" outlineLevelCol="1" x14ac:dyDescent="0.25"/>
  <cols>
    <col min="2" max="2" width="25.140625" customWidth="1"/>
    <col min="3" max="4" width="16.7109375" bestFit="1" customWidth="1"/>
    <col min="5" max="5" width="15.42578125" bestFit="1" customWidth="1"/>
    <col min="6" max="6" width="14.28515625" bestFit="1" customWidth="1"/>
    <col min="7" max="7" width="19.140625" bestFit="1" customWidth="1"/>
    <col min="8" max="8" width="14.28515625" bestFit="1" customWidth="1"/>
    <col min="9" max="9" width="3.5703125" customWidth="1"/>
    <col min="10" max="10" width="13.7109375" bestFit="1" customWidth="1"/>
    <col min="11" max="11" width="13" bestFit="1" customWidth="1"/>
    <col min="12" max="12" width="13.7109375" bestFit="1" customWidth="1"/>
    <col min="13" max="13" width="14.28515625" bestFit="1" customWidth="1"/>
    <col min="14" max="14" width="11.7109375" bestFit="1" customWidth="1"/>
    <col min="15" max="16" width="16" bestFit="1" customWidth="1" outlineLevel="1"/>
    <col min="17" max="17" width="16" style="46" customWidth="1" outlineLevel="1"/>
    <col min="18" max="18" width="9.140625" customWidth="1" outlineLevel="1"/>
    <col min="19" max="20" width="16.7109375" bestFit="1" customWidth="1" outlineLevel="1"/>
    <col min="21" max="21" width="16.7109375" style="46" bestFit="1" customWidth="1" outlineLevel="1"/>
    <col min="22" max="22" width="16.7109375" bestFit="1" customWidth="1" outlineLevel="1"/>
    <col min="23" max="23" width="9.140625" customWidth="1" outlineLevel="1"/>
    <col min="24" max="27" width="16.7109375" bestFit="1" customWidth="1" outlineLevel="1"/>
    <col min="28" max="28" width="12.85546875" bestFit="1" customWidth="1"/>
  </cols>
  <sheetData>
    <row r="1" spans="1:28" x14ac:dyDescent="0.25">
      <c r="A1" s="3" t="str">
        <f>+'PPC Cycle 3'!A1</f>
        <v>Evergy Missouri West, Inc. - DSIM Rider Update Filed 12/01/2023</v>
      </c>
    </row>
    <row r="2" spans="1:28" ht="15.75" thickBot="1" x14ac:dyDescent="0.3">
      <c r="H2" s="46"/>
      <c r="I2" s="46"/>
      <c r="J2" s="48"/>
      <c r="K2" s="48"/>
    </row>
    <row r="3" spans="1:28" ht="27.75" thickBot="1" x14ac:dyDescent="0.3">
      <c r="B3" s="86" t="s">
        <v>7</v>
      </c>
      <c r="C3" s="123" t="s">
        <v>19</v>
      </c>
      <c r="D3" s="123" t="s">
        <v>20</v>
      </c>
      <c r="E3" s="123" t="s">
        <v>57</v>
      </c>
      <c r="F3" s="123" t="s">
        <v>21</v>
      </c>
      <c r="G3" s="123" t="s">
        <v>38</v>
      </c>
      <c r="H3" s="88" t="s">
        <v>28</v>
      </c>
      <c r="I3" s="39"/>
      <c r="J3" s="87" t="s">
        <v>13</v>
      </c>
      <c r="K3" s="88" t="s">
        <v>56</v>
      </c>
      <c r="L3" s="88" t="s">
        <v>72</v>
      </c>
      <c r="M3" s="88" t="s">
        <v>73</v>
      </c>
      <c r="N3" s="292" t="s">
        <v>232</v>
      </c>
      <c r="O3" s="17"/>
    </row>
    <row r="4" spans="1:28" ht="15.75" thickBot="1" x14ac:dyDescent="0.3">
      <c r="B4" s="89" t="s">
        <v>24</v>
      </c>
      <c r="C4" s="121">
        <f t="shared" ref="C4:F7" si="0">C12+C20</f>
        <v>8864106.3723199982</v>
      </c>
      <c r="D4" s="122">
        <f t="shared" si="0"/>
        <v>1763816.8499999999</v>
      </c>
      <c r="E4" s="122">
        <f t="shared" si="0"/>
        <v>2546522.467819999</v>
      </c>
      <c r="F4" s="122">
        <f t="shared" si="0"/>
        <v>-133917.90999999989</v>
      </c>
      <c r="G4" s="289">
        <f>+'PPC Cycle 3'!B5</f>
        <v>3637045755</v>
      </c>
      <c r="H4" s="261">
        <f>ROUND(SUM(C4:F4)/G4,5)</f>
        <v>3.5899999999999999E-3</v>
      </c>
      <c r="I4" s="262"/>
      <c r="J4" s="378">
        <f>ROUND((C12+C20)/G4,5)+0.00001</f>
        <v>2.4499999999999999E-3</v>
      </c>
      <c r="K4" s="269">
        <f>ROUND((D12+D20)/G4,5)</f>
        <v>4.8000000000000001E-4</v>
      </c>
      <c r="L4" s="125">
        <f>ROUND((E12+E20)/G4,5)</f>
        <v>6.9999999999999999E-4</v>
      </c>
      <c r="M4" s="125">
        <f>ROUND((F12+F20)/G4,5)</f>
        <v>-4.0000000000000003E-5</v>
      </c>
      <c r="N4" s="291">
        <f>+H4-SUM(J4:M4)</f>
        <v>0</v>
      </c>
      <c r="O4" s="245"/>
      <c r="P4" s="245"/>
      <c r="Q4" s="245"/>
      <c r="R4" s="245"/>
      <c r="S4" s="245"/>
    </row>
    <row r="5" spans="1:28" ht="15.75" thickBot="1" x14ac:dyDescent="0.3">
      <c r="B5" s="89" t="s">
        <v>107</v>
      </c>
      <c r="C5" s="121">
        <f t="shared" si="0"/>
        <v>2179542.9499999997</v>
      </c>
      <c r="D5" s="122">
        <f t="shared" si="0"/>
        <v>481345.11999999994</v>
      </c>
      <c r="E5" s="122">
        <f t="shared" si="0"/>
        <v>437044.76</v>
      </c>
      <c r="F5" s="122">
        <f t="shared" si="0"/>
        <v>0</v>
      </c>
      <c r="G5" s="289">
        <f>+'PPC Cycle 3'!B6</f>
        <v>1276670772</v>
      </c>
      <c r="H5" s="261">
        <f>ROUND(SUM(C5:F5)/G5,5)</f>
        <v>2.4299999999999999E-3</v>
      </c>
      <c r="I5" s="262"/>
      <c r="J5" s="234">
        <f>ROUND((C13+C21)/G5,5)</f>
        <v>1.7099999999999999E-3</v>
      </c>
      <c r="K5" s="269">
        <f>ROUND((D13+D21)/G5,5)</f>
        <v>3.8000000000000002E-4</v>
      </c>
      <c r="L5" s="125">
        <f>ROUND((E13+E21)/G5,5)</f>
        <v>3.4000000000000002E-4</v>
      </c>
      <c r="M5" s="125">
        <f>ROUND((F13+F21)/G5,5)</f>
        <v>0</v>
      </c>
      <c r="N5" s="291">
        <f t="shared" ref="N5:N7" si="1">+H5-SUM(J5:M5)</f>
        <v>0</v>
      </c>
      <c r="O5" s="245">
        <f>C5/SUM(C$5:C$7)</f>
        <v>0.29192831568563543</v>
      </c>
      <c r="P5" s="245">
        <f t="shared" ref="P5:Q5" si="2">D5/SUM(D$5:D$7)</f>
        <v>0.43839870197330411</v>
      </c>
      <c r="Q5" s="245">
        <f t="shared" si="2"/>
        <v>0.22352388450002664</v>
      </c>
      <c r="R5" s="245" t="e">
        <f>F5/SUM(F$5:F$7)</f>
        <v>#DIV/0!</v>
      </c>
      <c r="S5" s="245">
        <f>G5/SUM(G$5:G$7)</f>
        <v>0.40154572468465799</v>
      </c>
    </row>
    <row r="6" spans="1:28" s="46" customFormat="1" ht="15.75" thickBot="1" x14ac:dyDescent="0.3">
      <c r="B6" s="89" t="s">
        <v>108</v>
      </c>
      <c r="C6" s="121">
        <f t="shared" si="0"/>
        <v>3959758.8000000003</v>
      </c>
      <c r="D6" s="122">
        <f t="shared" si="0"/>
        <v>551973.20000000007</v>
      </c>
      <c r="E6" s="122">
        <f t="shared" si="0"/>
        <v>900658.63</v>
      </c>
      <c r="F6" s="122">
        <f t="shared" si="0"/>
        <v>0</v>
      </c>
      <c r="G6" s="289">
        <f>+'PPC Cycle 3'!B7</f>
        <v>1140015176</v>
      </c>
      <c r="H6" s="261">
        <f>ROUND(SUM(C6:F6)/G6,5)</f>
        <v>4.7499999999999999E-3</v>
      </c>
      <c r="I6" s="262"/>
      <c r="J6" s="234">
        <f>ROUND((C14+C22)/G6,5)</f>
        <v>3.47E-3</v>
      </c>
      <c r="K6" s="353">
        <f>ROUND((D14+D22)/G6,5)+0.00001</f>
        <v>4.8999999999999998E-4</v>
      </c>
      <c r="L6" s="125">
        <f>ROUND((E14+E22)/G6,5)</f>
        <v>7.9000000000000001E-4</v>
      </c>
      <c r="M6" s="125">
        <f>ROUND((F14+F22)/G6,5)</f>
        <v>0</v>
      </c>
      <c r="N6" s="291">
        <f t="shared" si="1"/>
        <v>0</v>
      </c>
      <c r="O6" s="245">
        <f t="shared" ref="O6:O7" si="3">C6/SUM(C$5:C$7)</f>
        <v>0.53037069859319508</v>
      </c>
      <c r="P6" s="245">
        <f t="shared" ref="P6:P7" si="4">D6/SUM(D$5:D$7)</f>
        <v>0.50272522634913397</v>
      </c>
      <c r="Q6" s="245">
        <f t="shared" ref="Q6:Q7" si="5">E6/SUM(E$5:E$7)</f>
        <v>0.4606363787225643</v>
      </c>
      <c r="R6" s="245" t="e">
        <f>F6/SUM(F$5:F$7)</f>
        <v>#DIV/0!</v>
      </c>
      <c r="S6" s="245">
        <f t="shared" ref="S6:S7" si="6">G6/SUM(G$5:G$7)</f>
        <v>0.35856403235526407</v>
      </c>
    </row>
    <row r="7" spans="1:28" s="46" customFormat="1" ht="15.75" thickBot="1" x14ac:dyDescent="0.3">
      <c r="B7" s="89" t="s">
        <v>109</v>
      </c>
      <c r="C7" s="121">
        <f t="shared" si="0"/>
        <v>1326719.3000000003</v>
      </c>
      <c r="D7" s="122">
        <f t="shared" si="0"/>
        <v>64643.690000000017</v>
      </c>
      <c r="E7" s="122">
        <f t="shared" si="0"/>
        <v>617545.20000000007</v>
      </c>
      <c r="F7" s="122">
        <f t="shared" si="0"/>
        <v>0</v>
      </c>
      <c r="G7" s="289">
        <f>+'PPC Cycle 3'!B8</f>
        <v>762704825</v>
      </c>
      <c r="H7" s="261">
        <f>ROUND(SUM(C7:F7)/G7,5)</f>
        <v>2.63E-3</v>
      </c>
      <c r="I7" s="262"/>
      <c r="J7" s="234">
        <f>ROUND((C15+C23)/G7,5)</f>
        <v>1.74E-3</v>
      </c>
      <c r="K7" s="269">
        <f>ROUND((D15+D23)/G7,5)</f>
        <v>8.0000000000000007E-5</v>
      </c>
      <c r="L7" s="125">
        <f>ROUND((E15+E23)/G7,5)</f>
        <v>8.0999999999999996E-4</v>
      </c>
      <c r="M7" s="125">
        <f>ROUND((F15+F23)/G7,5)</f>
        <v>0</v>
      </c>
      <c r="N7" s="291">
        <f t="shared" si="1"/>
        <v>0</v>
      </c>
      <c r="O7" s="245">
        <f t="shared" si="3"/>
        <v>0.17770098572116941</v>
      </c>
      <c r="P7" s="245">
        <f t="shared" si="4"/>
        <v>5.8876071677561974E-2</v>
      </c>
      <c r="Q7" s="245">
        <f t="shared" si="5"/>
        <v>0.31583973677740895</v>
      </c>
      <c r="R7" s="245" t="e">
        <f>F7/SUM(F$5:F$7)</f>
        <v>#DIV/0!</v>
      </c>
      <c r="S7" s="245">
        <f t="shared" si="6"/>
        <v>0.23989024296007794</v>
      </c>
    </row>
    <row r="8" spans="1:28" x14ac:dyDescent="0.25">
      <c r="C8" s="120"/>
      <c r="D8" s="120"/>
      <c r="E8" s="120"/>
      <c r="F8" s="120"/>
      <c r="G8" s="119"/>
      <c r="H8" s="263"/>
      <c r="I8" s="263"/>
      <c r="J8" s="263"/>
    </row>
    <row r="9" spans="1:28" x14ac:dyDescent="0.25">
      <c r="C9" s="120"/>
      <c r="D9" s="120"/>
      <c r="E9" s="120"/>
      <c r="F9" s="120"/>
      <c r="G9" s="119"/>
      <c r="H9" s="46"/>
      <c r="I9" s="46"/>
      <c r="J9" s="17"/>
      <c r="K9" s="17"/>
      <c r="L9" s="46"/>
      <c r="M9" s="46"/>
    </row>
    <row r="10" spans="1:28" ht="15.75" thickBot="1" x14ac:dyDescent="0.3">
      <c r="C10" s="120"/>
      <c r="D10" s="120"/>
      <c r="E10" s="120"/>
      <c r="F10" s="120"/>
      <c r="G10" s="119"/>
      <c r="H10" s="46"/>
      <c r="I10" s="46"/>
      <c r="J10" s="17"/>
      <c r="K10" s="17"/>
      <c r="L10" s="46"/>
      <c r="M10" s="46"/>
    </row>
    <row r="11" spans="1:28" ht="15.75" thickBot="1" x14ac:dyDescent="0.3">
      <c r="B11" s="86" t="s">
        <v>7</v>
      </c>
      <c r="C11" s="124" t="s">
        <v>6</v>
      </c>
      <c r="D11" s="124" t="s">
        <v>16</v>
      </c>
      <c r="E11" s="124" t="s">
        <v>58</v>
      </c>
      <c r="F11" s="124" t="s">
        <v>17</v>
      </c>
      <c r="G11" s="119"/>
      <c r="H11" s="46"/>
      <c r="I11" s="46"/>
      <c r="J11" s="17"/>
      <c r="K11" s="17"/>
      <c r="L11" s="46"/>
      <c r="M11" s="46"/>
      <c r="O11" s="124" t="s">
        <v>74</v>
      </c>
      <c r="P11" s="124" t="s">
        <v>75</v>
      </c>
      <c r="Q11" s="124" t="s">
        <v>82</v>
      </c>
      <c r="R11" s="46"/>
      <c r="S11" s="124" t="s">
        <v>76</v>
      </c>
      <c r="T11" s="124" t="s">
        <v>77</v>
      </c>
      <c r="U11" s="124" t="s">
        <v>103</v>
      </c>
      <c r="V11" s="124" t="s">
        <v>93</v>
      </c>
      <c r="X11" s="124" t="s">
        <v>114</v>
      </c>
      <c r="Y11" s="124" t="s">
        <v>115</v>
      </c>
      <c r="Z11" s="124" t="s">
        <v>116</v>
      </c>
      <c r="AA11" s="124" t="s">
        <v>117</v>
      </c>
    </row>
    <row r="12" spans="1:28" ht="15.75" thickBot="1" x14ac:dyDescent="0.3">
      <c r="B12" s="89" t="s">
        <v>24</v>
      </c>
      <c r="C12" s="290">
        <f>+'PPC Cycle 3'!C5</f>
        <v>8516252.879999999</v>
      </c>
      <c r="D12" s="290">
        <f>'PTD Cycle 2'!C6+'PTD Cycle 3'!C6</f>
        <v>1709557.51</v>
      </c>
      <c r="E12" s="290">
        <f>+'EO Cycle 2'!G7+'EO Cycle 3'!G7</f>
        <v>2565532.4199999995</v>
      </c>
      <c r="F12" s="290">
        <f>+'OA Cycle 3'!F9</f>
        <v>0</v>
      </c>
      <c r="G12" s="119"/>
      <c r="H12" s="46"/>
      <c r="I12" s="46"/>
      <c r="J12" s="46"/>
      <c r="K12" s="46"/>
      <c r="L12" s="46"/>
      <c r="M12" s="46"/>
      <c r="O12" s="293">
        <v>0</v>
      </c>
      <c r="P12" s="293">
        <v>0</v>
      </c>
      <c r="Q12" s="294">
        <v>0</v>
      </c>
      <c r="R12" s="146"/>
      <c r="S12" s="295">
        <v>0</v>
      </c>
      <c r="T12" s="296">
        <f>ROUND(+'PTD Cycle 2'!C6/'Tariff Tables'!G4,5)</f>
        <v>0</v>
      </c>
      <c r="U12" s="296">
        <f>ROUND('EO Cycle 2'!G7/'Tariff Tables'!G4,5)</f>
        <v>-1.0000000000000001E-5</v>
      </c>
      <c r="V12" s="296">
        <f>ROUND(0/'Tariff Tables'!G4,5)</f>
        <v>0</v>
      </c>
      <c r="X12" s="354">
        <f>ROUND('PPC Cycle 3'!C5/'Tariff Tables'!$G4,5)+0.00001</f>
        <v>2.3500000000000001E-3</v>
      </c>
      <c r="Y12" s="296">
        <f>ROUND('PTD Cycle 3'!C6/'Tariff Tables'!G4,5)</f>
        <v>4.6999999999999999E-4</v>
      </c>
      <c r="Z12" s="354">
        <f>ROUND('EO Cycle 3'!G7/'Tariff Tables'!G4,5)+0.00001</f>
        <v>7.2000000000000005E-4</v>
      </c>
      <c r="AA12" s="296">
        <f>ROUND('OA Cycle 3'!F9/'Tariff Tables'!G4,5)</f>
        <v>0</v>
      </c>
      <c r="AB12" s="146">
        <f>SUM(O12:AA12,O20:AA20)</f>
        <v>3.5899999999999999E-3</v>
      </c>
    </row>
    <row r="13" spans="1:28" ht="15.75" thickBot="1" x14ac:dyDescent="0.3">
      <c r="B13" s="89" t="s">
        <v>107</v>
      </c>
      <c r="C13" s="290">
        <f>+'PPC Cycle 3'!C6</f>
        <v>2539630.4</v>
      </c>
      <c r="D13" s="290">
        <f>'PTD Cycle 2'!C10+'PTD Cycle 3'!C7</f>
        <v>600929.24</v>
      </c>
      <c r="E13" s="290">
        <f>+'EO Cycle 2'!G11+'EO Cycle 3'!G11</f>
        <v>402097.15</v>
      </c>
      <c r="F13" s="290">
        <f>+'OA Cycle 3'!F14</f>
        <v>0</v>
      </c>
      <c r="G13" s="119"/>
      <c r="H13" s="46"/>
      <c r="I13" s="46"/>
      <c r="J13" s="46"/>
      <c r="K13" s="46"/>
      <c r="L13" s="46"/>
      <c r="M13" s="46"/>
      <c r="O13" s="293">
        <v>0</v>
      </c>
      <c r="P13" s="293">
        <v>0</v>
      </c>
      <c r="Q13" s="294">
        <v>0</v>
      </c>
      <c r="R13" s="146"/>
      <c r="S13" s="295">
        <v>0</v>
      </c>
      <c r="T13" s="297">
        <f>ROUND(+'PTD Cycle 2'!C10/'Tariff Tables'!G5,5)</f>
        <v>0</v>
      </c>
      <c r="U13" s="298">
        <f>ROUND('EO Cycle 2'!G11/'Tariff Tables'!G5,5)</f>
        <v>0</v>
      </c>
      <c r="V13" s="297">
        <f>ROUND('OA Cycle 2'!B13/'Tariff Tables'!G5,5)</f>
        <v>0</v>
      </c>
      <c r="X13" s="296">
        <f>ROUND('PPC Cycle 3'!C6/'Tariff Tables'!$G5,5)</f>
        <v>1.99E-3</v>
      </c>
      <c r="Y13" s="296">
        <f>ROUND('PTD Cycle 3'!C7/'Tariff Tables'!G5,5)</f>
        <v>4.6999999999999999E-4</v>
      </c>
      <c r="Z13" s="296">
        <f>ROUND('EO Cycle 3'!G11/'Tariff Tables'!G5,5)</f>
        <v>3.1E-4</v>
      </c>
      <c r="AA13" s="296">
        <f>ROUND(0/'Tariff Tables'!G5,5)</f>
        <v>0</v>
      </c>
      <c r="AB13" s="146">
        <f>SUM(O13:AA13,O21:AA21)</f>
        <v>2.4300000000000003E-3</v>
      </c>
    </row>
    <row r="14" spans="1:28" s="46" customFormat="1" ht="15.75" thickBot="1" x14ac:dyDescent="0.3">
      <c r="B14" s="89" t="s">
        <v>108</v>
      </c>
      <c r="C14" s="290">
        <f>+'PPC Cycle 3'!C7</f>
        <v>3404244.9400000004</v>
      </c>
      <c r="D14" s="290">
        <f>'PTD Cycle 2'!C11+'PTD Cycle 3'!C8</f>
        <v>513004.95999999996</v>
      </c>
      <c r="E14" s="290">
        <f>+'EO Cycle 2'!G12+'EO Cycle 3'!G12</f>
        <v>873141.52</v>
      </c>
      <c r="F14" s="290">
        <f>+'OA Cycle 3'!F15</f>
        <v>0</v>
      </c>
      <c r="G14" s="119"/>
      <c r="O14" s="293">
        <v>0</v>
      </c>
      <c r="P14" s="293">
        <v>0</v>
      </c>
      <c r="Q14" s="294">
        <v>0</v>
      </c>
      <c r="R14" s="222"/>
      <c r="S14" s="295">
        <v>0</v>
      </c>
      <c r="T14" s="297">
        <f>ROUND(+'PTD Cycle 2'!C11/'Tariff Tables'!G6,5)</f>
        <v>0</v>
      </c>
      <c r="U14" s="298">
        <f>ROUND('EO Cycle 2'!G12/'Tariff Tables'!G6,5)</f>
        <v>0</v>
      </c>
      <c r="V14" s="297">
        <f>ROUND('OA Cycle 2'!B14/'Tariff Tables'!G6,5)</f>
        <v>0</v>
      </c>
      <c r="X14" s="354">
        <f>ROUND('PPC Cycle 3'!C7/'Tariff Tables'!$G6,5)-0.00001</f>
        <v>2.98E-3</v>
      </c>
      <c r="Y14" s="296">
        <f>ROUND('PTD Cycle 3'!C8/'Tariff Tables'!G6,5)</f>
        <v>4.4999999999999999E-4</v>
      </c>
      <c r="Z14" s="296">
        <f>ROUND('EO Cycle 3'!G12/'Tariff Tables'!G6,5)</f>
        <v>7.6999999999999996E-4</v>
      </c>
      <c r="AA14" s="296">
        <f>ROUND(0/'Tariff Tables'!G6,5)</f>
        <v>0</v>
      </c>
      <c r="AB14" s="146">
        <f>SUM(O14:AA14,O22:AA22)</f>
        <v>4.7500000000000007E-3</v>
      </c>
    </row>
    <row r="15" spans="1:28" s="46" customFormat="1" ht="15.75" thickBot="1" x14ac:dyDescent="0.3">
      <c r="B15" s="89" t="s">
        <v>109</v>
      </c>
      <c r="C15" s="290">
        <f>+'PPC Cycle 3'!C8</f>
        <v>1892874.4699999997</v>
      </c>
      <c r="D15" s="290">
        <f>'PTD Cycle 2'!C12+'PTD Cycle 3'!C9</f>
        <v>40128.57</v>
      </c>
      <c r="E15" s="290">
        <f>+'EO Cycle 2'!G13+'EO Cycle 3'!G13</f>
        <v>579611.04</v>
      </c>
      <c r="F15" s="290">
        <f>+'OA Cycle 3'!F16</f>
        <v>0</v>
      </c>
      <c r="G15" s="119"/>
      <c r="O15" s="293">
        <v>0</v>
      </c>
      <c r="P15" s="293">
        <v>0</v>
      </c>
      <c r="Q15" s="294">
        <v>0</v>
      </c>
      <c r="R15" s="222"/>
      <c r="S15" s="295">
        <v>0</v>
      </c>
      <c r="T15" s="297">
        <f>ROUND(+'PTD Cycle 2'!C12/'Tariff Tables'!G7,5)</f>
        <v>0</v>
      </c>
      <c r="U15" s="298">
        <f>ROUND('EO Cycle 2'!G13/'Tariff Tables'!G7,5)</f>
        <v>0</v>
      </c>
      <c r="V15" s="297">
        <f>ROUND('OA Cycle 2'!B15/'Tariff Tables'!G7,5)</f>
        <v>0</v>
      </c>
      <c r="X15" s="296">
        <f>ROUND('PPC Cycle 3'!C8/'Tariff Tables'!$G7,5)</f>
        <v>2.48E-3</v>
      </c>
      <c r="Y15" s="296">
        <f>ROUND('PTD Cycle 3'!C9/'Tariff Tables'!G7,5)</f>
        <v>5.0000000000000002E-5</v>
      </c>
      <c r="Z15" s="296">
        <f>ROUND('EO Cycle 3'!G13/'Tariff Tables'!G7,5)</f>
        <v>7.6000000000000004E-4</v>
      </c>
      <c r="AA15" s="296">
        <f>ROUND(0/'Tariff Tables'!G7,5)</f>
        <v>0</v>
      </c>
      <c r="AB15" s="146">
        <f>SUM(O15:AA15,O23:AA23)</f>
        <v>2.6300000000000004E-3</v>
      </c>
    </row>
    <row r="16" spans="1:28" x14ac:dyDescent="0.25">
      <c r="C16" s="120"/>
      <c r="D16" s="120"/>
      <c r="E16" s="120"/>
      <c r="F16" s="120"/>
      <c r="G16" s="119"/>
      <c r="J16" s="17"/>
      <c r="K16" s="17"/>
      <c r="O16" s="169"/>
      <c r="P16" s="169"/>
      <c r="Q16" s="223"/>
      <c r="R16" s="222"/>
      <c r="S16" s="222"/>
      <c r="T16" s="222"/>
      <c r="U16" s="222"/>
      <c r="V16" s="146"/>
      <c r="X16" s="222"/>
      <c r="Y16" s="222"/>
      <c r="Z16" s="222"/>
      <c r="AA16" s="222"/>
    </row>
    <row r="17" spans="2:27" x14ac:dyDescent="0.25">
      <c r="C17" s="120"/>
      <c r="D17" s="120"/>
      <c r="E17" s="120"/>
      <c r="F17" s="120"/>
      <c r="G17" s="119"/>
      <c r="J17" s="17"/>
      <c r="K17" s="17"/>
      <c r="O17" s="169"/>
      <c r="P17" s="169"/>
      <c r="Q17" s="223"/>
      <c r="R17" s="222"/>
      <c r="S17" s="222"/>
      <c r="T17" s="222"/>
      <c r="U17" s="222"/>
      <c r="V17" s="146"/>
      <c r="X17" s="222"/>
      <c r="Y17" s="222"/>
      <c r="Z17" s="222"/>
      <c r="AA17" s="222"/>
    </row>
    <row r="18" spans="2:27" ht="15.75" thickBot="1" x14ac:dyDescent="0.3">
      <c r="C18" s="120"/>
      <c r="D18" s="120"/>
      <c r="E18" s="120"/>
      <c r="F18" s="120"/>
      <c r="G18" s="119"/>
      <c r="J18" s="17"/>
      <c r="K18" s="17"/>
      <c r="O18" s="169"/>
      <c r="P18" s="169"/>
      <c r="Q18" s="223"/>
      <c r="R18" s="222"/>
      <c r="S18" s="222"/>
      <c r="T18" s="222"/>
      <c r="U18" s="222"/>
      <c r="V18" s="222"/>
      <c r="W18" s="263"/>
      <c r="X18" s="222"/>
      <c r="Y18" s="222"/>
      <c r="Z18" s="222"/>
      <c r="AA18" s="222"/>
    </row>
    <row r="19" spans="2:27" ht="15.75" thickBot="1" x14ac:dyDescent="0.3">
      <c r="B19" s="86" t="s">
        <v>7</v>
      </c>
      <c r="C19" s="124" t="s">
        <v>4</v>
      </c>
      <c r="D19" s="124" t="s">
        <v>9</v>
      </c>
      <c r="E19" s="124" t="s">
        <v>59</v>
      </c>
      <c r="F19" s="124" t="s">
        <v>18</v>
      </c>
      <c r="G19" s="119"/>
      <c r="O19" s="170" t="s">
        <v>78</v>
      </c>
      <c r="P19" s="170" t="s">
        <v>79</v>
      </c>
      <c r="Q19" s="224" t="s">
        <v>83</v>
      </c>
      <c r="R19" s="222"/>
      <c r="S19" s="225" t="s">
        <v>80</v>
      </c>
      <c r="T19" s="225" t="s">
        <v>81</v>
      </c>
      <c r="U19" s="224" t="s">
        <v>106</v>
      </c>
      <c r="V19" s="225" t="s">
        <v>94</v>
      </c>
      <c r="W19" s="263"/>
      <c r="X19" s="225" t="s">
        <v>118</v>
      </c>
      <c r="Y19" s="225" t="s">
        <v>119</v>
      </c>
      <c r="Z19" s="224" t="s">
        <v>120</v>
      </c>
      <c r="AA19" s="225" t="s">
        <v>121</v>
      </c>
    </row>
    <row r="20" spans="2:27" ht="15.75" thickBot="1" x14ac:dyDescent="0.3">
      <c r="B20" s="89" t="s">
        <v>24</v>
      </c>
      <c r="C20" s="290">
        <f>+'PCR Cycle 3'!K4+'PCR Cycle 2'!J4</f>
        <v>347853.49231999874</v>
      </c>
      <c r="D20" s="290">
        <f>'TDR Cycle 3'!K4+'TDR Cycle 2'!K4</f>
        <v>54259.339999999822</v>
      </c>
      <c r="E20" s="290">
        <f>+'EOR Cycle 2'!I4+'EOR Cycle 3'!I4</f>
        <v>-19009.952180000349</v>
      </c>
      <c r="F20" s="290">
        <f>+'OAR Cycle 2'!I4+'OAR Cycle 3'!I4</f>
        <v>-133917.90999999989</v>
      </c>
      <c r="G20" s="119"/>
      <c r="O20" s="293">
        <v>0</v>
      </c>
      <c r="P20" s="293">
        <v>0</v>
      </c>
      <c r="Q20" s="293">
        <v>0</v>
      </c>
      <c r="R20" s="222"/>
      <c r="S20" s="296">
        <f>ROUND(+'PCR Cycle 2'!J4/'Tariff Tables'!G4,5)</f>
        <v>0</v>
      </c>
      <c r="T20" s="296">
        <f>ROUND(+'TDR Cycle 2'!K4/'Tariff Tables'!G4,5)</f>
        <v>6.9999999999999994E-5</v>
      </c>
      <c r="U20" s="296">
        <f>ROUND('EOR Cycle 2'!I4/'Tariff Tables'!G4,5)</f>
        <v>-1.0000000000000001E-5</v>
      </c>
      <c r="V20" s="296">
        <f>ROUND('OAR Cycle 2'!I4/'Tariff Tables'!G4,5)</f>
        <v>-1.0000000000000001E-5</v>
      </c>
      <c r="W20" s="263"/>
      <c r="X20" s="297">
        <f>ROUND('PCR Cycle 3'!K4/'Tariff Tables'!G4,5)</f>
        <v>1E-4</v>
      </c>
      <c r="Y20" s="296">
        <f>ROUND('TDR Cycle 3'!K4/'Tariff Tables'!G4,5)</f>
        <v>-6.0000000000000002E-5</v>
      </c>
      <c r="Z20" s="296">
        <f>ROUND('EOR Cycle 3'!I4/'Tariff Tables'!G4,5)</f>
        <v>0</v>
      </c>
      <c r="AA20" s="299">
        <f>ROUND('OAR Cycle 3'!I4/'Tariff Tables'!G4,5)</f>
        <v>-3.0000000000000001E-5</v>
      </c>
    </row>
    <row r="21" spans="2:27" ht="15.75" thickBot="1" x14ac:dyDescent="0.3">
      <c r="B21" s="89" t="s">
        <v>107</v>
      </c>
      <c r="C21" s="290">
        <f>'PCR Cycle 3'!K5+'PCR Cycle 2'!J8</f>
        <v>-360087.45000000013</v>
      </c>
      <c r="D21" s="290">
        <f>'TDR Cycle 3'!K5+'TDR Cycle 2'!K8</f>
        <v>-119584.12000000005</v>
      </c>
      <c r="E21" s="290">
        <f>+'EOR Cycle 2'!I8+'EOR Cycle 3'!I5</f>
        <v>34947.609999999964</v>
      </c>
      <c r="F21" s="290">
        <f>+'OAR Cycle 2'!I8</f>
        <v>0</v>
      </c>
      <c r="G21" s="119"/>
      <c r="O21" s="293">
        <v>0</v>
      </c>
      <c r="P21" s="293">
        <v>0</v>
      </c>
      <c r="Q21" s="293">
        <v>0</v>
      </c>
      <c r="R21" s="222"/>
      <c r="S21" s="297">
        <f>ROUND(+'PCR Cycle 2'!J8/'Tariff Tables'!G5,5)</f>
        <v>-1.0000000000000001E-5</v>
      </c>
      <c r="T21" s="297">
        <f>ROUND(+'TDR Cycle 2'!K8/'Tariff Tables'!G5,5)</f>
        <v>6.9999999999999994E-5</v>
      </c>
      <c r="U21" s="297">
        <f>ROUND('EOR Cycle 2'!I8/'Tariff Tables'!G5,5)</f>
        <v>3.0000000000000001E-5</v>
      </c>
      <c r="V21" s="296">
        <f>ROUND('OAR Cycle 2'!I8/'Tariff Tables'!G5,5)</f>
        <v>0</v>
      </c>
      <c r="W21" s="263"/>
      <c r="X21" s="297">
        <f>ROUND('PCR Cycle 3'!K5/'Tariff Tables'!G5,5)</f>
        <v>-2.7E-4</v>
      </c>
      <c r="Y21" s="296">
        <f>ROUND('TDR Cycle 3'!K5/'Tariff Tables'!G5,5)</f>
        <v>-1.6000000000000001E-4</v>
      </c>
      <c r="Z21" s="296">
        <f>ROUND('EOR Cycle 3'!I5/'Tariff Tables'!G5,5)</f>
        <v>0</v>
      </c>
      <c r="AA21" s="296">
        <f>ROUND('OAR Cycle 3'!I5/'Tariff Tables'!G5,5)</f>
        <v>0</v>
      </c>
    </row>
    <row r="22" spans="2:27" s="46" customFormat="1" ht="15.75" thickBot="1" x14ac:dyDescent="0.3">
      <c r="B22" s="89" t="s">
        <v>108</v>
      </c>
      <c r="C22" s="290">
        <f>'PCR Cycle 3'!K6+'PCR Cycle 2'!J9</f>
        <v>555513.85999999975</v>
      </c>
      <c r="D22" s="290">
        <f>'TDR Cycle 3'!K6+'TDR Cycle 2'!K9</f>
        <v>38968.240000000071</v>
      </c>
      <c r="E22" s="290">
        <f>+'EOR Cycle 2'!I9+'EOR Cycle 3'!I6</f>
        <v>27517.109999999942</v>
      </c>
      <c r="F22" s="290">
        <f>+'OAR Cycle 2'!I9</f>
        <v>0</v>
      </c>
      <c r="G22" s="119"/>
      <c r="O22" s="293">
        <v>0</v>
      </c>
      <c r="P22" s="293">
        <v>0</v>
      </c>
      <c r="Q22" s="293">
        <v>0</v>
      </c>
      <c r="R22" s="222"/>
      <c r="S22" s="297">
        <f>ROUND(+'PCR Cycle 2'!J9/'Tariff Tables'!G6,5)</f>
        <v>-1.0000000000000001E-5</v>
      </c>
      <c r="T22" s="297">
        <f>ROUND(+'TDR Cycle 2'!K9/'Tariff Tables'!G6,5)</f>
        <v>9.0000000000000006E-5</v>
      </c>
      <c r="U22" s="297">
        <f>ROUND('EOR Cycle 2'!I9/'Tariff Tables'!G6,5)</f>
        <v>3.0000000000000001E-5</v>
      </c>
      <c r="V22" s="296">
        <f>ROUND('OAR Cycle 2'!I9/'Tariff Tables'!G6,5)</f>
        <v>0</v>
      </c>
      <c r="W22" s="263"/>
      <c r="X22" s="297">
        <f>ROUND('PCR Cycle 3'!K6/'Tariff Tables'!G6,5)</f>
        <v>5.0000000000000001E-4</v>
      </c>
      <c r="Y22" s="296">
        <f>ROUND('TDR Cycle 3'!K6/'Tariff Tables'!G6,5)</f>
        <v>-5.0000000000000002E-5</v>
      </c>
      <c r="Z22" s="296">
        <f>ROUND('EOR Cycle 3'!I6/'Tariff Tables'!G6,5)</f>
        <v>-1.0000000000000001E-5</v>
      </c>
      <c r="AA22" s="296">
        <f>ROUND('OAR Cycle 3'!I6/'Tariff Tables'!G6,5)</f>
        <v>0</v>
      </c>
    </row>
    <row r="23" spans="2:27" s="46" customFormat="1" ht="15.75" thickBot="1" x14ac:dyDescent="0.3">
      <c r="B23" s="89" t="s">
        <v>109</v>
      </c>
      <c r="C23" s="290">
        <f>'PCR Cycle 3'!K7+'PCR Cycle 2'!J10</f>
        <v>-566155.16999999958</v>
      </c>
      <c r="D23" s="290">
        <f>'TDR Cycle 3'!K7+'TDR Cycle 2'!K10</f>
        <v>24515.120000000017</v>
      </c>
      <c r="E23" s="290">
        <f>+'EOR Cycle 2'!I10+'EOR Cycle 3'!I7</f>
        <v>37934.159999999996</v>
      </c>
      <c r="F23" s="290">
        <f>+'OAR Cycle 2'!I10</f>
        <v>0</v>
      </c>
      <c r="G23" s="119"/>
      <c r="O23" s="293">
        <v>0</v>
      </c>
      <c r="P23" s="293">
        <v>0</v>
      </c>
      <c r="Q23" s="293">
        <v>0</v>
      </c>
      <c r="R23" s="222"/>
      <c r="S23" s="297">
        <f>ROUND(+'PCR Cycle 2'!J10/'Tariff Tables'!G7,5)</f>
        <v>0</v>
      </c>
      <c r="T23" s="297">
        <f>ROUND(+'TDR Cycle 2'!K10/'Tariff Tables'!G7,5)</f>
        <v>4.0000000000000003E-5</v>
      </c>
      <c r="U23" s="297">
        <f>ROUND('EOR Cycle 2'!I10/'Tariff Tables'!G7,5)</f>
        <v>2.0000000000000002E-5</v>
      </c>
      <c r="V23" s="296">
        <f>ROUND('OAR Cycle 2'!I10/'Tariff Tables'!G7,5)</f>
        <v>0</v>
      </c>
      <c r="W23" s="263"/>
      <c r="X23" s="297">
        <f>ROUND('PCR Cycle 3'!K7/'Tariff Tables'!G7,5)</f>
        <v>-7.3999999999999999E-4</v>
      </c>
      <c r="Y23" s="296">
        <f>ROUND('TDR Cycle 3'!K7/'Tariff Tables'!G7,5)</f>
        <v>-1.0000000000000001E-5</v>
      </c>
      <c r="Z23" s="296">
        <f>ROUND('EOR Cycle 3'!I7/'Tariff Tables'!G7,5)</f>
        <v>3.0000000000000001E-5</v>
      </c>
      <c r="AA23" s="296">
        <f>ROUND('OAR Cycle 3'!I7/'Tariff Tables'!G7,5)</f>
        <v>0</v>
      </c>
    </row>
    <row r="24" spans="2:27" x14ac:dyDescent="0.25">
      <c r="O24" s="46"/>
      <c r="P24" s="46"/>
      <c r="R24" s="46"/>
      <c r="S24" s="263"/>
      <c r="T24" s="263"/>
      <c r="U24" s="263"/>
      <c r="V24" s="263"/>
      <c r="W24" s="263"/>
      <c r="X24" s="263"/>
      <c r="Y24" s="263"/>
      <c r="Z24" s="263"/>
    </row>
    <row r="25" spans="2:27" x14ac:dyDescent="0.25">
      <c r="B25" s="92" t="s">
        <v>39</v>
      </c>
      <c r="R25" t="s">
        <v>149</v>
      </c>
      <c r="S25" s="355">
        <f t="shared" ref="S25:V28" si="7">+J4-O12-O20-S12-S20-X12-X20</f>
        <v>-1.7618285302889447E-19</v>
      </c>
      <c r="T25" s="355">
        <f t="shared" si="7"/>
        <v>0</v>
      </c>
      <c r="U25" s="355">
        <f t="shared" si="7"/>
        <v>0</v>
      </c>
      <c r="V25" s="355">
        <f t="shared" si="7"/>
        <v>0</v>
      </c>
      <c r="W25" s="263"/>
      <c r="X25" s="263"/>
      <c r="Y25" s="263"/>
      <c r="Z25" s="263"/>
    </row>
    <row r="26" spans="2:27" x14ac:dyDescent="0.25">
      <c r="B26" s="93" t="s">
        <v>40</v>
      </c>
      <c r="R26" t="s">
        <v>150</v>
      </c>
      <c r="S26" s="355">
        <f t="shared" si="7"/>
        <v>0</v>
      </c>
      <c r="T26" s="355">
        <f t="shared" si="7"/>
        <v>0</v>
      </c>
      <c r="U26" s="355">
        <f t="shared" si="7"/>
        <v>0</v>
      </c>
      <c r="V26" s="355">
        <f t="shared" si="7"/>
        <v>0</v>
      </c>
      <c r="W26" s="263"/>
      <c r="X26" s="263"/>
      <c r="Y26" s="263"/>
      <c r="Z26" s="263"/>
    </row>
    <row r="27" spans="2:27" x14ac:dyDescent="0.25">
      <c r="B27" s="93" t="s">
        <v>43</v>
      </c>
      <c r="R27" t="s">
        <v>151</v>
      </c>
      <c r="S27" s="356">
        <f t="shared" si="7"/>
        <v>0</v>
      </c>
      <c r="T27" s="356">
        <f t="shared" si="7"/>
        <v>0</v>
      </c>
      <c r="U27" s="356">
        <f t="shared" si="7"/>
        <v>8.3009228830921433E-20</v>
      </c>
      <c r="V27" s="355">
        <f t="shared" si="7"/>
        <v>0</v>
      </c>
    </row>
    <row r="28" spans="2:27" x14ac:dyDescent="0.25">
      <c r="B28" s="93" t="s">
        <v>142</v>
      </c>
      <c r="R28" t="s">
        <v>152</v>
      </c>
      <c r="S28" s="356">
        <f t="shared" si="7"/>
        <v>0</v>
      </c>
      <c r="T28" s="356">
        <f t="shared" si="7"/>
        <v>0</v>
      </c>
      <c r="U28" s="356">
        <f t="shared" si="7"/>
        <v>-1.3891340334970526E-19</v>
      </c>
      <c r="V28" s="355">
        <f t="shared" si="7"/>
        <v>0</v>
      </c>
    </row>
    <row r="29" spans="2:27" x14ac:dyDescent="0.25">
      <c r="B29" s="93" t="s">
        <v>41</v>
      </c>
      <c r="R29" s="46"/>
      <c r="S29" s="46"/>
      <c r="T29" s="46"/>
    </row>
    <row r="30" spans="2:27" x14ac:dyDescent="0.25">
      <c r="B30" s="93" t="s">
        <v>147</v>
      </c>
      <c r="O30" s="238"/>
      <c r="P30" s="238"/>
      <c r="Q30" s="238"/>
      <c r="R30" s="141"/>
      <c r="S30" s="141"/>
      <c r="T30" s="46"/>
    </row>
    <row r="31" spans="2:27" x14ac:dyDescent="0.25">
      <c r="B31" s="93" t="s">
        <v>141</v>
      </c>
      <c r="O31" s="141"/>
      <c r="P31" s="141"/>
      <c r="Q31" s="239"/>
      <c r="R31" s="141"/>
      <c r="S31" s="141"/>
      <c r="T31" s="46"/>
    </row>
    <row r="32" spans="2:27" x14ac:dyDescent="0.25">
      <c r="B32" s="93" t="s">
        <v>48</v>
      </c>
      <c r="O32" s="240"/>
      <c r="P32" s="141"/>
      <c r="Q32" s="239"/>
      <c r="R32" s="141"/>
      <c r="S32" s="141"/>
      <c r="T32" s="46"/>
    </row>
    <row r="33" spans="2:20" x14ac:dyDescent="0.25">
      <c r="B33" s="93" t="s">
        <v>146</v>
      </c>
      <c r="O33" s="241"/>
      <c r="P33" s="242"/>
      <c r="Q33" s="239"/>
      <c r="R33" s="239"/>
      <c r="S33" s="141"/>
      <c r="T33" s="46"/>
    </row>
    <row r="34" spans="2:20" x14ac:dyDescent="0.25">
      <c r="B34" s="93" t="s">
        <v>143</v>
      </c>
      <c r="O34" s="241"/>
      <c r="P34" s="242"/>
      <c r="Q34" s="239"/>
      <c r="R34" s="239"/>
      <c r="S34" s="141"/>
      <c r="T34" s="46"/>
    </row>
    <row r="35" spans="2:20" x14ac:dyDescent="0.25">
      <c r="B35" s="93" t="s">
        <v>144</v>
      </c>
      <c r="O35" s="241"/>
      <c r="P35" s="242"/>
      <c r="Q35" s="239"/>
      <c r="R35" s="239"/>
      <c r="S35" s="141"/>
      <c r="T35" s="46"/>
    </row>
    <row r="36" spans="2:20" x14ac:dyDescent="0.25">
      <c r="B36" s="93" t="s">
        <v>148</v>
      </c>
      <c r="O36" s="241"/>
      <c r="P36" s="242"/>
      <c r="Q36" s="239"/>
      <c r="R36" s="239"/>
      <c r="S36" s="141"/>
      <c r="T36" s="46"/>
    </row>
    <row r="37" spans="2:20" x14ac:dyDescent="0.25">
      <c r="B37" s="93" t="s">
        <v>42</v>
      </c>
      <c r="O37" s="241"/>
      <c r="P37" s="242"/>
      <c r="Q37" s="239"/>
      <c r="R37" s="239"/>
      <c r="S37" s="141"/>
      <c r="T37" s="46"/>
    </row>
    <row r="38" spans="2:20" x14ac:dyDescent="0.25">
      <c r="B38" s="93" t="s">
        <v>145</v>
      </c>
      <c r="O38" s="241"/>
      <c r="P38" s="242"/>
      <c r="Q38" s="239"/>
      <c r="R38" s="239"/>
      <c r="S38" s="141"/>
      <c r="T38" s="46"/>
    </row>
    <row r="39" spans="2:20" x14ac:dyDescent="0.25">
      <c r="B39" s="93" t="s">
        <v>185</v>
      </c>
      <c r="O39" s="243"/>
      <c r="P39" s="242"/>
      <c r="Q39" s="239"/>
      <c r="R39" s="239"/>
      <c r="S39" s="141"/>
      <c r="T39" s="46"/>
    </row>
    <row r="40" spans="2:20" x14ac:dyDescent="0.25">
      <c r="B40" s="93" t="s">
        <v>186</v>
      </c>
      <c r="O40" s="141"/>
      <c r="P40" s="244"/>
      <c r="Q40" s="239"/>
      <c r="R40" s="239"/>
      <c r="S40" s="141"/>
      <c r="T40" s="46"/>
    </row>
    <row r="41" spans="2:20" x14ac:dyDescent="0.25">
      <c r="O41" s="240"/>
      <c r="P41" s="141"/>
      <c r="Q41" s="239"/>
      <c r="R41" s="239"/>
      <c r="S41" s="141"/>
      <c r="T41" s="46"/>
    </row>
    <row r="42" spans="2:20" x14ac:dyDescent="0.25">
      <c r="O42" s="241"/>
      <c r="P42" s="242"/>
      <c r="Q42" s="239"/>
      <c r="R42" s="239"/>
      <c r="S42" s="141"/>
      <c r="T42" s="46"/>
    </row>
    <row r="43" spans="2:20" x14ac:dyDescent="0.25">
      <c r="O43" s="241"/>
      <c r="P43" s="242"/>
      <c r="Q43" s="239"/>
      <c r="R43" s="239"/>
      <c r="S43" s="141"/>
      <c r="T43" s="46"/>
    </row>
    <row r="44" spans="2:20" x14ac:dyDescent="0.25">
      <c r="O44" s="241"/>
      <c r="P44" s="242"/>
      <c r="Q44" s="239"/>
      <c r="R44" s="239"/>
      <c r="S44" s="141"/>
      <c r="T44" s="46"/>
    </row>
    <row r="45" spans="2:20" x14ac:dyDescent="0.25">
      <c r="O45" s="241"/>
      <c r="P45" s="242"/>
      <c r="Q45" s="239"/>
      <c r="R45" s="239"/>
      <c r="S45" s="141"/>
      <c r="T45" s="46"/>
    </row>
    <row r="46" spans="2:20" x14ac:dyDescent="0.25">
      <c r="O46" s="241"/>
      <c r="P46" s="242"/>
      <c r="Q46" s="239"/>
      <c r="R46" s="239"/>
      <c r="S46" s="141"/>
      <c r="T46" s="46"/>
    </row>
    <row r="47" spans="2:20" x14ac:dyDescent="0.25">
      <c r="O47" s="241"/>
      <c r="P47" s="242"/>
      <c r="Q47" s="239"/>
      <c r="R47" s="239"/>
      <c r="S47" s="141"/>
      <c r="T47" s="46"/>
    </row>
    <row r="48" spans="2:20" x14ac:dyDescent="0.25">
      <c r="O48" s="243"/>
      <c r="P48" s="242"/>
      <c r="Q48" s="239"/>
      <c r="R48" s="239"/>
      <c r="S48" s="141"/>
    </row>
    <row r="49" spans="15:19" x14ac:dyDescent="0.25">
      <c r="O49" s="141"/>
      <c r="P49" s="244"/>
      <c r="Q49" s="239"/>
      <c r="R49" s="239"/>
      <c r="S49" s="141"/>
    </row>
    <row r="50" spans="15:19" x14ac:dyDescent="0.25">
      <c r="O50" s="141"/>
      <c r="P50" s="141"/>
      <c r="Q50" s="239"/>
      <c r="R50" s="239"/>
      <c r="S50" s="141"/>
    </row>
  </sheetData>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2:G29"/>
  <sheetViews>
    <sheetView workbookViewId="0">
      <selection activeCell="I4" sqref="I4"/>
    </sheetView>
  </sheetViews>
  <sheetFormatPr defaultRowHeight="15" x14ac:dyDescent="0.25"/>
  <cols>
    <col min="1" max="1" width="27.7109375" customWidth="1"/>
    <col min="2" max="2" width="11.28515625" bestFit="1" customWidth="1"/>
    <col min="3" max="3" width="10.140625" bestFit="1" customWidth="1"/>
    <col min="4" max="5" width="11.28515625" bestFit="1" customWidth="1"/>
    <col min="6" max="6" width="10.140625" bestFit="1" customWidth="1"/>
  </cols>
  <sheetData>
    <row r="2" spans="1:6" x14ac:dyDescent="0.25">
      <c r="A2" s="3" t="str">
        <f>+'Tariff Tables'!A1</f>
        <v>Evergy Missouri West, Inc. - DSIM Rider Update Filed 12/01/2023</v>
      </c>
    </row>
    <row r="3" spans="1:6" ht="15.75" thickBot="1" x14ac:dyDescent="0.3">
      <c r="A3" s="3" t="s">
        <v>126</v>
      </c>
    </row>
    <row r="4" spans="1:6" ht="27.75" thickBot="1" x14ac:dyDescent="0.3">
      <c r="A4" s="86" t="s">
        <v>133</v>
      </c>
      <c r="B4" s="123" t="s">
        <v>132</v>
      </c>
      <c r="C4" s="123" t="s">
        <v>131</v>
      </c>
      <c r="D4" s="123" t="s">
        <v>130</v>
      </c>
      <c r="E4" s="123" t="s">
        <v>129</v>
      </c>
      <c r="F4" s="88" t="s">
        <v>28</v>
      </c>
    </row>
    <row r="5" spans="1:6" ht="15.75" thickBot="1" x14ac:dyDescent="0.3">
      <c r="A5" s="89" t="s">
        <v>24</v>
      </c>
      <c r="B5" s="300">
        <f>+'Tariff Tables'!S12+'Tariff Tables'!S20</f>
        <v>0</v>
      </c>
      <c r="C5" s="300">
        <f>+'Tariff Tables'!T12+'Tariff Tables'!T20</f>
        <v>6.9999999999999994E-5</v>
      </c>
      <c r="D5" s="300">
        <f>+'Tariff Tables'!U12+'Tariff Tables'!U20</f>
        <v>-2.0000000000000002E-5</v>
      </c>
      <c r="E5" s="300">
        <f>+'Tariff Tables'!V12+'Tariff Tables'!V20</f>
        <v>-1.0000000000000001E-5</v>
      </c>
      <c r="F5" s="218">
        <f>SUM(B5:E5)</f>
        <v>3.9999999999999996E-5</v>
      </c>
    </row>
    <row r="6" spans="1:6" ht="15.75" thickBot="1" x14ac:dyDescent="0.3">
      <c r="A6" s="89" t="s">
        <v>107</v>
      </c>
      <c r="B6" s="300">
        <f>+'Tariff Tables'!S13+'Tariff Tables'!S21</f>
        <v>-1.0000000000000001E-5</v>
      </c>
      <c r="C6" s="300">
        <f>+'Tariff Tables'!T13+'Tariff Tables'!T21</f>
        <v>6.9999999999999994E-5</v>
      </c>
      <c r="D6" s="300">
        <f>+'Tariff Tables'!U13+'Tariff Tables'!U21</f>
        <v>3.0000000000000001E-5</v>
      </c>
      <c r="E6" s="300">
        <f>+'Tariff Tables'!V13+'Tariff Tables'!V21</f>
        <v>0</v>
      </c>
      <c r="F6" s="218">
        <f t="shared" ref="F6:F8" si="0">SUM(B6:E6)</f>
        <v>8.9999999999999992E-5</v>
      </c>
    </row>
    <row r="7" spans="1:6" ht="15.75" thickBot="1" x14ac:dyDescent="0.3">
      <c r="A7" s="89" t="s">
        <v>108</v>
      </c>
      <c r="B7" s="300">
        <f>+'Tariff Tables'!S14+'Tariff Tables'!S22</f>
        <v>-1.0000000000000001E-5</v>
      </c>
      <c r="C7" s="300">
        <f>+'Tariff Tables'!T14+'Tariff Tables'!T22</f>
        <v>9.0000000000000006E-5</v>
      </c>
      <c r="D7" s="300">
        <f>+'Tariff Tables'!U14+'Tariff Tables'!U22</f>
        <v>3.0000000000000001E-5</v>
      </c>
      <c r="E7" s="300">
        <f>+'Tariff Tables'!V14+'Tariff Tables'!V22</f>
        <v>0</v>
      </c>
      <c r="F7" s="218">
        <f t="shared" si="0"/>
        <v>1.1E-4</v>
      </c>
    </row>
    <row r="8" spans="1:6" ht="15.75" thickBot="1" x14ac:dyDescent="0.3">
      <c r="A8" s="89" t="s">
        <v>109</v>
      </c>
      <c r="B8" s="300">
        <f>+'Tariff Tables'!S15+'Tariff Tables'!S23</f>
        <v>0</v>
      </c>
      <c r="C8" s="300">
        <f>+'Tariff Tables'!T15+'Tariff Tables'!T23</f>
        <v>4.0000000000000003E-5</v>
      </c>
      <c r="D8" s="300">
        <f>+'Tariff Tables'!U15+'Tariff Tables'!U23</f>
        <v>2.0000000000000002E-5</v>
      </c>
      <c r="E8" s="300">
        <f>+'Tariff Tables'!V15+'Tariff Tables'!V23</f>
        <v>0</v>
      </c>
      <c r="F8" s="218">
        <f t="shared" si="0"/>
        <v>6.0000000000000008E-5</v>
      </c>
    </row>
    <row r="11" spans="1:6" ht="15.75" thickBot="1" x14ac:dyDescent="0.3">
      <c r="A11" s="3" t="s">
        <v>127</v>
      </c>
      <c r="B11" s="46"/>
      <c r="C11" s="46"/>
      <c r="D11" s="46"/>
      <c r="E11" s="46"/>
      <c r="F11" s="46"/>
    </row>
    <row r="12" spans="1:6" ht="27.75" thickBot="1" x14ac:dyDescent="0.3">
      <c r="A12" s="86" t="s">
        <v>133</v>
      </c>
      <c r="B12" s="123" t="s">
        <v>132</v>
      </c>
      <c r="C12" s="123" t="s">
        <v>131</v>
      </c>
      <c r="D12" s="123" t="s">
        <v>130</v>
      </c>
      <c r="E12" s="123" t="s">
        <v>129</v>
      </c>
      <c r="F12" s="88" t="s">
        <v>28</v>
      </c>
    </row>
    <row r="13" spans="1:6" ht="15.75" thickBot="1" x14ac:dyDescent="0.3">
      <c r="A13" s="89" t="s">
        <v>24</v>
      </c>
      <c r="B13" s="300">
        <f>+'Tariff Tables'!X12+'Tariff Tables'!X20</f>
        <v>2.4499999999999999E-3</v>
      </c>
      <c r="C13" s="300">
        <f>+'Tariff Tables'!Y12+'Tariff Tables'!Y20</f>
        <v>4.0999999999999999E-4</v>
      </c>
      <c r="D13" s="300">
        <f>+'Tariff Tables'!Z12+'Tariff Tables'!Z20</f>
        <v>7.2000000000000005E-4</v>
      </c>
      <c r="E13" s="300">
        <f>+'Tariff Tables'!AA12+'Tariff Tables'!AA20</f>
        <v>-3.0000000000000001E-5</v>
      </c>
      <c r="F13" s="218">
        <f>SUM(B13:E13)</f>
        <v>3.5499999999999998E-3</v>
      </c>
    </row>
    <row r="14" spans="1:6" ht="15.75" thickBot="1" x14ac:dyDescent="0.3">
      <c r="A14" s="89" t="s">
        <v>107</v>
      </c>
      <c r="B14" s="300">
        <f>+'Tariff Tables'!X13+'Tariff Tables'!X21</f>
        <v>1.72E-3</v>
      </c>
      <c r="C14" s="300">
        <f>+'Tariff Tables'!Y13+'Tariff Tables'!Y21</f>
        <v>3.0999999999999995E-4</v>
      </c>
      <c r="D14" s="300">
        <f>+'Tariff Tables'!Z13+'Tariff Tables'!Z21</f>
        <v>3.1E-4</v>
      </c>
      <c r="E14" s="300">
        <f>+'Tariff Tables'!AA13+'Tariff Tables'!AA21</f>
        <v>0</v>
      </c>
      <c r="F14" s="218">
        <f t="shared" ref="F14:F16" si="1">SUM(B14:E14)</f>
        <v>2.3399999999999996E-3</v>
      </c>
    </row>
    <row r="15" spans="1:6" ht="15.75" thickBot="1" x14ac:dyDescent="0.3">
      <c r="A15" s="89" t="s">
        <v>108</v>
      </c>
      <c r="B15" s="300">
        <f>+'Tariff Tables'!X14+'Tariff Tables'!X22</f>
        <v>3.48E-3</v>
      </c>
      <c r="C15" s="300">
        <f>+'Tariff Tables'!Y14+'Tariff Tables'!Y22</f>
        <v>3.9999999999999996E-4</v>
      </c>
      <c r="D15" s="300">
        <f>+'Tariff Tables'!Z14+'Tariff Tables'!Z22</f>
        <v>7.5999999999999993E-4</v>
      </c>
      <c r="E15" s="300">
        <f>+'Tariff Tables'!AA14+'Tariff Tables'!AA22</f>
        <v>0</v>
      </c>
      <c r="F15" s="218">
        <f t="shared" si="1"/>
        <v>4.64E-3</v>
      </c>
    </row>
    <row r="16" spans="1:6" ht="15.75" thickBot="1" x14ac:dyDescent="0.3">
      <c r="A16" s="89" t="s">
        <v>109</v>
      </c>
      <c r="B16" s="300">
        <f>+'Tariff Tables'!X15+'Tariff Tables'!X23</f>
        <v>1.74E-3</v>
      </c>
      <c r="C16" s="300">
        <f>+'Tariff Tables'!Y15+'Tariff Tables'!Y23</f>
        <v>4.0000000000000003E-5</v>
      </c>
      <c r="D16" s="300">
        <f>+'Tariff Tables'!Z15+'Tariff Tables'!Z23</f>
        <v>7.9000000000000001E-4</v>
      </c>
      <c r="E16" s="300">
        <f>+'Tariff Tables'!AA15+'Tariff Tables'!AA23</f>
        <v>0</v>
      </c>
      <c r="F16" s="218">
        <f t="shared" si="1"/>
        <v>2.5700000000000002E-3</v>
      </c>
    </row>
    <row r="19" spans="1:7" ht="15.75" thickBot="1" x14ac:dyDescent="0.3">
      <c r="A19" s="3" t="s">
        <v>128</v>
      </c>
      <c r="B19" s="46"/>
      <c r="C19" s="46"/>
      <c r="D19" s="46"/>
      <c r="E19" s="46"/>
      <c r="F19" s="46"/>
    </row>
    <row r="20" spans="1:7" ht="27.75" thickBot="1" x14ac:dyDescent="0.3">
      <c r="A20" s="86" t="s">
        <v>133</v>
      </c>
      <c r="B20" s="123" t="s">
        <v>132</v>
      </c>
      <c r="C20" s="123" t="s">
        <v>131</v>
      </c>
      <c r="D20" s="123" t="s">
        <v>130</v>
      </c>
      <c r="E20" s="123" t="s">
        <v>129</v>
      </c>
      <c r="F20" s="88" t="s">
        <v>28</v>
      </c>
    </row>
    <row r="21" spans="1:7" ht="15.75" thickBot="1" x14ac:dyDescent="0.3">
      <c r="A21" s="89" t="s">
        <v>24</v>
      </c>
      <c r="B21" s="219">
        <f>+B5+B13</f>
        <v>2.4499999999999999E-3</v>
      </c>
      <c r="C21" s="220">
        <f t="shared" ref="B21:E24" si="2">+C5+C13</f>
        <v>4.7999999999999996E-4</v>
      </c>
      <c r="D21" s="220">
        <f t="shared" si="2"/>
        <v>6.9999999999999999E-4</v>
      </c>
      <c r="E21" s="220">
        <f t="shared" si="2"/>
        <v>-4.0000000000000003E-5</v>
      </c>
      <c r="F21" s="218">
        <f>SUM(B21:E21)</f>
        <v>3.5899999999999999E-3</v>
      </c>
      <c r="G21" s="301">
        <f>+F21-'Tariff Tables'!H4</f>
        <v>0</v>
      </c>
    </row>
    <row r="22" spans="1:7" ht="15.75" thickBot="1" x14ac:dyDescent="0.3">
      <c r="A22" s="89" t="s">
        <v>107</v>
      </c>
      <c r="B22" s="219">
        <f t="shared" si="2"/>
        <v>1.7099999999999999E-3</v>
      </c>
      <c r="C22" s="220">
        <f t="shared" si="2"/>
        <v>3.7999999999999991E-4</v>
      </c>
      <c r="D22" s="220">
        <f t="shared" si="2"/>
        <v>3.4000000000000002E-4</v>
      </c>
      <c r="E22" s="220">
        <f t="shared" si="2"/>
        <v>0</v>
      </c>
      <c r="F22" s="218">
        <f t="shared" ref="F22:F24" si="3">SUM(B22:E22)</f>
        <v>2.4299999999999999E-3</v>
      </c>
      <c r="G22" s="301">
        <f>+F22-'Tariff Tables'!H5</f>
        <v>0</v>
      </c>
    </row>
    <row r="23" spans="1:7" ht="15.75" thickBot="1" x14ac:dyDescent="0.3">
      <c r="A23" s="89" t="s">
        <v>108</v>
      </c>
      <c r="B23" s="219">
        <f t="shared" si="2"/>
        <v>3.47E-3</v>
      </c>
      <c r="C23" s="220">
        <f t="shared" si="2"/>
        <v>4.8999999999999998E-4</v>
      </c>
      <c r="D23" s="220">
        <f t="shared" si="2"/>
        <v>7.899999999999999E-4</v>
      </c>
      <c r="E23" s="220">
        <f t="shared" si="2"/>
        <v>0</v>
      </c>
      <c r="F23" s="218">
        <f t="shared" si="3"/>
        <v>4.7499999999999999E-3</v>
      </c>
      <c r="G23" s="301">
        <f>+F23-'Tariff Tables'!H6</f>
        <v>0</v>
      </c>
    </row>
    <row r="24" spans="1:7" ht="15.75" thickBot="1" x14ac:dyDescent="0.3">
      <c r="A24" s="89" t="s">
        <v>109</v>
      </c>
      <c r="B24" s="219">
        <f t="shared" si="2"/>
        <v>1.74E-3</v>
      </c>
      <c r="C24" s="220">
        <f t="shared" si="2"/>
        <v>8.0000000000000007E-5</v>
      </c>
      <c r="D24" s="220">
        <f t="shared" si="2"/>
        <v>8.1000000000000006E-4</v>
      </c>
      <c r="E24" s="220">
        <f t="shared" si="2"/>
        <v>0</v>
      </c>
      <c r="F24" s="218">
        <f t="shared" si="3"/>
        <v>2.63E-3</v>
      </c>
      <c r="G24" s="301">
        <f>+F24-'Tariff Tables'!H7</f>
        <v>0</v>
      </c>
    </row>
    <row r="26" spans="1:7" x14ac:dyDescent="0.25">
      <c r="A26" s="302" t="s">
        <v>232</v>
      </c>
      <c r="B26" s="301">
        <f>+B21-'Tariff Tables'!J4</f>
        <v>0</v>
      </c>
      <c r="C26" s="301">
        <f>+C21-'Tariff Tables'!K4</f>
        <v>0</v>
      </c>
      <c r="D26" s="301">
        <f>+D21-'Tariff Tables'!L4</f>
        <v>0</v>
      </c>
      <c r="E26" s="301">
        <f>+E21-'Tariff Tables'!M4</f>
        <v>0</v>
      </c>
      <c r="F26" s="221"/>
    </row>
    <row r="27" spans="1:7" x14ac:dyDescent="0.25">
      <c r="B27" s="301">
        <f>+B22-'Tariff Tables'!J5</f>
        <v>0</v>
      </c>
      <c r="C27" s="301">
        <f>+C22-'Tariff Tables'!K5</f>
        <v>0</v>
      </c>
      <c r="D27" s="301">
        <f>+D22-'Tariff Tables'!L5</f>
        <v>0</v>
      </c>
      <c r="E27" s="301">
        <f>+E22-'Tariff Tables'!M5</f>
        <v>0</v>
      </c>
      <c r="F27" s="221"/>
    </row>
    <row r="28" spans="1:7" x14ac:dyDescent="0.25">
      <c r="B28" s="301">
        <f>+B23-'Tariff Tables'!J6</f>
        <v>0</v>
      </c>
      <c r="C28" s="301">
        <f>+C23-'Tariff Tables'!K6</f>
        <v>0</v>
      </c>
      <c r="D28" s="301">
        <f>+D23-'Tariff Tables'!L6</f>
        <v>0</v>
      </c>
      <c r="E28" s="301">
        <f>+E23-'Tariff Tables'!M6</f>
        <v>0</v>
      </c>
      <c r="F28" s="221"/>
    </row>
    <row r="29" spans="1:7" x14ac:dyDescent="0.25">
      <c r="B29" s="301">
        <f>+B24-'Tariff Tables'!J7</f>
        <v>0</v>
      </c>
      <c r="C29" s="301">
        <f>+C24-'Tariff Tables'!K7</f>
        <v>0</v>
      </c>
      <c r="D29" s="301">
        <f>+D24-'Tariff Tables'!L7</f>
        <v>0</v>
      </c>
      <c r="E29" s="301">
        <f>+E24-'Tariff Tables'!M7</f>
        <v>0</v>
      </c>
      <c r="F29" s="221"/>
    </row>
  </sheetData>
  <pageMargins left="0.7" right="0.7" top="0.75" bottom="0.75" header="0.3" footer="0.3"/>
  <pageSetup orientation="portrait"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49"/>
  <sheetViews>
    <sheetView workbookViewId="0">
      <selection activeCell="G4" sqref="G4"/>
    </sheetView>
  </sheetViews>
  <sheetFormatPr defaultColWidth="9.140625" defaultRowHeight="15" x14ac:dyDescent="0.25"/>
  <cols>
    <col min="1" max="1" width="20.85546875" style="46" customWidth="1"/>
    <col min="2" max="2" width="22" style="46" customWidth="1"/>
    <col min="3" max="3" width="17.28515625" style="46" customWidth="1"/>
    <col min="4" max="5" width="12.5703125" style="46" bestFit="1" customWidth="1"/>
    <col min="6" max="16384" width="9.140625" style="46"/>
  </cols>
  <sheetData>
    <row r="1" spans="1:25" x14ac:dyDescent="0.25">
      <c r="A1" s="63" t="s">
        <v>233</v>
      </c>
    </row>
    <row r="2" spans="1:25" x14ac:dyDescent="0.25">
      <c r="A2" s="9" t="s">
        <v>234</v>
      </c>
    </row>
    <row r="3" spans="1:25" ht="35.25" customHeight="1" x14ac:dyDescent="0.25">
      <c r="B3" s="358" t="s">
        <v>112</v>
      </c>
      <c r="C3" s="358"/>
    </row>
    <row r="4" spans="1:25" ht="105" x14ac:dyDescent="0.25">
      <c r="B4" s="246" t="s">
        <v>44</v>
      </c>
      <c r="C4" s="216" t="s">
        <v>26</v>
      </c>
      <c r="D4" s="270" t="s">
        <v>289</v>
      </c>
      <c r="E4" s="270" t="s">
        <v>290</v>
      </c>
    </row>
    <row r="5" spans="1:25" x14ac:dyDescent="0.25">
      <c r="A5" s="20" t="s">
        <v>24</v>
      </c>
      <c r="B5" s="303">
        <f>SUM('[1]Billed kWh Sales'!G34:H34)</f>
        <v>3637045755</v>
      </c>
      <c r="C5" s="214">
        <f>SUM(D5:E5)</f>
        <v>8516252.879999999</v>
      </c>
      <c r="D5" s="214">
        <f>ROUND(SUM('[2]Monthly Program Costs Ext'!$BD290:$BO290),2)</f>
        <v>73736.460000000006</v>
      </c>
      <c r="E5" s="214">
        <f>'[19]MO West by program and class'!$Q$31</f>
        <v>8442516.4199999981</v>
      </c>
      <c r="F5" s="39"/>
      <c r="G5" s="245"/>
      <c r="H5" s="245"/>
    </row>
    <row r="6" spans="1:25" x14ac:dyDescent="0.25">
      <c r="A6" s="20" t="s">
        <v>107</v>
      </c>
      <c r="B6" s="303">
        <f>SUM('[1]Billed kWh Sales'!G35:H35)</f>
        <v>1276670772</v>
      </c>
      <c r="C6" s="214">
        <f t="shared" ref="C6:C8" si="0">SUM(D6:E6)</f>
        <v>2539630.4</v>
      </c>
      <c r="D6" s="214">
        <f>ROUND(SUM('[2]Monthly Program Costs Ext'!$BD291:$BO291),2)</f>
        <v>40821.24</v>
      </c>
      <c r="E6" s="214">
        <f>'[19]MO West by program and class'!$R$31</f>
        <v>2498809.1599999997</v>
      </c>
      <c r="F6" s="334"/>
      <c r="G6" s="245"/>
      <c r="H6" s="245"/>
      <c r="I6" s="245"/>
    </row>
    <row r="7" spans="1:25" x14ac:dyDescent="0.25">
      <c r="A7" s="20" t="s">
        <v>108</v>
      </c>
      <c r="B7" s="303">
        <f>SUM('[1]Billed kWh Sales'!G36:H36)</f>
        <v>1140015176</v>
      </c>
      <c r="C7" s="214">
        <f t="shared" si="0"/>
        <v>3404244.9400000004</v>
      </c>
      <c r="D7" s="214">
        <f>ROUND(SUM('[2]Monthly Program Costs Ext'!$BD293:$BO293),2)</f>
        <v>39179.519999999997</v>
      </c>
      <c r="E7" s="214">
        <f>'[19]MO West by program and class'!$T$31</f>
        <v>3365065.4200000004</v>
      </c>
      <c r="F7" s="334"/>
      <c r="G7" s="245"/>
      <c r="H7" s="245"/>
      <c r="I7" s="245"/>
    </row>
    <row r="8" spans="1:25" x14ac:dyDescent="0.25">
      <c r="A8" s="20" t="s">
        <v>109</v>
      </c>
      <c r="B8" s="303">
        <f>SUM('[1]Billed kWh Sales'!G37:H37)</f>
        <v>762704825</v>
      </c>
      <c r="C8" s="214">
        <f t="shared" si="0"/>
        <v>1892874.4699999997</v>
      </c>
      <c r="D8" s="214">
        <f>ROUND(SUM('[2]Monthly Program Costs Ext'!$BD294:$BO294),2)</f>
        <v>28830.9</v>
      </c>
      <c r="E8" s="214">
        <f>'[19]MO West by program and class'!$U$31</f>
        <v>1864043.5699999998</v>
      </c>
      <c r="F8" s="334"/>
      <c r="G8" s="245"/>
      <c r="H8" s="245"/>
      <c r="I8" s="245"/>
      <c r="P8" s="1"/>
      <c r="Q8" s="1"/>
      <c r="R8" s="1"/>
      <c r="S8" s="1"/>
      <c r="T8" s="1"/>
      <c r="U8" s="1"/>
      <c r="V8" s="1"/>
      <c r="W8" s="1"/>
      <c r="X8" s="1"/>
      <c r="Y8" s="1"/>
    </row>
    <row r="9" spans="1:25" x14ac:dyDescent="0.25">
      <c r="A9" s="30" t="s">
        <v>111</v>
      </c>
      <c r="B9" s="247">
        <f>SUM(B5:B8)</f>
        <v>6816436528</v>
      </c>
      <c r="C9" s="215">
        <f>SUM(C5:C8)</f>
        <v>16353002.689999998</v>
      </c>
      <c r="D9" s="215">
        <f t="shared" ref="D9" si="1">SUM(D5:D8)</f>
        <v>182568.12</v>
      </c>
      <c r="E9" s="215">
        <f t="shared" ref="D9:E9" si="2">SUM(E5:E8)</f>
        <v>16170434.569999998</v>
      </c>
      <c r="P9" s="1"/>
      <c r="Q9" s="1"/>
      <c r="R9" s="1"/>
      <c r="S9" s="1"/>
      <c r="T9" s="1"/>
      <c r="U9" s="1"/>
      <c r="V9" s="1"/>
      <c r="W9" s="1"/>
      <c r="X9" s="1"/>
      <c r="Y9" s="1"/>
    </row>
    <row r="11" spans="1:25" x14ac:dyDescent="0.25">
      <c r="A11" s="53" t="s">
        <v>11</v>
      </c>
    </row>
    <row r="12" spans="1:25" ht="29.25" customHeight="1" x14ac:dyDescent="0.25">
      <c r="A12" s="357" t="s">
        <v>228</v>
      </c>
      <c r="B12" s="357"/>
      <c r="C12" s="357"/>
      <c r="D12" s="357"/>
      <c r="E12" s="357"/>
      <c r="F12" s="272"/>
      <c r="G12" s="274"/>
      <c r="H12" s="274"/>
      <c r="I12" s="274"/>
    </row>
    <row r="13" spans="1:25" ht="18.75" customHeight="1" x14ac:dyDescent="0.25">
      <c r="A13" s="357" t="s">
        <v>166</v>
      </c>
      <c r="B13" s="357"/>
      <c r="C13" s="357"/>
      <c r="D13" s="357"/>
      <c r="E13" s="357"/>
    </row>
    <row r="14" spans="1:25" ht="28.5" customHeight="1" x14ac:dyDescent="0.25">
      <c r="A14" s="357" t="s">
        <v>237</v>
      </c>
      <c r="B14" s="357"/>
      <c r="C14" s="357"/>
      <c r="D14" s="357"/>
      <c r="E14" s="357"/>
    </row>
    <row r="15" spans="1:25" ht="28.5" customHeight="1" x14ac:dyDescent="0.25">
      <c r="A15" s="368" t="s">
        <v>291</v>
      </c>
      <c r="B15" s="368"/>
      <c r="C15" s="368"/>
      <c r="D15" s="368"/>
      <c r="E15" s="368"/>
    </row>
    <row r="16" spans="1:25" ht="32.25" customHeight="1" x14ac:dyDescent="0.25"/>
    <row r="23" spans="3:3" x14ac:dyDescent="0.25">
      <c r="C23" s="2"/>
    </row>
    <row r="45" spans="2:3" x14ac:dyDescent="0.25">
      <c r="B45" s="8"/>
      <c r="C45" s="8"/>
    </row>
    <row r="49" spans="2:3" x14ac:dyDescent="0.25">
      <c r="B49" s="8"/>
      <c r="C49" s="8"/>
    </row>
  </sheetData>
  <mergeCells count="5">
    <mergeCell ref="A15:E15"/>
    <mergeCell ref="B3:C3"/>
    <mergeCell ref="A12:E12"/>
    <mergeCell ref="A13:E13"/>
    <mergeCell ref="A14:E14"/>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74"/>
  <sheetViews>
    <sheetView workbookViewId="0">
      <selection activeCell="L3" sqref="L3"/>
    </sheetView>
  </sheetViews>
  <sheetFormatPr defaultColWidth="9.140625" defaultRowHeight="15" outlineLevelCol="1" x14ac:dyDescent="0.25"/>
  <cols>
    <col min="1" max="1" width="54.5703125" style="46" customWidth="1"/>
    <col min="2" max="2" width="14.7109375" style="46" customWidth="1"/>
    <col min="3" max="3" width="15" style="46" customWidth="1"/>
    <col min="4" max="4" width="15.28515625" style="46" customWidth="1"/>
    <col min="5" max="5" width="15.85546875" style="46" customWidth="1"/>
    <col min="6" max="6" width="17.5703125" style="46" customWidth="1"/>
    <col min="7" max="8" width="13.28515625" style="46" customWidth="1"/>
    <col min="9" max="9" width="15.7109375" style="46" customWidth="1"/>
    <col min="10" max="11" width="12.5703125" style="46" bestFit="1" customWidth="1"/>
    <col min="12" max="12" width="14.42578125" style="46" customWidth="1"/>
    <col min="13" max="13" width="15" style="46" bestFit="1" customWidth="1"/>
    <col min="14" max="14" width="16.28515625" style="46" bestFit="1" customWidth="1"/>
    <col min="15" max="15" width="16.28515625" style="46" customWidth="1" outlineLevel="1"/>
    <col min="16" max="16" width="16.140625" style="46" customWidth="1"/>
    <col min="17" max="17" width="17.28515625" style="46" bestFit="1" customWidth="1"/>
    <col min="18" max="18" width="17.42578125" style="46" customWidth="1"/>
    <col min="19" max="19" width="15.5703125" style="46" customWidth="1"/>
    <col min="20" max="20" width="13" style="46" customWidth="1"/>
    <col min="21" max="21" width="9.140625" style="46"/>
    <col min="22" max="22" width="14.28515625" style="46" bestFit="1" customWidth="1"/>
    <col min="23" max="16384" width="9.140625" style="46"/>
  </cols>
  <sheetData>
    <row r="1" spans="1:35" x14ac:dyDescent="0.25">
      <c r="A1" s="3" t="str">
        <f>+'PPC Cycle 3'!A1</f>
        <v>Evergy Missouri West, Inc. - DSIM Rider Update Filed 12/01/2023</v>
      </c>
      <c r="B1" s="3"/>
      <c r="C1" s="3"/>
    </row>
    <row r="2" spans="1:35" x14ac:dyDescent="0.25">
      <c r="D2" s="3" t="s">
        <v>60</v>
      </c>
    </row>
    <row r="3" spans="1:35" ht="30" x14ac:dyDescent="0.25">
      <c r="D3" s="48" t="s">
        <v>46</v>
      </c>
      <c r="E3" s="48" t="s">
        <v>45</v>
      </c>
      <c r="F3" s="70" t="s">
        <v>2</v>
      </c>
      <c r="G3" s="48" t="s">
        <v>3</v>
      </c>
      <c r="H3" s="70" t="s">
        <v>55</v>
      </c>
      <c r="I3" s="48" t="s">
        <v>10</v>
      </c>
      <c r="J3" s="48" t="s">
        <v>4</v>
      </c>
    </row>
    <row r="4" spans="1:35" x14ac:dyDescent="0.25">
      <c r="A4" s="20" t="s">
        <v>24</v>
      </c>
      <c r="D4" s="22">
        <f>SUM(C32:L32)</f>
        <v>0</v>
      </c>
      <c r="E4" s="128">
        <f>SUM(C26:L26)</f>
        <v>1953934816.0056999</v>
      </c>
      <c r="F4" s="22">
        <f>SUM(C22:K22)</f>
        <v>0</v>
      </c>
      <c r="G4" s="22">
        <f>F4-D4</f>
        <v>0</v>
      </c>
      <c r="H4" s="22">
        <f>+B44</f>
        <v>-0.23768000013951607</v>
      </c>
      <c r="I4" s="22">
        <f>SUM(C49:K49)</f>
        <v>0</v>
      </c>
      <c r="J4" s="25">
        <f>SUM(G4:I4)</f>
        <v>-0.23768000013951607</v>
      </c>
      <c r="K4" s="47">
        <f>+J4-L44</f>
        <v>0</v>
      </c>
    </row>
    <row r="5" spans="1:35" ht="15.75" thickBot="1" x14ac:dyDescent="0.3">
      <c r="A5" s="20" t="s">
        <v>25</v>
      </c>
      <c r="D5" s="22">
        <f>SUM(C33:L35)</f>
        <v>-27384.989999999994</v>
      </c>
      <c r="E5" s="128">
        <f>SUM(C27:L29)</f>
        <v>1627771982.1844332</v>
      </c>
      <c r="F5" s="22">
        <f>SUM(C23:K23)</f>
        <v>0</v>
      </c>
      <c r="G5" s="22">
        <f>F5-D5</f>
        <v>27384.989999999994</v>
      </c>
      <c r="H5" s="22">
        <f>+B45</f>
        <v>-49073.598960000098</v>
      </c>
      <c r="I5" s="22">
        <f>SUM(C50:K50)</f>
        <v>-1384.33</v>
      </c>
      <c r="J5" s="25">
        <f>SUM(G5:I5)</f>
        <v>-23072.938960000101</v>
      </c>
      <c r="K5" s="47">
        <f>+J5-L45</f>
        <v>0</v>
      </c>
    </row>
    <row r="6" spans="1:35" ht="16.5" thickTop="1" thickBot="1" x14ac:dyDescent="0.3">
      <c r="D6" s="27">
        <f>SUM(D4:D5)</f>
        <v>-27384.989999999994</v>
      </c>
      <c r="E6" s="27">
        <f t="shared" ref="E6:H6" si="0">SUM(E4:E5)</f>
        <v>3581706798.1901331</v>
      </c>
      <c r="F6" s="27">
        <f t="shared" si="0"/>
        <v>0</v>
      </c>
      <c r="G6" s="27">
        <f t="shared" si="0"/>
        <v>27384.989999999994</v>
      </c>
      <c r="H6" s="27">
        <f t="shared" si="0"/>
        <v>-49073.836640000234</v>
      </c>
      <c r="I6" s="27">
        <f>SUM(I4:I5)</f>
        <v>-1384.33</v>
      </c>
      <c r="J6" s="27">
        <f>SUM(J4:J5)</f>
        <v>-23073.176640000242</v>
      </c>
    </row>
    <row r="7" spans="1:35" ht="45.75" thickTop="1" x14ac:dyDescent="0.25">
      <c r="D7" s="212"/>
      <c r="E7" s="213"/>
      <c r="F7" s="212"/>
      <c r="G7" s="212"/>
      <c r="H7" s="212"/>
      <c r="I7" s="211"/>
      <c r="J7" s="211"/>
      <c r="K7" s="210" t="s">
        <v>122</v>
      </c>
    </row>
    <row r="8" spans="1:35" x14ac:dyDescent="0.25">
      <c r="A8" s="20" t="s">
        <v>107</v>
      </c>
      <c r="D8" s="212"/>
      <c r="E8" s="213"/>
      <c r="F8" s="212"/>
      <c r="G8" s="212"/>
      <c r="H8" s="212"/>
      <c r="I8" s="211"/>
      <c r="J8" s="25">
        <f>ROUND($J$5*K8,2)</f>
        <v>-9046.74</v>
      </c>
      <c r="K8" s="337">
        <f>'[3]Monthly TD Calc'!$CZ$44</f>
        <v>0.39209287804949344</v>
      </c>
      <c r="L8" s="39"/>
    </row>
    <row r="9" spans="1:35" x14ac:dyDescent="0.25">
      <c r="A9" s="20" t="s">
        <v>108</v>
      </c>
      <c r="D9" s="212"/>
      <c r="E9" s="213"/>
      <c r="F9" s="212"/>
      <c r="G9" s="212"/>
      <c r="H9" s="212"/>
      <c r="I9" s="211"/>
      <c r="J9" s="25">
        <f t="shared" ref="J9:J10" si="1">ROUND($J$5*K9,2)</f>
        <v>-10483.4</v>
      </c>
      <c r="K9" s="337">
        <f>'[3]Monthly TD Calc'!$DB$44</f>
        <v>0.45435908608374953</v>
      </c>
      <c r="L9" s="39"/>
    </row>
    <row r="10" spans="1:35" ht="15.75" thickBot="1" x14ac:dyDescent="0.3">
      <c r="A10" s="20" t="s">
        <v>109</v>
      </c>
      <c r="D10" s="212"/>
      <c r="E10" s="213"/>
      <c r="F10" s="212"/>
      <c r="G10" s="212"/>
      <c r="H10" s="212"/>
      <c r="I10" s="211"/>
      <c r="J10" s="25">
        <f t="shared" si="1"/>
        <v>-3542.8</v>
      </c>
      <c r="K10" s="337">
        <f>'[3]Monthly TD Calc'!$DC$44</f>
        <v>0.15354803586675725</v>
      </c>
      <c r="L10" s="39"/>
    </row>
    <row r="11" spans="1:35" ht="16.5" thickTop="1" thickBot="1" x14ac:dyDescent="0.3">
      <c r="A11" s="20" t="s">
        <v>111</v>
      </c>
      <c r="D11" s="212"/>
      <c r="E11" s="213"/>
      <c r="F11" s="212"/>
      <c r="G11" s="212"/>
      <c r="H11" s="212"/>
      <c r="I11" s="211"/>
      <c r="J11" s="27">
        <f>SUM(J8:J10)</f>
        <v>-23072.94</v>
      </c>
      <c r="K11" s="209">
        <f>SUM(K8:K10)</f>
        <v>1.0000000000000002</v>
      </c>
    </row>
    <row r="12" spans="1:35" ht="16.5" thickTop="1" thickBot="1" x14ac:dyDescent="0.3"/>
    <row r="13" spans="1:35" ht="75.75" thickBot="1" x14ac:dyDescent="0.3">
      <c r="B13" s="112" t="s">
        <v>236</v>
      </c>
      <c r="C13" s="143" t="s">
        <v>235</v>
      </c>
      <c r="D13" s="363" t="s">
        <v>33</v>
      </c>
      <c r="E13" s="363"/>
      <c r="F13" s="364"/>
      <c r="G13" s="365" t="s">
        <v>33</v>
      </c>
      <c r="H13" s="366"/>
      <c r="I13" s="367"/>
      <c r="J13" s="359" t="s">
        <v>8</v>
      </c>
      <c r="K13" s="360"/>
      <c r="L13" s="361"/>
      <c r="O13" s="281" t="s">
        <v>247</v>
      </c>
    </row>
    <row r="14" spans="1:35" x14ac:dyDescent="0.25">
      <c r="A14" s="46" t="s">
        <v>32</v>
      </c>
      <c r="C14" s="14"/>
      <c r="D14" s="316">
        <v>45077</v>
      </c>
      <c r="E14" s="19">
        <f>EOMONTH(D14,1)</f>
        <v>45107</v>
      </c>
      <c r="F14" s="19">
        <f t="shared" ref="F14:L14" si="2">EOMONTH(E14,1)</f>
        <v>45138</v>
      </c>
      <c r="G14" s="14">
        <f t="shared" si="2"/>
        <v>45169</v>
      </c>
      <c r="H14" s="19">
        <f t="shared" si="2"/>
        <v>45199</v>
      </c>
      <c r="I14" s="15">
        <f t="shared" si="2"/>
        <v>45230</v>
      </c>
      <c r="J14" s="19">
        <f t="shared" si="2"/>
        <v>45260</v>
      </c>
      <c r="K14" s="19">
        <f t="shared" si="2"/>
        <v>45291</v>
      </c>
      <c r="L14" s="94">
        <f t="shared" si="2"/>
        <v>45322</v>
      </c>
      <c r="O14" s="281"/>
      <c r="Z14" s="1"/>
      <c r="AA14" s="1"/>
      <c r="AB14" s="1"/>
      <c r="AC14" s="1"/>
      <c r="AD14" s="1"/>
      <c r="AE14" s="1"/>
      <c r="AF14" s="1"/>
      <c r="AG14" s="1"/>
      <c r="AH14" s="1"/>
      <c r="AI14" s="1"/>
    </row>
    <row r="15" spans="1:35" x14ac:dyDescent="0.25">
      <c r="A15" s="46" t="s">
        <v>24</v>
      </c>
      <c r="C15" s="304">
        <v>0</v>
      </c>
      <c r="D15" s="106">
        <v>0</v>
      </c>
      <c r="E15" s="106">
        <v>0</v>
      </c>
      <c r="F15" s="107">
        <v>0</v>
      </c>
      <c r="G15" s="16">
        <v>0</v>
      </c>
      <c r="H15" s="55">
        <v>0</v>
      </c>
      <c r="I15" s="154">
        <v>0</v>
      </c>
      <c r="J15" s="162">
        <v>0</v>
      </c>
      <c r="K15" s="130">
        <v>0</v>
      </c>
      <c r="L15" s="75"/>
      <c r="O15" s="47">
        <f>-SUM(J15:L15)</f>
        <v>0</v>
      </c>
    </row>
    <row r="16" spans="1:35" x14ac:dyDescent="0.25">
      <c r="A16" s="46" t="s">
        <v>25</v>
      </c>
      <c r="C16" s="304">
        <v>0</v>
      </c>
      <c r="D16" s="106">
        <v>0</v>
      </c>
      <c r="E16" s="106">
        <v>0</v>
      </c>
      <c r="F16" s="107">
        <v>0</v>
      </c>
      <c r="G16" s="16">
        <v>0</v>
      </c>
      <c r="H16" s="55">
        <v>0</v>
      </c>
      <c r="I16" s="154">
        <v>0</v>
      </c>
      <c r="J16" s="162">
        <v>0</v>
      </c>
      <c r="K16" s="130">
        <v>0</v>
      </c>
      <c r="L16" s="75"/>
      <c r="M16" s="63" t="s">
        <v>27</v>
      </c>
      <c r="O16" s="47">
        <f t="shared" ref="O16:O18" si="3">-SUM(J16:L16)</f>
        <v>0</v>
      </c>
    </row>
    <row r="17" spans="1:15" x14ac:dyDescent="0.25">
      <c r="A17" s="46" t="s">
        <v>0</v>
      </c>
      <c r="C17" s="304">
        <v>0</v>
      </c>
      <c r="D17" s="106">
        <v>0</v>
      </c>
      <c r="E17" s="106">
        <v>0</v>
      </c>
      <c r="F17" s="107">
        <v>0</v>
      </c>
      <c r="G17" s="16">
        <v>0</v>
      </c>
      <c r="H17" s="55">
        <v>0</v>
      </c>
      <c r="I17" s="154">
        <v>0</v>
      </c>
      <c r="J17" s="162">
        <v>0</v>
      </c>
      <c r="K17" s="130">
        <v>0</v>
      </c>
      <c r="L17" s="75"/>
      <c r="M17" s="315">
        <v>0.5</v>
      </c>
      <c r="O17" s="47">
        <f t="shared" si="3"/>
        <v>0</v>
      </c>
    </row>
    <row r="18" spans="1:15" x14ac:dyDescent="0.25">
      <c r="A18" s="46" t="s">
        <v>1</v>
      </c>
      <c r="C18" s="304">
        <v>0</v>
      </c>
      <c r="D18" s="106">
        <v>0</v>
      </c>
      <c r="E18" s="106">
        <v>0</v>
      </c>
      <c r="F18" s="107">
        <v>0</v>
      </c>
      <c r="G18" s="16">
        <v>0</v>
      </c>
      <c r="H18" s="55">
        <v>0</v>
      </c>
      <c r="I18" s="154">
        <v>0</v>
      </c>
      <c r="J18" s="162">
        <v>0</v>
      </c>
      <c r="K18" s="130">
        <v>0</v>
      </c>
      <c r="L18" s="75"/>
      <c r="M18" s="63"/>
      <c r="O18" s="47">
        <f t="shared" si="3"/>
        <v>0</v>
      </c>
    </row>
    <row r="19" spans="1:15" x14ac:dyDescent="0.25">
      <c r="C19" s="305"/>
      <c r="D19" s="31"/>
      <c r="E19" s="31"/>
      <c r="F19" s="31"/>
      <c r="G19" s="28"/>
      <c r="H19" s="31"/>
      <c r="I19" s="11"/>
      <c r="J19" s="31"/>
      <c r="K19" s="31"/>
      <c r="L19" s="29"/>
      <c r="O19" s="47"/>
    </row>
    <row r="20" spans="1:15" x14ac:dyDescent="0.25">
      <c r="C20" s="305"/>
      <c r="D20" s="31"/>
      <c r="E20" s="31"/>
      <c r="F20" s="31"/>
      <c r="G20" s="28"/>
      <c r="H20" s="31"/>
      <c r="I20" s="11"/>
      <c r="J20" s="31"/>
      <c r="K20" s="31"/>
      <c r="L20" s="29"/>
      <c r="O20" s="47"/>
    </row>
    <row r="21" spans="1:15" x14ac:dyDescent="0.25">
      <c r="A21" s="46" t="s">
        <v>35</v>
      </c>
      <c r="C21" s="306"/>
      <c r="D21" s="31"/>
      <c r="E21" s="31"/>
      <c r="F21" s="31"/>
      <c r="G21" s="28"/>
      <c r="H21" s="31"/>
      <c r="I21" s="155"/>
      <c r="J21" s="17"/>
      <c r="K21" s="17"/>
      <c r="L21" s="11"/>
      <c r="O21" s="47"/>
    </row>
    <row r="22" spans="1:15" x14ac:dyDescent="0.25">
      <c r="A22" s="46" t="s">
        <v>24</v>
      </c>
      <c r="C22" s="307"/>
      <c r="D22" s="41">
        <f>D15+($M$17*D$17)+($M$17*D$18)</f>
        <v>0</v>
      </c>
      <c r="E22" s="41">
        <f t="shared" ref="E22:K22" si="4">E15+($M$17*E$17)+($M$17*E$18)</f>
        <v>0</v>
      </c>
      <c r="F22" s="105">
        <f t="shared" si="4"/>
        <v>0</v>
      </c>
      <c r="G22" s="40">
        <f t="shared" si="4"/>
        <v>0</v>
      </c>
      <c r="H22" s="41">
        <f t="shared" si="4"/>
        <v>0</v>
      </c>
      <c r="I22" s="61">
        <f t="shared" si="4"/>
        <v>0</v>
      </c>
      <c r="J22" s="116">
        <f t="shared" si="4"/>
        <v>0</v>
      </c>
      <c r="K22" s="41">
        <f t="shared" si="4"/>
        <v>0</v>
      </c>
      <c r="L22" s="61">
        <f t="shared" ref="L22" si="5">L15+($M$17*L$17)+($M$17*L$18)+L$19*(1-$M$19)</f>
        <v>0</v>
      </c>
      <c r="O22" s="47"/>
    </row>
    <row r="23" spans="1:15" x14ac:dyDescent="0.25">
      <c r="A23" s="46" t="s">
        <v>25</v>
      </c>
      <c r="C23" s="307"/>
      <c r="D23" s="41">
        <f>(D$16+$M$17*D$17)+D$18*$M$17</f>
        <v>0</v>
      </c>
      <c r="E23" s="41">
        <f t="shared" ref="E23:K23" si="6">(E$16+$M$17*E$17)+E$18*$M$17</f>
        <v>0</v>
      </c>
      <c r="F23" s="105">
        <f t="shared" si="6"/>
        <v>0</v>
      </c>
      <c r="G23" s="40">
        <f t="shared" si="6"/>
        <v>0</v>
      </c>
      <c r="H23" s="41">
        <f t="shared" si="6"/>
        <v>0</v>
      </c>
      <c r="I23" s="61">
        <f t="shared" si="6"/>
        <v>0</v>
      </c>
      <c r="J23" s="116">
        <f t="shared" si="6"/>
        <v>0</v>
      </c>
      <c r="K23" s="41">
        <f t="shared" si="6"/>
        <v>0</v>
      </c>
      <c r="L23" s="61">
        <f t="shared" ref="L23" si="7">(L$16+$M$17*L$17+L$19*$M$19)+L$18*$M$17</f>
        <v>0</v>
      </c>
      <c r="O23" s="47"/>
    </row>
    <row r="24" spans="1:15" x14ac:dyDescent="0.25">
      <c r="C24" s="306"/>
      <c r="D24" s="31"/>
      <c r="E24" s="31"/>
      <c r="F24" s="31"/>
      <c r="G24" s="28"/>
      <c r="H24" s="31"/>
      <c r="I24" s="11"/>
      <c r="J24" s="17"/>
      <c r="K24" s="17"/>
      <c r="L24" s="11"/>
      <c r="O24" s="47"/>
    </row>
    <row r="25" spans="1:15" x14ac:dyDescent="0.25">
      <c r="A25" s="39" t="s">
        <v>47</v>
      </c>
      <c r="B25" s="39"/>
      <c r="C25" s="308"/>
      <c r="D25" s="31"/>
      <c r="E25" s="31"/>
      <c r="F25" s="31"/>
      <c r="G25" s="97"/>
      <c r="H25" s="251"/>
      <c r="I25" s="336"/>
      <c r="J25" s="17"/>
      <c r="K25" s="17"/>
      <c r="L25" s="11"/>
      <c r="O25" s="47"/>
    </row>
    <row r="26" spans="1:15" x14ac:dyDescent="0.25">
      <c r="A26" s="46" t="s">
        <v>24</v>
      </c>
      <c r="C26" s="309">
        <v>-851571341</v>
      </c>
      <c r="D26" s="108">
        <f>+'PCR Cycle 3'!E20</f>
        <v>211355608.33752501</v>
      </c>
      <c r="E26" s="108">
        <f>+'PCR Cycle 3'!F20</f>
        <v>285596520.592875</v>
      </c>
      <c r="F26" s="108">
        <f>+'PCR Cycle 3'!G20</f>
        <v>365031532.99315</v>
      </c>
      <c r="G26" s="171">
        <f>+'PCR Cycle 3'!H20</f>
        <v>374446184.758775</v>
      </c>
      <c r="H26" s="173">
        <f>+'PCR Cycle 3'!I20</f>
        <v>363799400.02147496</v>
      </c>
      <c r="I26" s="167">
        <f>+'PCR Cycle 3'!J20</f>
        <v>251619273.30189997</v>
      </c>
      <c r="J26" s="163">
        <f>+'PCR Cycle 3'!K20</f>
        <v>233390280</v>
      </c>
      <c r="K26" s="131">
        <f>+'PCR Cycle 3'!L20</f>
        <v>323567820</v>
      </c>
      <c r="L26" s="76">
        <f>+'PCR Cycle 3'!M20</f>
        <v>396699537</v>
      </c>
      <c r="O26" s="47">
        <f>-SUM(J26:L26)</f>
        <v>-953657637</v>
      </c>
    </row>
    <row r="27" spans="1:15" x14ac:dyDescent="0.25">
      <c r="A27" s="46" t="s">
        <v>107</v>
      </c>
      <c r="C27" s="309">
        <v>-327293341</v>
      </c>
      <c r="D27" s="108">
        <f>+'PCR Cycle 3'!E21</f>
        <v>91213893.700500011</v>
      </c>
      <c r="E27" s="108">
        <f>+'PCR Cycle 3'!F21</f>
        <v>110394790.70376669</v>
      </c>
      <c r="F27" s="108">
        <f>+'PCR Cycle 3'!G21</f>
        <v>124677089.14916666</v>
      </c>
      <c r="G27" s="171">
        <f>+'PCR Cycle 3'!H21</f>
        <v>129787932.83900003</v>
      </c>
      <c r="H27" s="173">
        <f>+'PCR Cycle 3'!I21</f>
        <v>127505846.82459998</v>
      </c>
      <c r="I27" s="167">
        <f>+'PCR Cycle 3'!J21</f>
        <v>108927432.45650001</v>
      </c>
      <c r="J27" s="163">
        <f>+'PCR Cycle 3'!K21</f>
        <v>98999639</v>
      </c>
      <c r="K27" s="131">
        <f>+'PCR Cycle 3'!L21</f>
        <v>102078840</v>
      </c>
      <c r="L27" s="76">
        <f>+'PCR Cycle 3'!M21</f>
        <v>107030136</v>
      </c>
      <c r="O27" s="47">
        <f t="shared" ref="O27:O29" si="8">-SUM(J27:L27)</f>
        <v>-308108615</v>
      </c>
    </row>
    <row r="28" spans="1:15" x14ac:dyDescent="0.25">
      <c r="A28" s="46" t="s">
        <v>108</v>
      </c>
      <c r="C28" s="309">
        <v>-292259668</v>
      </c>
      <c r="D28" s="108">
        <f>+'PCR Cycle 3'!E22</f>
        <v>85113348.173199996</v>
      </c>
      <c r="E28" s="108">
        <f>+'PCR Cycle 3'!F22</f>
        <v>97046737.498199999</v>
      </c>
      <c r="F28" s="108">
        <f>+'PCR Cycle 3'!G22</f>
        <v>104654334.94990002</v>
      </c>
      <c r="G28" s="171">
        <f>+'PCR Cycle 3'!H22</f>
        <v>107305535.94329999</v>
      </c>
      <c r="H28" s="173">
        <f>+'PCR Cycle 3'!I22</f>
        <v>107229106.0633</v>
      </c>
      <c r="I28" s="167">
        <f>+'PCR Cycle 3'!J22</f>
        <v>93816244.750000015</v>
      </c>
      <c r="J28" s="163">
        <f>+'PCR Cycle 3'!K22</f>
        <v>88402659</v>
      </c>
      <c r="K28" s="131">
        <f>+'PCR Cycle 3'!L22</f>
        <v>91152260</v>
      </c>
      <c r="L28" s="76">
        <f>+'PCR Cycle 3'!M22</f>
        <v>95573566</v>
      </c>
      <c r="O28" s="47">
        <f t="shared" si="8"/>
        <v>-275128485</v>
      </c>
    </row>
    <row r="29" spans="1:15" x14ac:dyDescent="0.25">
      <c r="A29" s="46" t="s">
        <v>109</v>
      </c>
      <c r="C29" s="309">
        <v>-195530607</v>
      </c>
      <c r="D29" s="108">
        <f>+'PCR Cycle 3'!E23</f>
        <v>58389103.798200004</v>
      </c>
      <c r="E29" s="108">
        <f>+'PCR Cycle 3'!F23</f>
        <v>62632837.365800016</v>
      </c>
      <c r="F29" s="108">
        <f>+'PCR Cycle 3'!G23</f>
        <v>66534177.74660001</v>
      </c>
      <c r="G29" s="171">
        <f>+'PCR Cycle 3'!H23</f>
        <v>68416351.59360002</v>
      </c>
      <c r="H29" s="173">
        <f>+'PCR Cycle 3'!I23</f>
        <v>66598199.146399997</v>
      </c>
      <c r="I29" s="167">
        <f>+'PCR Cycle 3'!J23</f>
        <v>65306209.4824</v>
      </c>
      <c r="J29" s="163">
        <f>+'PCR Cycle 3'!K23</f>
        <v>59144068</v>
      </c>
      <c r="K29" s="131">
        <f>+'PCR Cycle 3'!L23</f>
        <v>60983635</v>
      </c>
      <c r="L29" s="76">
        <f>+'PCR Cycle 3'!M23</f>
        <v>63941623</v>
      </c>
      <c r="O29" s="47">
        <f t="shared" si="8"/>
        <v>-184069326</v>
      </c>
    </row>
    <row r="30" spans="1:15" x14ac:dyDescent="0.25">
      <c r="C30" s="306"/>
      <c r="D30" s="31"/>
      <c r="E30" s="31"/>
      <c r="F30" s="31"/>
      <c r="G30" s="28"/>
      <c r="H30" s="31"/>
      <c r="I30" s="11"/>
      <c r="J30" s="17"/>
      <c r="K30" s="17"/>
      <c r="L30" s="11"/>
      <c r="O30" s="47"/>
    </row>
    <row r="31" spans="1:15" x14ac:dyDescent="0.25">
      <c r="A31" s="46" t="s">
        <v>34</v>
      </c>
      <c r="C31" s="306"/>
      <c r="D31" s="18"/>
      <c r="E31" s="18"/>
      <c r="F31" s="18"/>
      <c r="G31" s="335"/>
      <c r="H31" s="253"/>
      <c r="I31" s="336"/>
      <c r="J31" s="57"/>
      <c r="K31" s="57"/>
      <c r="L31" s="58"/>
      <c r="M31" s="63" t="s">
        <v>50</v>
      </c>
      <c r="N31" s="39"/>
      <c r="O31" s="47"/>
    </row>
    <row r="32" spans="1:15" x14ac:dyDescent="0.25">
      <c r="A32" s="46" t="s">
        <v>24</v>
      </c>
      <c r="C32" s="304">
        <v>0</v>
      </c>
      <c r="D32" s="106">
        <f>ROUND('[4]May 2023'!$G36+'[4]May 2023'!$G44,2)</f>
        <v>0</v>
      </c>
      <c r="E32" s="106">
        <f>ROUND('[4]June 2023'!$G36+'[4]June 2023'!$G44,2)</f>
        <v>0</v>
      </c>
      <c r="F32" s="108">
        <f>ROUND('[4]July 2023'!$G36+'[4]July 2023'!$G44,2)</f>
        <v>0</v>
      </c>
      <c r="G32" s="172">
        <f>ROUND('[4]August 2023'!$G36+'[4]August 2023'!$G44,2)</f>
        <v>0</v>
      </c>
      <c r="H32" s="55">
        <f>ROUND('[4]September 2023'!$G36+'[4]September 2023'!$G44,2)</f>
        <v>0</v>
      </c>
      <c r="I32" s="165">
        <f>ROUND('[4]October 2023'!$G36+'[4]October 2023'!$G44,2)</f>
        <v>0</v>
      </c>
      <c r="J32" s="116">
        <f>ROUND(J26*$M32,2)</f>
        <v>0</v>
      </c>
      <c r="K32" s="41">
        <f>ROUND(K26*$M32,2)</f>
        <v>0</v>
      </c>
      <c r="L32" s="61">
        <f t="shared" ref="J32:L35" si="9">ROUND(L26*$M32,2)</f>
        <v>0</v>
      </c>
      <c r="M32" s="338">
        <v>0</v>
      </c>
      <c r="O32" s="47">
        <f>-SUM(J32:L32)</f>
        <v>0</v>
      </c>
    </row>
    <row r="33" spans="1:15" x14ac:dyDescent="0.25">
      <c r="A33" s="46" t="s">
        <v>107</v>
      </c>
      <c r="C33" s="304">
        <v>9818.7999999999993</v>
      </c>
      <c r="D33" s="106">
        <f>ROUND('[4]May 2023'!$G37+'[4]May 2023'!$G45,2)</f>
        <v>-2711.33</v>
      </c>
      <c r="E33" s="106">
        <f>ROUND('[4]June 2023'!$G37+'[4]June 2023'!$G45,2)</f>
        <v>-3144.58</v>
      </c>
      <c r="F33" s="108">
        <f>ROUND('[4]July 2023'!$G37+'[4]July 2023'!$G45,2)</f>
        <v>-3721.19</v>
      </c>
      <c r="G33" s="172">
        <f>ROUND('[4]August 2023'!$G37+'[4]August 2023'!$G45,2)</f>
        <v>-1298.67</v>
      </c>
      <c r="H33" s="55">
        <f>ROUND('[4]September 2023'!$G37+'[4]September 2023'!$G45,2)</f>
        <v>-1250.17</v>
      </c>
      <c r="I33" s="165">
        <f>ROUND('[4]October 2023'!$G37+'[4]October 2023'!$G45,2)</f>
        <v>-1084.96</v>
      </c>
      <c r="J33" s="116">
        <f t="shared" si="9"/>
        <v>-990</v>
      </c>
      <c r="K33" s="41">
        <f t="shared" si="9"/>
        <v>-1020.79</v>
      </c>
      <c r="L33" s="61">
        <f t="shared" si="9"/>
        <v>-1070.3</v>
      </c>
      <c r="M33" s="338">
        <v>-1.0000000000000001E-5</v>
      </c>
      <c r="O33" s="47">
        <f t="shared" ref="O33:O37" si="10">-SUM(J33:L33)</f>
        <v>3081.09</v>
      </c>
    </row>
    <row r="34" spans="1:15" x14ac:dyDescent="0.25">
      <c r="A34" s="46" t="s">
        <v>108</v>
      </c>
      <c r="C34" s="304">
        <v>8767.7900000000009</v>
      </c>
      <c r="D34" s="106">
        <f>ROUND('[4]May 2023'!$G38+'[4]May 2023'!$G46,2)</f>
        <v>-2524.52</v>
      </c>
      <c r="E34" s="106">
        <f>ROUND('[4]June 2023'!$G38+'[4]June 2023'!$G46,2)</f>
        <v>-2888.8</v>
      </c>
      <c r="F34" s="108">
        <f>ROUND('[4]July 2023'!$G38+'[4]July 2023'!$G46,2)</f>
        <v>-3132.08</v>
      </c>
      <c r="G34" s="172">
        <f>ROUND('[4]August 2023'!$G38+'[4]August 2023'!$G46,2)</f>
        <v>-3215.21</v>
      </c>
      <c r="H34" s="55">
        <f>ROUND('[4]September 2023'!$G38+'[4]September 2023'!$G46,2)</f>
        <v>-3190.39</v>
      </c>
      <c r="I34" s="165">
        <f>ROUND('[4]October 2023'!$G38+'[4]October 2023'!$G46,2)</f>
        <v>-2810.3</v>
      </c>
      <c r="J34" s="116">
        <f t="shared" si="9"/>
        <v>-2652.08</v>
      </c>
      <c r="K34" s="41">
        <f t="shared" si="9"/>
        <v>-2734.57</v>
      </c>
      <c r="L34" s="61">
        <f t="shared" si="9"/>
        <v>-2867.21</v>
      </c>
      <c r="M34" s="338">
        <v>-3.0000000000000004E-5</v>
      </c>
      <c r="O34" s="47">
        <f t="shared" si="10"/>
        <v>8253.86</v>
      </c>
    </row>
    <row r="35" spans="1:15" x14ac:dyDescent="0.25">
      <c r="A35" s="46" t="s">
        <v>109</v>
      </c>
      <c r="C35" s="304">
        <v>3910.6099999999997</v>
      </c>
      <c r="D35" s="106">
        <f>ROUND('[4]May 2023'!$G39+'[4]May 2023'!$G47,2)</f>
        <v>-1158.46</v>
      </c>
      <c r="E35" s="106">
        <f>ROUND('[4]June 2023'!$G39+'[4]June 2023'!$G47,2)</f>
        <v>-1245.8</v>
      </c>
      <c r="F35" s="108">
        <f>ROUND('[4]July 2023'!$G39+'[4]July 2023'!$G47,2)</f>
        <v>-1328.43</v>
      </c>
      <c r="G35" s="172">
        <f>ROUND('[4]August 2023'!$G39+'[4]August 2023'!$G47,2)</f>
        <v>-692.48</v>
      </c>
      <c r="H35" s="55">
        <f>ROUND('[4]September 2023'!$G39+'[4]September 2023'!$G47,2)</f>
        <v>-657.86</v>
      </c>
      <c r="I35" s="165">
        <f>ROUND('[4]October 2023'!$G39+'[4]October 2023'!$G47,2)</f>
        <v>-651.30999999999995</v>
      </c>
      <c r="J35" s="116">
        <f t="shared" si="9"/>
        <v>-591.44000000000005</v>
      </c>
      <c r="K35" s="41">
        <f t="shared" si="9"/>
        <v>-609.84</v>
      </c>
      <c r="L35" s="61">
        <f t="shared" si="9"/>
        <v>-639.41999999999996</v>
      </c>
      <c r="M35" s="338">
        <v>-1.0000000000000001E-5</v>
      </c>
      <c r="O35" s="47">
        <f t="shared" si="10"/>
        <v>1840.7000000000003</v>
      </c>
    </row>
    <row r="36" spans="1:15" x14ac:dyDescent="0.25">
      <c r="C36" s="310"/>
      <c r="D36" s="18"/>
      <c r="E36" s="18"/>
      <c r="F36" s="18"/>
      <c r="G36" s="335"/>
      <c r="H36" s="253"/>
      <c r="I36" s="336"/>
      <c r="J36" s="68"/>
      <c r="K36" s="68"/>
      <c r="L36" s="13"/>
      <c r="M36" s="4"/>
      <c r="O36" s="47"/>
    </row>
    <row r="37" spans="1:15" ht="15.75" thickBot="1" x14ac:dyDescent="0.3">
      <c r="A37" s="46" t="s">
        <v>14</v>
      </c>
      <c r="C37" s="311">
        <v>663.91000000000008</v>
      </c>
      <c r="D37" s="109">
        <v>-359.73</v>
      </c>
      <c r="E37" s="109">
        <v>-328.13</v>
      </c>
      <c r="F37" s="110">
        <v>-295.55</v>
      </c>
      <c r="G37" s="26">
        <v>-263.57</v>
      </c>
      <c r="H37" s="115">
        <v>-236.64</v>
      </c>
      <c r="I37" s="166">
        <v>-211.35</v>
      </c>
      <c r="J37" s="164">
        <v>-188.08</v>
      </c>
      <c r="K37" s="132">
        <v>-165.19</v>
      </c>
      <c r="L37" s="80"/>
      <c r="O37" s="47">
        <f t="shared" si="10"/>
        <v>353.27</v>
      </c>
    </row>
    <row r="38" spans="1:15" x14ac:dyDescent="0.25">
      <c r="C38" s="98"/>
      <c r="D38" s="31"/>
      <c r="E38" s="31"/>
      <c r="F38" s="31"/>
      <c r="G38" s="28"/>
      <c r="H38" s="31"/>
      <c r="I38" s="11"/>
      <c r="J38" s="17"/>
      <c r="K38" s="17"/>
      <c r="L38" s="11"/>
      <c r="O38" s="47"/>
    </row>
    <row r="39" spans="1:15" x14ac:dyDescent="0.25">
      <c r="A39" s="46" t="s">
        <v>52</v>
      </c>
      <c r="C39" s="98"/>
      <c r="D39" s="31"/>
      <c r="E39" s="31"/>
      <c r="F39" s="31"/>
      <c r="G39" s="28"/>
      <c r="H39" s="31"/>
      <c r="I39" s="11"/>
      <c r="J39" s="17"/>
      <c r="K39" s="17"/>
      <c r="L39" s="11"/>
      <c r="O39" s="47"/>
    </row>
    <row r="40" spans="1:15" x14ac:dyDescent="0.25">
      <c r="A40" s="46" t="s">
        <v>24</v>
      </c>
      <c r="C40" s="40">
        <f>C22-C32</f>
        <v>0</v>
      </c>
      <c r="D40" s="41">
        <f t="shared" ref="D40:L40" si="11">D22-D32</f>
        <v>0</v>
      </c>
      <c r="E40" s="41">
        <f t="shared" si="11"/>
        <v>0</v>
      </c>
      <c r="F40" s="105">
        <f t="shared" si="11"/>
        <v>0</v>
      </c>
      <c r="G40" s="40">
        <f t="shared" si="11"/>
        <v>0</v>
      </c>
      <c r="H40" s="41">
        <f t="shared" si="11"/>
        <v>0</v>
      </c>
      <c r="I40" s="61">
        <f t="shared" si="11"/>
        <v>0</v>
      </c>
      <c r="J40" s="116">
        <f t="shared" si="11"/>
        <v>0</v>
      </c>
      <c r="K40" s="41">
        <f t="shared" si="11"/>
        <v>0</v>
      </c>
      <c r="L40" s="49">
        <f t="shared" si="11"/>
        <v>0</v>
      </c>
      <c r="O40" s="47"/>
    </row>
    <row r="41" spans="1:15" x14ac:dyDescent="0.25">
      <c r="A41" s="46" t="s">
        <v>25</v>
      </c>
      <c r="C41" s="41">
        <f>C23-SUM(C33:C35)</f>
        <v>-22497.200000000001</v>
      </c>
      <c r="D41" s="41">
        <f>D23-SUM(D33:D35)</f>
        <v>6394.31</v>
      </c>
      <c r="E41" s="41">
        <f t="shared" ref="E41:L41" si="12">E23-SUM(E33:E35)</f>
        <v>7279.18</v>
      </c>
      <c r="F41" s="105">
        <f t="shared" si="12"/>
        <v>8181.7000000000007</v>
      </c>
      <c r="G41" s="40">
        <f t="shared" si="12"/>
        <v>5206.3600000000006</v>
      </c>
      <c r="H41" s="41">
        <f t="shared" si="12"/>
        <v>5098.4199999999992</v>
      </c>
      <c r="I41" s="61">
        <f t="shared" si="12"/>
        <v>4546.57</v>
      </c>
      <c r="J41" s="116">
        <f t="shared" si="12"/>
        <v>4233.5200000000004</v>
      </c>
      <c r="K41" s="41">
        <f t="shared" si="12"/>
        <v>4365.2</v>
      </c>
      <c r="L41" s="49">
        <f t="shared" si="12"/>
        <v>4576.93</v>
      </c>
      <c r="O41" s="47"/>
    </row>
    <row r="42" spans="1:15" x14ac:dyDescent="0.25">
      <c r="C42" s="98"/>
      <c r="D42" s="31"/>
      <c r="E42" s="31"/>
      <c r="F42" s="31"/>
      <c r="G42" s="28"/>
      <c r="H42" s="31"/>
      <c r="I42" s="11"/>
      <c r="J42" s="17"/>
      <c r="K42" s="17"/>
      <c r="L42" s="11"/>
      <c r="O42" s="47"/>
    </row>
    <row r="43" spans="1:15" ht="15.75" thickBot="1" x14ac:dyDescent="0.3">
      <c r="A43" s="46" t="s">
        <v>53</v>
      </c>
      <c r="C43" s="101"/>
      <c r="D43" s="31"/>
      <c r="E43" s="31"/>
      <c r="F43" s="31"/>
      <c r="G43" s="28"/>
      <c r="H43" s="31"/>
      <c r="I43" s="11"/>
      <c r="J43" s="17"/>
      <c r="K43" s="17"/>
      <c r="L43" s="11"/>
      <c r="O43" s="47"/>
    </row>
    <row r="44" spans="1:15" x14ac:dyDescent="0.25">
      <c r="A44" s="46" t="s">
        <v>24</v>
      </c>
      <c r="B44" s="312">
        <v>-0.23768000013951607</v>
      </c>
      <c r="C44" s="41">
        <f>B44+C40+B49</f>
        <v>-0.23768000013951607</v>
      </c>
      <c r="D44" s="41">
        <f>C44+D40+C49</f>
        <v>-0.23768000013951607</v>
      </c>
      <c r="E44" s="41">
        <f t="shared" ref="E44:L44" si="13">D44+E40+D49</f>
        <v>-0.23768000013951607</v>
      </c>
      <c r="F44" s="105">
        <f t="shared" si="13"/>
        <v>-0.23768000013951607</v>
      </c>
      <c r="G44" s="40">
        <f t="shared" si="13"/>
        <v>-0.23768000013951607</v>
      </c>
      <c r="H44" s="41">
        <f t="shared" si="13"/>
        <v>-0.23768000013951607</v>
      </c>
      <c r="I44" s="61">
        <f t="shared" si="13"/>
        <v>-0.23768000013951607</v>
      </c>
      <c r="J44" s="116">
        <f t="shared" si="13"/>
        <v>-0.23768000013951607</v>
      </c>
      <c r="K44" s="41">
        <f t="shared" si="13"/>
        <v>-0.23768000013951607</v>
      </c>
      <c r="L44" s="49">
        <f t="shared" si="13"/>
        <v>-0.23768000013951607</v>
      </c>
      <c r="O44" s="47"/>
    </row>
    <row r="45" spans="1:15" ht="15.75" thickBot="1" x14ac:dyDescent="0.3">
      <c r="A45" s="46" t="s">
        <v>25</v>
      </c>
      <c r="B45" s="313">
        <v>-49073.598960000098</v>
      </c>
      <c r="C45" s="41">
        <f>B45+C41+B50</f>
        <v>-71570.798960000102</v>
      </c>
      <c r="D45" s="41">
        <f>C45+D41+C50</f>
        <v>-64512.578960000101</v>
      </c>
      <c r="E45" s="41">
        <f t="shared" ref="E45:L45" si="14">D45+E41+D50</f>
        <v>-57593.128960000104</v>
      </c>
      <c r="F45" s="105">
        <f t="shared" si="14"/>
        <v>-49739.558960000104</v>
      </c>
      <c r="G45" s="40">
        <f t="shared" si="14"/>
        <v>-44828.748960000106</v>
      </c>
      <c r="H45" s="41">
        <f t="shared" si="14"/>
        <v>-39993.898960000108</v>
      </c>
      <c r="I45" s="61">
        <f t="shared" si="14"/>
        <v>-35683.968960000107</v>
      </c>
      <c r="J45" s="116">
        <f t="shared" si="14"/>
        <v>-31661.798960000106</v>
      </c>
      <c r="K45" s="41">
        <f t="shared" si="14"/>
        <v>-27484.678960000107</v>
      </c>
      <c r="L45" s="49">
        <f t="shared" si="14"/>
        <v>-23072.938960000105</v>
      </c>
      <c r="O45" s="47"/>
    </row>
    <row r="46" spans="1:15" x14ac:dyDescent="0.25">
      <c r="C46" s="98"/>
      <c r="D46" s="31"/>
      <c r="E46" s="31"/>
      <c r="F46" s="31"/>
      <c r="G46" s="28"/>
      <c r="H46" s="31"/>
      <c r="I46" s="11"/>
      <c r="J46" s="17"/>
      <c r="K46" s="17"/>
      <c r="L46" s="11"/>
      <c r="O46" s="47"/>
    </row>
    <row r="47" spans="1:15" x14ac:dyDescent="0.25">
      <c r="A47" s="39" t="s">
        <v>49</v>
      </c>
      <c r="B47" s="39"/>
      <c r="C47" s="101"/>
      <c r="D47" s="328">
        <f>+'PCR Cycle 3'!E45</f>
        <v>5.3128000000000003E-3</v>
      </c>
      <c r="E47" s="328">
        <f>+'PCR Cycle 3'!F45</f>
        <v>5.3587000000000001E-3</v>
      </c>
      <c r="F47" s="328">
        <f>+'PCR Cycle 3'!G45</f>
        <v>5.4904100000000003E-3</v>
      </c>
      <c r="G47" s="329">
        <f>+'PCR Cycle 3'!H45</f>
        <v>5.5567100000000003E-3</v>
      </c>
      <c r="H47" s="328">
        <f>+'PCR Cycle 3'!I45</f>
        <v>5.5623000000000001E-3</v>
      </c>
      <c r="I47" s="330">
        <f>+'PCR Cycle 3'!J45</f>
        <v>5.5681000000000003E-3</v>
      </c>
      <c r="J47" s="328">
        <f>+I47</f>
        <v>5.5681000000000003E-3</v>
      </c>
      <c r="K47" s="328">
        <f>+J47</f>
        <v>5.5681000000000003E-3</v>
      </c>
      <c r="L47" s="91"/>
      <c r="O47" s="47"/>
    </row>
    <row r="48" spans="1:15" x14ac:dyDescent="0.25">
      <c r="A48" s="39" t="s">
        <v>37</v>
      </c>
      <c r="B48" s="39"/>
      <c r="C48" s="98"/>
      <c r="D48" s="31"/>
      <c r="E48" s="31"/>
      <c r="F48" s="31"/>
      <c r="G48" s="28"/>
      <c r="H48" s="31"/>
      <c r="I48" s="11"/>
      <c r="J48" s="17"/>
      <c r="K48" s="17"/>
      <c r="L48" s="11"/>
      <c r="M48" s="71"/>
      <c r="O48" s="47"/>
    </row>
    <row r="49" spans="1:15" x14ac:dyDescent="0.25">
      <c r="A49" s="46" t="s">
        <v>24</v>
      </c>
      <c r="C49" s="307">
        <v>0</v>
      </c>
      <c r="D49" s="41">
        <f t="shared" ref="D49" si="15">ROUND((C44+C49+D40/2)*D$47,2)</f>
        <v>0</v>
      </c>
      <c r="E49" s="41">
        <f t="shared" ref="E49:E50" si="16">ROUND((D44+D49+E40/2)*E$47,2)</f>
        <v>0</v>
      </c>
      <c r="F49" s="105">
        <f t="shared" ref="F49:F50" si="17">ROUND((E44+E49+F40/2)*F$47,2)</f>
        <v>0</v>
      </c>
      <c r="G49" s="40">
        <f>ROUND((F44+F49+G40/2)*G$47,2)*0</f>
        <v>0</v>
      </c>
      <c r="H49" s="116">
        <f t="shared" ref="H49:I50" si="18">ROUND((G44+G49+H40/2)*H$47,2)</f>
        <v>0</v>
      </c>
      <c r="I49" s="61">
        <f t="shared" si="18"/>
        <v>0</v>
      </c>
      <c r="J49" s="116">
        <f t="shared" ref="J49:J50" si="19">ROUND((I44+I49+J40/2)*J$47,2)</f>
        <v>0</v>
      </c>
      <c r="K49" s="116">
        <f t="shared" ref="K49:K50" si="20">ROUND((J44+J49+K40/2)*K$47,2)</f>
        <v>0</v>
      </c>
      <c r="L49" s="49"/>
      <c r="O49" s="47">
        <f t="shared" ref="O49:O50" si="21">-SUM(J49:L49)</f>
        <v>0</v>
      </c>
    </row>
    <row r="50" spans="1:15" ht="15.75" thickBot="1" x14ac:dyDescent="0.3">
      <c r="A50" s="46" t="s">
        <v>25</v>
      </c>
      <c r="C50" s="314">
        <v>663.91</v>
      </c>
      <c r="D50" s="41">
        <f>ROUND((C45+C50+D41/2)*D$47,2)</f>
        <v>-359.73</v>
      </c>
      <c r="E50" s="41">
        <f t="shared" si="16"/>
        <v>-328.13</v>
      </c>
      <c r="F50" s="105">
        <f t="shared" si="17"/>
        <v>-295.55</v>
      </c>
      <c r="G50" s="40">
        <f t="shared" ref="G50" si="22">ROUND((F45+F50+G41/2)*G$47,2)</f>
        <v>-263.57</v>
      </c>
      <c r="H50" s="116">
        <f t="shared" si="18"/>
        <v>-236.64</v>
      </c>
      <c r="I50" s="61">
        <f>ROUND((H45+H50+I41/2)*I$47,2)</f>
        <v>-211.35</v>
      </c>
      <c r="J50" s="116">
        <f t="shared" si="19"/>
        <v>-188.08</v>
      </c>
      <c r="K50" s="116">
        <f t="shared" si="20"/>
        <v>-165.19</v>
      </c>
      <c r="L50" s="49"/>
      <c r="O50" s="47">
        <f t="shared" si="21"/>
        <v>353.27</v>
      </c>
    </row>
    <row r="51" spans="1:15" ht="16.5" thickTop="1" thickBot="1" x14ac:dyDescent="0.3">
      <c r="A51" s="54" t="s">
        <v>22</v>
      </c>
      <c r="B51" s="54"/>
      <c r="C51" s="111">
        <v>0</v>
      </c>
      <c r="D51" s="32">
        <f t="shared" ref="D51:L51" si="23">SUM(D49:D50)+SUM(D44:D45)-D54</f>
        <v>0</v>
      </c>
      <c r="E51" s="32">
        <f t="shared" si="23"/>
        <v>0</v>
      </c>
      <c r="F51" s="50">
        <f t="shared" si="23"/>
        <v>0</v>
      </c>
      <c r="G51" s="117">
        <f t="shared" si="23"/>
        <v>0</v>
      </c>
      <c r="H51" s="32">
        <f t="shared" si="23"/>
        <v>0</v>
      </c>
      <c r="I51" s="62">
        <f t="shared" si="23"/>
        <v>0</v>
      </c>
      <c r="J51" s="153">
        <f t="shared" si="23"/>
        <v>0</v>
      </c>
      <c r="K51" s="32">
        <f t="shared" si="23"/>
        <v>0</v>
      </c>
      <c r="L51" s="95">
        <f t="shared" si="23"/>
        <v>0</v>
      </c>
      <c r="O51" s="47"/>
    </row>
    <row r="52" spans="1:15" ht="16.5" thickTop="1" thickBot="1" x14ac:dyDescent="0.3">
      <c r="A52" s="54" t="s">
        <v>23</v>
      </c>
      <c r="B52" s="54"/>
      <c r="C52" s="104">
        <v>0</v>
      </c>
      <c r="D52" s="32">
        <f>SUM(D49:D50)-D37</f>
        <v>0</v>
      </c>
      <c r="E52" s="32">
        <f t="shared" ref="E52:L52" si="24">SUM(E49:E50)-E37</f>
        <v>0</v>
      </c>
      <c r="F52" s="50">
        <f t="shared" si="24"/>
        <v>0</v>
      </c>
      <c r="G52" s="51">
        <f t="shared" si="24"/>
        <v>0</v>
      </c>
      <c r="H52" s="32">
        <f t="shared" si="24"/>
        <v>0</v>
      </c>
      <c r="I52" s="62">
        <f t="shared" si="24"/>
        <v>0</v>
      </c>
      <c r="J52" s="153">
        <f t="shared" si="24"/>
        <v>0</v>
      </c>
      <c r="K52" s="32">
        <f t="shared" si="24"/>
        <v>0</v>
      </c>
      <c r="L52" s="95">
        <f t="shared" si="24"/>
        <v>0</v>
      </c>
      <c r="O52" s="47"/>
    </row>
    <row r="53" spans="1:15" ht="16.5" thickTop="1" thickBot="1" x14ac:dyDescent="0.3">
      <c r="C53" s="98"/>
      <c r="D53" s="17"/>
      <c r="E53" s="17"/>
      <c r="F53" s="17"/>
      <c r="G53" s="10"/>
      <c r="H53" s="17"/>
      <c r="I53" s="11"/>
      <c r="J53" s="17"/>
      <c r="K53" s="17"/>
      <c r="L53" s="11"/>
      <c r="O53" s="47"/>
    </row>
    <row r="54" spans="1:15" ht="15.75" thickBot="1" x14ac:dyDescent="0.3">
      <c r="A54" s="46" t="s">
        <v>36</v>
      </c>
      <c r="B54" s="113">
        <f>+B44+B45</f>
        <v>-49073.836640000234</v>
      </c>
      <c r="C54" s="40">
        <f>(SUM(C15:C19)-SUM(C32:C35))+SUM(C49:C50)+B54</f>
        <v>-70907.126640000235</v>
      </c>
      <c r="D54" s="41">
        <f t="shared" ref="D54:L54" si="25">(SUM(D15:D19)-SUM(D32:D35))+SUM(D49:D50)+C54</f>
        <v>-64872.546640000233</v>
      </c>
      <c r="E54" s="41">
        <f t="shared" si="25"/>
        <v>-57921.49664000023</v>
      </c>
      <c r="F54" s="105">
        <f t="shared" si="25"/>
        <v>-50035.346640000229</v>
      </c>
      <c r="G54" s="40">
        <f t="shared" si="25"/>
        <v>-45092.556640000228</v>
      </c>
      <c r="H54" s="41">
        <f t="shared" si="25"/>
        <v>-40230.776640000229</v>
      </c>
      <c r="I54" s="61">
        <f t="shared" si="25"/>
        <v>-35895.556640000228</v>
      </c>
      <c r="J54" s="116">
        <f t="shared" si="25"/>
        <v>-31850.116640000226</v>
      </c>
      <c r="K54" s="41">
        <f t="shared" si="25"/>
        <v>-27650.106640000224</v>
      </c>
      <c r="L54" s="61">
        <f t="shared" si="25"/>
        <v>-23073.176640000223</v>
      </c>
    </row>
    <row r="55" spans="1:15" x14ac:dyDescent="0.25">
      <c r="A55" s="46" t="s">
        <v>12</v>
      </c>
      <c r="C55" s="114"/>
      <c r="D55" s="56"/>
      <c r="E55" s="56"/>
      <c r="F55" s="56"/>
      <c r="G55" s="12"/>
      <c r="H55" s="56"/>
      <c r="I55" s="11"/>
      <c r="J55" s="17"/>
      <c r="K55" s="17"/>
      <c r="L55" s="11"/>
    </row>
    <row r="56" spans="1:15" ht="15.75" thickBot="1" x14ac:dyDescent="0.3">
      <c r="B56" s="17"/>
      <c r="C56" s="43"/>
      <c r="D56" s="44"/>
      <c r="E56" s="44"/>
      <c r="F56" s="44"/>
      <c r="G56" s="43"/>
      <c r="H56" s="44"/>
      <c r="I56" s="45"/>
      <c r="J56" s="44"/>
      <c r="K56" s="44"/>
      <c r="L56" s="45"/>
    </row>
    <row r="57" spans="1:15" x14ac:dyDescent="0.25">
      <c r="A57" s="39"/>
    </row>
    <row r="58" spans="1:15" x14ac:dyDescent="0.25">
      <c r="A58" s="69" t="s">
        <v>11</v>
      </c>
      <c r="B58" s="69"/>
      <c r="C58" s="69"/>
    </row>
    <row r="59" spans="1:15" ht="42.75" customHeight="1" x14ac:dyDescent="0.25">
      <c r="A59" s="362" t="s">
        <v>229</v>
      </c>
      <c r="B59" s="362"/>
      <c r="C59" s="362"/>
      <c r="D59" s="362"/>
      <c r="E59" s="362"/>
      <c r="F59" s="362"/>
      <c r="G59" s="362"/>
      <c r="H59" s="362"/>
      <c r="I59" s="362"/>
      <c r="J59" s="136"/>
      <c r="K59" s="136"/>
      <c r="L59" s="136"/>
    </row>
    <row r="60" spans="1:15" ht="56.25" customHeight="1" x14ac:dyDescent="0.25">
      <c r="A60" s="362" t="s">
        <v>238</v>
      </c>
      <c r="B60" s="362"/>
      <c r="C60" s="362"/>
      <c r="D60" s="362"/>
      <c r="E60" s="362"/>
      <c r="F60" s="362"/>
      <c r="G60" s="362"/>
      <c r="H60" s="362"/>
      <c r="I60" s="362"/>
      <c r="J60" s="136"/>
      <c r="K60" s="136"/>
      <c r="L60" s="136"/>
    </row>
    <row r="61" spans="1:15" ht="54.95" customHeight="1" x14ac:dyDescent="0.25">
      <c r="A61" s="362" t="s">
        <v>239</v>
      </c>
      <c r="B61" s="362"/>
      <c r="C61" s="362"/>
      <c r="D61" s="362"/>
      <c r="E61" s="362"/>
      <c r="F61" s="362"/>
      <c r="G61" s="362"/>
      <c r="H61" s="362"/>
      <c r="I61" s="362"/>
      <c r="J61" s="136"/>
      <c r="K61" s="136"/>
      <c r="L61" s="136"/>
    </row>
    <row r="62" spans="1:15" x14ac:dyDescent="0.25">
      <c r="A62" s="3" t="s">
        <v>31</v>
      </c>
      <c r="B62" s="3"/>
      <c r="C62" s="3"/>
      <c r="I62" s="4"/>
    </row>
    <row r="63" spans="1:15" x14ac:dyDescent="0.25">
      <c r="A63" s="63" t="s">
        <v>240</v>
      </c>
      <c r="B63" s="3"/>
      <c r="C63" s="3"/>
      <c r="I63" s="4"/>
    </row>
    <row r="64" spans="1:15" x14ac:dyDescent="0.25">
      <c r="A64" s="3" t="s">
        <v>51</v>
      </c>
      <c r="B64" s="3"/>
      <c r="C64" s="3"/>
      <c r="I64" s="4"/>
    </row>
    <row r="65" spans="1:13" x14ac:dyDescent="0.25">
      <c r="A65" s="3" t="s">
        <v>182</v>
      </c>
    </row>
    <row r="74" spans="1:13" x14ac:dyDescent="0.25">
      <c r="M74" s="8"/>
    </row>
  </sheetData>
  <mergeCells count="6">
    <mergeCell ref="J13:L13"/>
    <mergeCell ref="A61:I61"/>
    <mergeCell ref="D13:F13"/>
    <mergeCell ref="A59:I59"/>
    <mergeCell ref="A60:I60"/>
    <mergeCell ref="G13:I13"/>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J74"/>
  <sheetViews>
    <sheetView workbookViewId="0">
      <selection activeCell="M3" sqref="M3"/>
    </sheetView>
  </sheetViews>
  <sheetFormatPr defaultColWidth="9.140625" defaultRowHeight="15" outlineLevelCol="1" x14ac:dyDescent="0.25"/>
  <cols>
    <col min="1" max="1" width="54.5703125" style="46" customWidth="1"/>
    <col min="2" max="2" width="14.7109375" style="46" customWidth="1"/>
    <col min="3" max="3" width="15" style="46" customWidth="1"/>
    <col min="4" max="4" width="15" style="46" hidden="1" customWidth="1" outlineLevel="1"/>
    <col min="5" max="5" width="15.28515625" style="46" customWidth="1" collapsed="1"/>
    <col min="6" max="6" width="15.85546875" style="46" customWidth="1"/>
    <col min="7" max="7" width="17.5703125" style="46" customWidth="1"/>
    <col min="8" max="9" width="13.28515625" style="46" customWidth="1"/>
    <col min="10" max="10" width="15.7109375" style="46" customWidth="1"/>
    <col min="11" max="12" width="12.5703125" style="46" bestFit="1" customWidth="1"/>
    <col min="13" max="13" width="14.42578125" style="46" customWidth="1"/>
    <col min="14" max="14" width="15" style="46" bestFit="1" customWidth="1"/>
    <col min="15" max="15" width="16.28515625" style="46" bestFit="1" customWidth="1"/>
    <col min="16" max="16" width="16.28515625" style="46" customWidth="1" outlineLevel="1"/>
    <col min="17" max="17" width="16.140625" style="46" customWidth="1"/>
    <col min="18" max="18" width="17.28515625" style="46" bestFit="1" customWidth="1"/>
    <col min="19" max="19" width="17.42578125" style="46" customWidth="1"/>
    <col min="20" max="20" width="15.5703125" style="46" customWidth="1"/>
    <col min="21" max="21" width="13" style="46" customWidth="1"/>
    <col min="22" max="22" width="9.140625" style="46"/>
    <col min="23" max="23" width="14.28515625" style="46" bestFit="1" customWidth="1"/>
    <col min="24" max="16384" width="9.140625" style="46"/>
  </cols>
  <sheetData>
    <row r="1" spans="1:36" x14ac:dyDescent="0.25">
      <c r="A1" s="3" t="str">
        <f>+'PPC Cycle 3'!A1</f>
        <v>Evergy Missouri West, Inc. - DSIM Rider Update Filed 12/01/2023</v>
      </c>
      <c r="B1" s="3"/>
      <c r="C1" s="3"/>
      <c r="D1" s="3"/>
    </row>
    <row r="2" spans="1:36" x14ac:dyDescent="0.25">
      <c r="E2" s="3" t="s">
        <v>137</v>
      </c>
    </row>
    <row r="3" spans="1:36" ht="30" x14ac:dyDescent="0.25">
      <c r="E3" s="48" t="s">
        <v>46</v>
      </c>
      <c r="F3" s="48" t="s">
        <v>45</v>
      </c>
      <c r="G3" s="70" t="s">
        <v>2</v>
      </c>
      <c r="H3" s="48" t="s">
        <v>3</v>
      </c>
      <c r="I3" s="70" t="s">
        <v>55</v>
      </c>
      <c r="J3" s="48" t="s">
        <v>10</v>
      </c>
      <c r="K3" s="48" t="s">
        <v>4</v>
      </c>
    </row>
    <row r="4" spans="1:36" x14ac:dyDescent="0.25">
      <c r="A4" s="20" t="s">
        <v>24</v>
      </c>
      <c r="E4" s="22">
        <f>SUM(C26:M26)</f>
        <v>2590088.9700000002</v>
      </c>
      <c r="F4" s="128">
        <f>SUM(C20:M20)</f>
        <v>1953934816.0056999</v>
      </c>
      <c r="G4" s="22">
        <f>SUM(C14:L14)</f>
        <v>4124680.3399999994</v>
      </c>
      <c r="H4" s="22">
        <f>G4-E4</f>
        <v>1534591.3699999992</v>
      </c>
      <c r="I4" s="22">
        <f>+B40</f>
        <v>-1183346.0500000003</v>
      </c>
      <c r="J4" s="22">
        <f>SUM(C47:L47)</f>
        <v>-3391.59</v>
      </c>
      <c r="K4" s="25">
        <f>SUM(H4:J4)</f>
        <v>347853.72999999888</v>
      </c>
      <c r="L4" s="317">
        <f>+K4-M40</f>
        <v>-6.9849193096160889E-10</v>
      </c>
    </row>
    <row r="5" spans="1:36" x14ac:dyDescent="0.25">
      <c r="A5" s="20" t="s">
        <v>107</v>
      </c>
      <c r="E5" s="22">
        <f>SUM(C27:M27)</f>
        <v>848235.81</v>
      </c>
      <c r="F5" s="128">
        <f>SUM(C21:M21)</f>
        <v>673322259.67353344</v>
      </c>
      <c r="G5" s="22">
        <f>SUM(C15:L15)</f>
        <v>1329258.69</v>
      </c>
      <c r="H5" s="22">
        <f>G5-E5</f>
        <v>481022.87999999989</v>
      </c>
      <c r="I5" s="22">
        <f>+B41</f>
        <v>-807058.01</v>
      </c>
      <c r="J5" s="22">
        <f>SUM(C48:L48)</f>
        <v>-25005.579999999998</v>
      </c>
      <c r="K5" s="25">
        <f>SUM(H5:J5)</f>
        <v>-351040.71000000014</v>
      </c>
      <c r="L5" s="317">
        <f t="shared" ref="L5:L6" si="0">+K5-M41</f>
        <v>0</v>
      </c>
    </row>
    <row r="6" spans="1:36" x14ac:dyDescent="0.25">
      <c r="A6" s="20" t="s">
        <v>108</v>
      </c>
      <c r="E6" s="22">
        <f>SUM(C28:M28)</f>
        <v>1008362.5699999998</v>
      </c>
      <c r="F6" s="128">
        <f>SUM(C22:M22)</f>
        <v>578034124.3779</v>
      </c>
      <c r="G6" s="22">
        <f>SUM(C16:L16)</f>
        <v>1895795.01</v>
      </c>
      <c r="H6" s="22">
        <f>G6-E6</f>
        <v>887432.44000000018</v>
      </c>
      <c r="I6" s="22">
        <f>+B42</f>
        <v>-320449.47000000038</v>
      </c>
      <c r="J6" s="22">
        <f>SUM(C49:L49)</f>
        <v>-985.71</v>
      </c>
      <c r="K6" s="25">
        <f>SUM(H6:J6)</f>
        <v>565997.25999999978</v>
      </c>
      <c r="L6" s="317">
        <f t="shared" si="0"/>
        <v>0</v>
      </c>
    </row>
    <row r="7" spans="1:36" ht="15.75" thickBot="1" x14ac:dyDescent="0.3">
      <c r="A7" s="20" t="s">
        <v>109</v>
      </c>
      <c r="E7" s="22">
        <f>SUM(C29:M29)</f>
        <v>437271.49000000005</v>
      </c>
      <c r="F7" s="128">
        <f>SUM(C23:M23)</f>
        <v>376415598.13300008</v>
      </c>
      <c r="G7" s="22">
        <f>SUM(C17:L17)</f>
        <v>713338.8899999999</v>
      </c>
      <c r="H7" s="22">
        <f>G7-E7</f>
        <v>276067.39999999985</v>
      </c>
      <c r="I7" s="22">
        <f>+B43</f>
        <v>-808801.68999999948</v>
      </c>
      <c r="J7" s="22">
        <f>SUM(C50:L50)</f>
        <v>-29878.080000000002</v>
      </c>
      <c r="K7" s="25">
        <f>SUM(H7:J7)</f>
        <v>-562612.36999999953</v>
      </c>
      <c r="L7" s="317">
        <f>+K7-M43</f>
        <v>0</v>
      </c>
    </row>
    <row r="8" spans="1:36" ht="16.5" thickTop="1" thickBot="1" x14ac:dyDescent="0.3">
      <c r="E8" s="27">
        <f t="shared" ref="E8:K8" si="1">SUM(E4:E7)</f>
        <v>4883958.84</v>
      </c>
      <c r="F8" s="27">
        <f t="shared" si="1"/>
        <v>3581706798.1901336</v>
      </c>
      <c r="G8" s="27">
        <f t="shared" si="1"/>
        <v>8063072.9299999988</v>
      </c>
      <c r="H8" s="27">
        <f t="shared" si="1"/>
        <v>3179114.0899999994</v>
      </c>
      <c r="I8" s="27">
        <f t="shared" si="1"/>
        <v>-3119655.22</v>
      </c>
      <c r="J8" s="27">
        <f t="shared" si="1"/>
        <v>-59260.959999999999</v>
      </c>
      <c r="K8" s="27">
        <f t="shared" si="1"/>
        <v>197.90999999898486</v>
      </c>
    </row>
    <row r="9" spans="1:36" ht="16.5" thickTop="1" thickBot="1" x14ac:dyDescent="0.3"/>
    <row r="10" spans="1:36" ht="75.75" thickBot="1" x14ac:dyDescent="0.3">
      <c r="B10" s="112" t="str">
        <f>+'PCR Cycle 2'!B13</f>
        <v>Cumulative Over/Under Carryover From 06/01/2023 Filing</v>
      </c>
      <c r="C10" s="143" t="str">
        <f>+'PCR Cycle 2'!C13</f>
        <v>Reverse May 2023 - July 2023 Forecast From 06/01/2023 Filing</v>
      </c>
      <c r="D10" s="260"/>
      <c r="E10" s="363" t="s">
        <v>33</v>
      </c>
      <c r="F10" s="363"/>
      <c r="G10" s="364"/>
      <c r="H10" s="365" t="s">
        <v>33</v>
      </c>
      <c r="I10" s="366"/>
      <c r="J10" s="367"/>
      <c r="K10" s="359" t="s">
        <v>8</v>
      </c>
      <c r="L10" s="360"/>
      <c r="M10" s="361"/>
      <c r="P10" s="281" t="s">
        <v>247</v>
      </c>
    </row>
    <row r="11" spans="1:36" x14ac:dyDescent="0.25">
      <c r="C11" s="14"/>
      <c r="D11" s="19"/>
      <c r="E11" s="19">
        <f>+'PCR Cycle 2'!D14</f>
        <v>45077</v>
      </c>
      <c r="F11" s="19">
        <f>+'PCR Cycle 2'!E14</f>
        <v>45107</v>
      </c>
      <c r="G11" s="19">
        <f>+'PCR Cycle 2'!F14</f>
        <v>45138</v>
      </c>
      <c r="H11" s="14">
        <f>+'PCR Cycle 2'!G14</f>
        <v>45169</v>
      </c>
      <c r="I11" s="19">
        <f>+'PCR Cycle 2'!H14</f>
        <v>45199</v>
      </c>
      <c r="J11" s="15">
        <f>+'PCR Cycle 2'!I14</f>
        <v>45230</v>
      </c>
      <c r="K11" s="19">
        <f>+'PCR Cycle 2'!J14</f>
        <v>45260</v>
      </c>
      <c r="L11" s="19">
        <f>+'PCR Cycle 2'!K14</f>
        <v>45291</v>
      </c>
      <c r="M11" s="94">
        <f>+'PCR Cycle 2'!L14</f>
        <v>45322</v>
      </c>
      <c r="AA11" s="1"/>
      <c r="AB11" s="1"/>
      <c r="AC11" s="1"/>
      <c r="AD11" s="1"/>
      <c r="AE11" s="1"/>
      <c r="AF11" s="1"/>
      <c r="AG11" s="1"/>
      <c r="AH11" s="1"/>
      <c r="AI11" s="1"/>
      <c r="AJ11" s="1"/>
    </row>
    <row r="12" spans="1:36" x14ac:dyDescent="0.25">
      <c r="C12" s="97"/>
      <c r="D12" s="251"/>
      <c r="E12" s="31"/>
      <c r="F12" s="31"/>
      <c r="G12" s="31"/>
      <c r="H12" s="28"/>
      <c r="I12" s="31"/>
      <c r="J12" s="11"/>
      <c r="K12" s="31"/>
      <c r="L12" s="31"/>
      <c r="M12" s="29"/>
      <c r="P12" s="47"/>
    </row>
    <row r="13" spans="1:36" x14ac:dyDescent="0.25">
      <c r="A13" s="46" t="s">
        <v>138</v>
      </c>
      <c r="C13" s="98"/>
      <c r="D13" s="141"/>
      <c r="E13" s="31"/>
      <c r="F13" s="31"/>
      <c r="G13" s="31"/>
      <c r="H13" s="97"/>
      <c r="I13" s="251"/>
      <c r="J13" s="339"/>
      <c r="K13" s="141"/>
      <c r="L13" s="141"/>
      <c r="M13" s="11"/>
      <c r="P13" s="47"/>
    </row>
    <row r="14" spans="1:36" x14ac:dyDescent="0.25">
      <c r="A14" s="46" t="s">
        <v>24</v>
      </c>
      <c r="C14" s="304">
        <v>-1422582.7200000002</v>
      </c>
      <c r="D14" s="252"/>
      <c r="E14" s="106">
        <f>ROUND([5]Pivot!$N$27,2)</f>
        <v>641693.78</v>
      </c>
      <c r="F14" s="106">
        <f>ROUND([6]Pivot!$N$27,2)</f>
        <v>523001.17</v>
      </c>
      <c r="G14" s="107">
        <f>ROUND([7]Pivot!$N$27,2)</f>
        <v>835520</v>
      </c>
      <c r="H14" s="16">
        <f>ROUND([8]Pivot!$N$27,2)</f>
        <v>755986.74</v>
      </c>
      <c r="I14" s="55">
        <f>ROUND([9]Pivot!$N$27,2)</f>
        <v>773448.92</v>
      </c>
      <c r="J14" s="154">
        <f>ROUND('[10]Pivot - SI Project'!$N$27,2)</f>
        <v>519983.61</v>
      </c>
      <c r="K14" s="162">
        <f>ROUND('[2]Monthly Program Costs'!$BB290+'[2]Monthly Program Costs Ext'!$BB290,2)</f>
        <v>574380.17000000004</v>
      </c>
      <c r="L14" s="162">
        <f>ROUND('[2]Monthly Program Costs'!$BC290+'[2]Monthly Program Costs Ext'!$BC290,2)</f>
        <v>923248.67</v>
      </c>
      <c r="M14" s="75"/>
      <c r="P14" s="47">
        <f>-SUM(K14:M14)</f>
        <v>-1497628.84</v>
      </c>
    </row>
    <row r="15" spans="1:36" x14ac:dyDescent="0.25">
      <c r="A15" s="46" t="s">
        <v>107</v>
      </c>
      <c r="C15" s="304">
        <v>-549615.27</v>
      </c>
      <c r="D15" s="252"/>
      <c r="E15" s="106">
        <f>ROUND([5]Pivot!$O$27,2)</f>
        <v>230269.61</v>
      </c>
      <c r="F15" s="106">
        <f>ROUND([6]Pivot!$O$27,2)</f>
        <v>218399.39</v>
      </c>
      <c r="G15" s="107">
        <f>ROUND([7]Pivot!$O$27,2)</f>
        <v>135968.04</v>
      </c>
      <c r="H15" s="16">
        <f>ROUND([8]Pivot!$O$27,2)</f>
        <v>92777.66</v>
      </c>
      <c r="I15" s="55">
        <f>ROUND([9]Pivot!$O$27,2)</f>
        <v>174256.08</v>
      </c>
      <c r="J15" s="154">
        <f>ROUND('[10]Pivot - SI Project'!$O$27,2)</f>
        <v>143108.29999999999</v>
      </c>
      <c r="K15" s="162">
        <f>ROUND('[2]Monthly Program Costs'!$BB291+'[2]Monthly Program Costs Ext'!$BB291,2)</f>
        <v>318141.7</v>
      </c>
      <c r="L15" s="162">
        <f>ROUND('[2]Monthly Program Costs'!$BC291+'[2]Monthly Program Costs Ext'!$BC291,2)</f>
        <v>565953.18000000005</v>
      </c>
      <c r="M15" s="75"/>
      <c r="P15" s="47">
        <f t="shared" ref="P15:P17" si="2">-SUM(K15:M15)</f>
        <v>-884094.88000000012</v>
      </c>
    </row>
    <row r="16" spans="1:36" x14ac:dyDescent="0.25">
      <c r="A16" s="46" t="s">
        <v>108</v>
      </c>
      <c r="C16" s="304">
        <v>-513637.44999999995</v>
      </c>
      <c r="D16" s="252"/>
      <c r="E16" s="106">
        <f>ROUND([5]Pivot!$Q$27,2)</f>
        <v>153247.32</v>
      </c>
      <c r="F16" s="106">
        <f>ROUND([6]Pivot!$Q$27,2)</f>
        <v>176401.13</v>
      </c>
      <c r="G16" s="107">
        <f>ROUND([7]Pivot!$Q$27,2)</f>
        <v>334617.96999999997</v>
      </c>
      <c r="H16" s="16">
        <f>ROUND([8]Pivot!$Q$27,2)</f>
        <v>-71033.41</v>
      </c>
      <c r="I16" s="55">
        <f>ROUND([9]Pivot!$Q$27,2)</f>
        <v>303772.83</v>
      </c>
      <c r="J16" s="154">
        <f>ROUND('[10]Pivot - SI Project'!$Q$27,2)</f>
        <v>663886.59</v>
      </c>
      <c r="K16" s="162">
        <f>ROUND('[2]Monthly Program Costs'!$BB293+'[2]Monthly Program Costs Ext'!$BB293,2)</f>
        <v>305347.28000000003</v>
      </c>
      <c r="L16" s="162">
        <f>ROUND('[2]Monthly Program Costs'!$BC293+'[2]Monthly Program Costs Ext'!$BC293,2)</f>
        <v>543192.75</v>
      </c>
      <c r="M16" s="75"/>
      <c r="P16" s="47">
        <f t="shared" si="2"/>
        <v>-848540.03</v>
      </c>
    </row>
    <row r="17" spans="1:16" x14ac:dyDescent="0.25">
      <c r="A17" s="46" t="s">
        <v>109</v>
      </c>
      <c r="C17" s="304">
        <v>-374908.64</v>
      </c>
      <c r="D17" s="252"/>
      <c r="E17" s="106">
        <f>ROUND([5]Pivot!$R$27,2)</f>
        <v>41535.839999999997</v>
      </c>
      <c r="F17" s="106">
        <f>ROUND([6]Pivot!$R$27,2)</f>
        <v>175526.35</v>
      </c>
      <c r="G17" s="107">
        <f>ROUND([7]Pivot!$R$27,2)</f>
        <v>68206.490000000005</v>
      </c>
      <c r="H17" s="16">
        <f>ROUND([8]Pivot!$R$27,2)</f>
        <v>81643.17</v>
      </c>
      <c r="I17" s="55">
        <f>ROUND([9]Pivot!$R$27,2)</f>
        <v>63381.22</v>
      </c>
      <c r="J17" s="154">
        <f>ROUND('[10]Pivot - SI Project'!$R$27,2)</f>
        <v>33543.78</v>
      </c>
      <c r="K17" s="162">
        <f>ROUND('[2]Monthly Program Costs'!$BB294+'[2]Monthly Program Costs Ext'!$BB294,2)</f>
        <v>224694.3</v>
      </c>
      <c r="L17" s="162">
        <f>ROUND('[2]Monthly Program Costs'!$BC294+'[2]Monthly Program Costs Ext'!$BC294,2)</f>
        <v>399716.38</v>
      </c>
      <c r="M17" s="75"/>
      <c r="P17" s="47">
        <f t="shared" si="2"/>
        <v>-624410.67999999993</v>
      </c>
    </row>
    <row r="18" spans="1:16" x14ac:dyDescent="0.25">
      <c r="C18" s="306"/>
      <c r="D18" s="141"/>
      <c r="E18" s="31"/>
      <c r="F18" s="31"/>
      <c r="G18" s="31"/>
      <c r="H18" s="28"/>
      <c r="I18" s="31"/>
      <c r="J18" s="11"/>
      <c r="K18" s="17"/>
      <c r="L18" s="17"/>
      <c r="M18" s="11"/>
      <c r="P18" s="47"/>
    </row>
    <row r="19" spans="1:16" x14ac:dyDescent="0.25">
      <c r="A19" s="39" t="s">
        <v>47</v>
      </c>
      <c r="B19" s="39"/>
      <c r="C19" s="308"/>
      <c r="D19" s="253"/>
      <c r="E19" s="31"/>
      <c r="F19" s="31"/>
      <c r="G19" s="31"/>
      <c r="H19" s="97"/>
      <c r="I19" s="251"/>
      <c r="J19" s="336"/>
      <c r="K19" s="17"/>
      <c r="L19" s="17"/>
      <c r="M19" s="11"/>
      <c r="P19" s="47"/>
    </row>
    <row r="20" spans="1:16" x14ac:dyDescent="0.25">
      <c r="A20" s="46" t="s">
        <v>24</v>
      </c>
      <c r="C20" s="309">
        <v>-851571341</v>
      </c>
      <c r="D20" s="254"/>
      <c r="E20" s="108">
        <f>'[4]May 2023'!$G$123</f>
        <v>211355608.33752501</v>
      </c>
      <c r="F20" s="108">
        <f>'[4]June 2023'!$G$127</f>
        <v>285596520.592875</v>
      </c>
      <c r="G20" s="108">
        <f>'[4]July 2023'!$G$127</f>
        <v>365031532.99315</v>
      </c>
      <c r="H20" s="171">
        <f>'[4]August 2023'!$G$127</f>
        <v>374446184.758775</v>
      </c>
      <c r="I20" s="173">
        <f>'[4]September 2023'!$G$127</f>
        <v>363799400.02147496</v>
      </c>
      <c r="J20" s="167">
        <f>'[4]October 2023'!$G$127</f>
        <v>251619273.30189997</v>
      </c>
      <c r="K20" s="163">
        <f>+'[1]Billed kWh Sales'!AA25</f>
        <v>233390280</v>
      </c>
      <c r="L20" s="131">
        <f>+'[1]Billed kWh Sales'!AB25</f>
        <v>323567820</v>
      </c>
      <c r="M20" s="76">
        <f>+'[1]Billed kWh Sales'!AC25</f>
        <v>396699537</v>
      </c>
      <c r="P20" s="47">
        <f>-SUM(K20:M20)</f>
        <v>-953657637</v>
      </c>
    </row>
    <row r="21" spans="1:16" x14ac:dyDescent="0.25">
      <c r="A21" s="46" t="s">
        <v>107</v>
      </c>
      <c r="C21" s="309">
        <v>-327293341</v>
      </c>
      <c r="D21" s="254"/>
      <c r="E21" s="108">
        <f>'[4]May 2023'!$G$124</f>
        <v>91213893.700500011</v>
      </c>
      <c r="F21" s="108">
        <f>'[4]June 2023'!$G$128</f>
        <v>110394790.70376669</v>
      </c>
      <c r="G21" s="108">
        <f>'[4]July 2023'!$G$128</f>
        <v>124677089.14916666</v>
      </c>
      <c r="H21" s="171">
        <f>'[4]August 2023'!$G$128</f>
        <v>129787932.83900003</v>
      </c>
      <c r="I21" s="173">
        <f>'[4]September 2023'!$G$128</f>
        <v>127505846.82459998</v>
      </c>
      <c r="J21" s="167">
        <f>'[4]October 2023'!$G$128</f>
        <v>108927432.45650001</v>
      </c>
      <c r="K21" s="163">
        <f>+'[1]Billed kWh Sales'!AA26</f>
        <v>98999639</v>
      </c>
      <c r="L21" s="131">
        <f>+'[1]Billed kWh Sales'!AB26</f>
        <v>102078840</v>
      </c>
      <c r="M21" s="76">
        <f>+'[1]Billed kWh Sales'!AC26</f>
        <v>107030136</v>
      </c>
      <c r="P21" s="47">
        <f t="shared" ref="P21:P23" si="3">-SUM(K21:M21)</f>
        <v>-308108615</v>
      </c>
    </row>
    <row r="22" spans="1:16" x14ac:dyDescent="0.25">
      <c r="A22" s="46" t="s">
        <v>108</v>
      </c>
      <c r="C22" s="309">
        <v>-292259668</v>
      </c>
      <c r="D22" s="254"/>
      <c r="E22" s="108">
        <f>'[4]May 2023'!$G$125</f>
        <v>85113348.173199996</v>
      </c>
      <c r="F22" s="108">
        <f>'[4]June 2023'!$G$129</f>
        <v>97046737.498199999</v>
      </c>
      <c r="G22" s="108">
        <f>'[4]July 2023'!$G$129</f>
        <v>104654334.94990002</v>
      </c>
      <c r="H22" s="171">
        <f>'[4]August 2023'!$G$129</f>
        <v>107305535.94329999</v>
      </c>
      <c r="I22" s="173">
        <f>'[4]September 2023'!$G$129</f>
        <v>107229106.0633</v>
      </c>
      <c r="J22" s="167">
        <f>'[4]October 2023'!$G$129</f>
        <v>93816244.750000015</v>
      </c>
      <c r="K22" s="163">
        <f>+'[1]Billed kWh Sales'!AA27</f>
        <v>88402659</v>
      </c>
      <c r="L22" s="131">
        <f>+'[1]Billed kWh Sales'!AB27</f>
        <v>91152260</v>
      </c>
      <c r="M22" s="76">
        <f>+'[1]Billed kWh Sales'!AC27</f>
        <v>95573566</v>
      </c>
      <c r="P22" s="47">
        <f t="shared" si="3"/>
        <v>-275128485</v>
      </c>
    </row>
    <row r="23" spans="1:16" x14ac:dyDescent="0.25">
      <c r="A23" s="46" t="s">
        <v>109</v>
      </c>
      <c r="C23" s="309">
        <v>-195530607</v>
      </c>
      <c r="D23" s="254"/>
      <c r="E23" s="108">
        <f>'[4]May 2023'!$G$126</f>
        <v>58389103.798200004</v>
      </c>
      <c r="F23" s="108">
        <f>'[4]June 2023'!$G$130</f>
        <v>62632837.365800016</v>
      </c>
      <c r="G23" s="108">
        <f>'[4]July 2023'!$G$130</f>
        <v>66534177.74660001</v>
      </c>
      <c r="H23" s="171">
        <f>'[4]August 2023'!$G$130</f>
        <v>68416351.59360002</v>
      </c>
      <c r="I23" s="173">
        <f>'[4]September 2023'!$G$130</f>
        <v>66598199.146399997</v>
      </c>
      <c r="J23" s="167">
        <f>'[4]October 2023'!$G$130</f>
        <v>65306209.4824</v>
      </c>
      <c r="K23" s="163">
        <f>+'[1]Billed kWh Sales'!AA28</f>
        <v>59144068</v>
      </c>
      <c r="L23" s="131">
        <f>+'[1]Billed kWh Sales'!AB28</f>
        <v>60983635</v>
      </c>
      <c r="M23" s="76">
        <f>+'[1]Billed kWh Sales'!AC28</f>
        <v>63941623</v>
      </c>
      <c r="P23" s="47">
        <f t="shared" si="3"/>
        <v>-184069326</v>
      </c>
    </row>
    <row r="24" spans="1:16" x14ac:dyDescent="0.25">
      <c r="C24" s="306"/>
      <c r="D24" s="141"/>
      <c r="E24" s="31"/>
      <c r="F24" s="31"/>
      <c r="G24" s="31"/>
      <c r="H24" s="28"/>
      <c r="I24" s="31"/>
      <c r="J24" s="11"/>
      <c r="K24" s="17"/>
      <c r="L24" s="17"/>
      <c r="M24" s="11"/>
      <c r="P24" s="47"/>
    </row>
    <row r="25" spans="1:16" x14ac:dyDescent="0.25">
      <c r="A25" s="46" t="s">
        <v>34</v>
      </c>
      <c r="C25" s="306"/>
      <c r="D25" s="141"/>
      <c r="E25" s="18"/>
      <c r="F25" s="18"/>
      <c r="G25" s="18"/>
      <c r="H25" s="90"/>
      <c r="I25" s="18"/>
      <c r="J25" s="11"/>
      <c r="K25" s="57"/>
      <c r="L25" s="57"/>
      <c r="M25" s="58"/>
      <c r="N25" s="63" t="s">
        <v>50</v>
      </c>
      <c r="O25" s="39"/>
      <c r="P25" s="47"/>
    </row>
    <row r="26" spans="1:16" x14ac:dyDescent="0.25">
      <c r="A26" s="46" t="s">
        <v>24</v>
      </c>
      <c r="C26" s="304">
        <v>-1984161.23</v>
      </c>
      <c r="D26" s="252"/>
      <c r="E26" s="106">
        <f>ROUND('[4]May 2023'!$G76+'[4]May 2023'!$G83,2)</f>
        <v>492490.87</v>
      </c>
      <c r="F26" s="106">
        <f>ROUND('[4]June 2023'!$G76+'[4]June 2023'!$G83,2)</f>
        <v>665463.17000000004</v>
      </c>
      <c r="G26" s="106">
        <f>ROUND('[4]July 2023'!$G76+'[4]July 2023'!$G83,2)</f>
        <v>850517.97</v>
      </c>
      <c r="H26" s="171">
        <f>ROUND('[4]August 2023'!$G76+'[4]August 2023'!$G83,2)</f>
        <v>494422.87</v>
      </c>
      <c r="I26" s="173">
        <f>ROUND('[4]September 2023'!$G76+'[4]September 2023'!$G83,2)</f>
        <v>480383.69</v>
      </c>
      <c r="J26" s="167">
        <f>ROUND('[4]October 2023'!$G76+'[4]October 2023'!$G83,2)</f>
        <v>332143.55</v>
      </c>
      <c r="K26" s="116">
        <f>ROUND(K20*$N26,2)</f>
        <v>308075.17</v>
      </c>
      <c r="L26" s="41">
        <f t="shared" ref="K26:M29" si="4">ROUND(L20*$N26,2)</f>
        <v>427109.52</v>
      </c>
      <c r="M26" s="61">
        <f t="shared" si="4"/>
        <v>523643.39</v>
      </c>
      <c r="N26" s="72">
        <v>1.32E-3</v>
      </c>
      <c r="P26" s="47">
        <f>-SUM(K26:M26)</f>
        <v>-1258828.08</v>
      </c>
    </row>
    <row r="27" spans="1:16" x14ac:dyDescent="0.25">
      <c r="A27" s="46" t="s">
        <v>107</v>
      </c>
      <c r="C27" s="304">
        <v>-566217.48</v>
      </c>
      <c r="D27" s="252"/>
      <c r="E27" s="106">
        <f>ROUND('[4]May 2023'!$G77+'[4]May 2023'!$G84,2)</f>
        <v>157840.49</v>
      </c>
      <c r="F27" s="106">
        <f>ROUND('[4]June 2023'!$G77+'[4]June 2023'!$G84,2)</f>
        <v>191166.03</v>
      </c>
      <c r="G27" s="106">
        <f>ROUND('[4]July 2023'!$G77+'[4]July 2023'!$G84,2)</f>
        <v>215542.8</v>
      </c>
      <c r="H27" s="171">
        <f>ROUND('[4]August 2023'!$G77+'[4]August 2023'!$G84,2)</f>
        <v>163694.37</v>
      </c>
      <c r="I27" s="173">
        <f>ROUND('[4]September 2023'!$G77+'[4]September 2023'!$G84,2)</f>
        <v>160742.70000000001</v>
      </c>
      <c r="J27" s="167">
        <f>ROUND('[4]October 2023'!$G77+'[4]October 2023'!$G84,2)</f>
        <v>137250.04</v>
      </c>
      <c r="K27" s="116">
        <f t="shared" si="4"/>
        <v>124739.55</v>
      </c>
      <c r="L27" s="41">
        <f t="shared" si="4"/>
        <v>128619.34</v>
      </c>
      <c r="M27" s="61">
        <f t="shared" si="4"/>
        <v>134857.97</v>
      </c>
      <c r="N27" s="72">
        <v>1.2599999999999998E-3</v>
      </c>
      <c r="P27" s="47">
        <f t="shared" ref="P27:P31" si="5">-SUM(K27:M27)</f>
        <v>-388216.86</v>
      </c>
    </row>
    <row r="28" spans="1:16" x14ac:dyDescent="0.25">
      <c r="A28" s="46" t="s">
        <v>108</v>
      </c>
      <c r="C28" s="304">
        <v>-993682.87000000011</v>
      </c>
      <c r="D28" s="252"/>
      <c r="E28" s="106">
        <f>ROUND('[4]May 2023'!$G78+'[4]May 2023'!$G85,2)</f>
        <v>289385.38</v>
      </c>
      <c r="F28" s="106">
        <f>ROUND('[4]June 2023'!$G78+'[4]June 2023'!$G85,2)</f>
        <v>329958.90000000002</v>
      </c>
      <c r="G28" s="106">
        <f>ROUND('[4]July 2023'!$G78+'[4]July 2023'!$G85,2)</f>
        <v>355824.74</v>
      </c>
      <c r="H28" s="171">
        <f>ROUND('[4]August 2023'!$G78+'[4]August 2023'!$G85,2)</f>
        <v>188810.45</v>
      </c>
      <c r="I28" s="173">
        <f>ROUND('[4]September 2023'!$G78+'[4]September 2023'!$G85,2)</f>
        <v>188723.24</v>
      </c>
      <c r="J28" s="167">
        <f>ROUND('[4]October 2023'!$G78+'[4]October 2023'!$G85,2)</f>
        <v>165116.59</v>
      </c>
      <c r="K28" s="116">
        <f t="shared" si="4"/>
        <v>155588.68</v>
      </c>
      <c r="L28" s="41">
        <f t="shared" si="4"/>
        <v>160427.98000000001</v>
      </c>
      <c r="M28" s="61">
        <f t="shared" si="4"/>
        <v>168209.48</v>
      </c>
      <c r="N28" s="72">
        <v>1.7600000000000003E-3</v>
      </c>
      <c r="P28" s="47">
        <f t="shared" si="5"/>
        <v>-484226.14</v>
      </c>
    </row>
    <row r="29" spans="1:16" x14ac:dyDescent="0.25">
      <c r="A29" s="46" t="s">
        <v>109</v>
      </c>
      <c r="C29" s="304">
        <v>-318714.88</v>
      </c>
      <c r="D29" s="252"/>
      <c r="E29" s="106">
        <f>ROUND('[4]May 2023'!$G79+'[4]May 2023'!$G86,2)</f>
        <v>95174.24</v>
      </c>
      <c r="F29" s="106">
        <f>ROUND('[4]June 2023'!$G79+'[4]June 2023'!$G86,2)</f>
        <v>102091.52</v>
      </c>
      <c r="G29" s="106">
        <f>ROUND('[4]July 2023'!$G79+'[4]July 2023'!$G86,2)</f>
        <v>108450.71</v>
      </c>
      <c r="H29" s="171">
        <f>ROUND('[4]August 2023'!$G79+'[4]August 2023'!$G86,2)</f>
        <v>80499.8</v>
      </c>
      <c r="I29" s="173">
        <f>ROUND('[4]September 2023'!$G79+'[4]September 2023'!$G86,2)</f>
        <v>78000.72</v>
      </c>
      <c r="J29" s="167">
        <f>ROUND('[4]October 2023'!$G79+'[4]October 2023'!$G86,2)</f>
        <v>76408.27</v>
      </c>
      <c r="K29" s="116">
        <f t="shared" si="4"/>
        <v>69198.559999999998</v>
      </c>
      <c r="L29" s="41">
        <f t="shared" si="4"/>
        <v>71350.850000000006</v>
      </c>
      <c r="M29" s="61">
        <f t="shared" si="4"/>
        <v>74811.7</v>
      </c>
      <c r="N29" s="72">
        <v>1.1699999999999998E-3</v>
      </c>
      <c r="P29" s="47">
        <f t="shared" si="5"/>
        <v>-215361.11</v>
      </c>
    </row>
    <row r="30" spans="1:16" x14ac:dyDescent="0.25">
      <c r="C30" s="310"/>
      <c r="D30" s="68"/>
      <c r="E30" s="18"/>
      <c r="F30" s="18"/>
      <c r="G30" s="18"/>
      <c r="H30" s="90"/>
      <c r="I30" s="18"/>
      <c r="J30" s="11"/>
      <c r="K30" s="56"/>
      <c r="L30" s="56"/>
      <c r="M30" s="13"/>
      <c r="N30" s="4"/>
      <c r="P30" s="47"/>
    </row>
    <row r="31" spans="1:16" ht="15.75" thickBot="1" x14ac:dyDescent="0.3">
      <c r="A31" s="46" t="s">
        <v>14</v>
      </c>
      <c r="C31" s="311">
        <v>19137.800000000003</v>
      </c>
      <c r="D31" s="255">
        <v>0</v>
      </c>
      <c r="E31" s="109">
        <v>-11064.21</v>
      </c>
      <c r="F31" s="109">
        <v>-11657.15</v>
      </c>
      <c r="G31" s="110">
        <v>-12972.279999999999</v>
      </c>
      <c r="H31" s="26">
        <v>-13823.579999999998</v>
      </c>
      <c r="I31" s="115">
        <v>-12971.670000000002</v>
      </c>
      <c r="J31" s="166">
        <v>-10115.77</v>
      </c>
      <c r="K31" s="164">
        <v>-6233.87</v>
      </c>
      <c r="L31" s="132">
        <v>439.76</v>
      </c>
      <c r="M31" s="80"/>
      <c r="P31" s="47">
        <f t="shared" si="5"/>
        <v>5794.11</v>
      </c>
    </row>
    <row r="32" spans="1:16" x14ac:dyDescent="0.25">
      <c r="C32" s="98"/>
      <c r="D32" s="141"/>
      <c r="E32" s="31"/>
      <c r="F32" s="31"/>
      <c r="G32" s="31"/>
      <c r="H32" s="28"/>
      <c r="I32" s="31"/>
      <c r="J32" s="11"/>
      <c r="K32" s="17"/>
      <c r="L32" s="17"/>
      <c r="M32" s="11"/>
      <c r="P32" s="47"/>
    </row>
    <row r="33" spans="1:16" x14ac:dyDescent="0.25">
      <c r="A33" s="46" t="s">
        <v>52</v>
      </c>
      <c r="C33" s="98"/>
      <c r="D33" s="141"/>
      <c r="E33" s="31"/>
      <c r="F33" s="31"/>
      <c r="G33" s="31"/>
      <c r="H33" s="28"/>
      <c r="I33" s="31"/>
      <c r="J33" s="11"/>
      <c r="K33" s="17"/>
      <c r="L33" s="17"/>
      <c r="M33" s="11"/>
      <c r="P33" s="47"/>
    </row>
    <row r="34" spans="1:16" x14ac:dyDescent="0.25">
      <c r="A34" s="46" t="s">
        <v>24</v>
      </c>
      <c r="C34" s="40">
        <f t="shared" ref="C34:M34" si="6">C14-C26</f>
        <v>561578.50999999978</v>
      </c>
      <c r="D34" s="116">
        <f t="shared" ref="D34" si="7">D14-D26</f>
        <v>0</v>
      </c>
      <c r="E34" s="41">
        <f>E14-E26</f>
        <v>149202.91000000003</v>
      </c>
      <c r="F34" s="41">
        <f t="shared" si="6"/>
        <v>-142462.00000000006</v>
      </c>
      <c r="G34" s="105">
        <f t="shared" si="6"/>
        <v>-14997.969999999972</v>
      </c>
      <c r="H34" s="40">
        <f t="shared" si="6"/>
        <v>261563.87</v>
      </c>
      <c r="I34" s="41">
        <f t="shared" si="6"/>
        <v>293065.23000000004</v>
      </c>
      <c r="J34" s="61">
        <f t="shared" si="6"/>
        <v>187840.06</v>
      </c>
      <c r="K34" s="116">
        <f t="shared" si="6"/>
        <v>266305.00000000006</v>
      </c>
      <c r="L34" s="41">
        <f t="shared" si="6"/>
        <v>496139.15</v>
      </c>
      <c r="M34" s="49">
        <f t="shared" si="6"/>
        <v>-523643.39</v>
      </c>
      <c r="P34" s="47"/>
    </row>
    <row r="35" spans="1:16" x14ac:dyDescent="0.25">
      <c r="A35" s="46" t="s">
        <v>107</v>
      </c>
      <c r="C35" s="40">
        <f t="shared" ref="C35:M35" si="8">C15-C27</f>
        <v>16602.209999999963</v>
      </c>
      <c r="D35" s="116">
        <f t="shared" ref="D35" si="9">D15-D27</f>
        <v>0</v>
      </c>
      <c r="E35" s="41">
        <f t="shared" si="8"/>
        <v>72429.119999999995</v>
      </c>
      <c r="F35" s="41">
        <f t="shared" si="8"/>
        <v>27233.360000000015</v>
      </c>
      <c r="G35" s="105">
        <f t="shared" si="8"/>
        <v>-79574.75999999998</v>
      </c>
      <c r="H35" s="40">
        <f t="shared" si="8"/>
        <v>-70916.709999999992</v>
      </c>
      <c r="I35" s="41">
        <f t="shared" si="8"/>
        <v>13513.379999999976</v>
      </c>
      <c r="J35" s="61">
        <f t="shared" si="8"/>
        <v>5858.2599999999802</v>
      </c>
      <c r="K35" s="116">
        <f t="shared" si="8"/>
        <v>193402.15000000002</v>
      </c>
      <c r="L35" s="41">
        <f t="shared" si="8"/>
        <v>437333.84000000008</v>
      </c>
      <c r="M35" s="49">
        <f t="shared" si="8"/>
        <v>-134857.97</v>
      </c>
      <c r="P35" s="47"/>
    </row>
    <row r="36" spans="1:16" x14ac:dyDescent="0.25">
      <c r="A36" s="46" t="s">
        <v>108</v>
      </c>
      <c r="C36" s="40">
        <f t="shared" ref="C36:M36" si="10">C16-C28</f>
        <v>480045.42000000016</v>
      </c>
      <c r="D36" s="116">
        <f t="shared" ref="D36" si="11">D16-D28</f>
        <v>0</v>
      </c>
      <c r="E36" s="41">
        <f t="shared" si="10"/>
        <v>-136138.06</v>
      </c>
      <c r="F36" s="41">
        <f t="shared" si="10"/>
        <v>-153557.77000000002</v>
      </c>
      <c r="G36" s="105">
        <f t="shared" si="10"/>
        <v>-21206.770000000019</v>
      </c>
      <c r="H36" s="40">
        <f t="shared" si="10"/>
        <v>-259843.86000000002</v>
      </c>
      <c r="I36" s="41">
        <f t="shared" si="10"/>
        <v>115049.59000000003</v>
      </c>
      <c r="J36" s="61">
        <f t="shared" si="10"/>
        <v>498770</v>
      </c>
      <c r="K36" s="116">
        <f t="shared" si="10"/>
        <v>149758.60000000003</v>
      </c>
      <c r="L36" s="41">
        <f t="shared" si="10"/>
        <v>382764.77</v>
      </c>
      <c r="M36" s="49">
        <f t="shared" si="10"/>
        <v>-168209.48</v>
      </c>
      <c r="P36" s="47"/>
    </row>
    <row r="37" spans="1:16" x14ac:dyDescent="0.25">
      <c r="A37" s="46" t="s">
        <v>109</v>
      </c>
      <c r="C37" s="40">
        <f t="shared" ref="C37:M37" si="12">C17-C29</f>
        <v>-56193.760000000009</v>
      </c>
      <c r="D37" s="116">
        <f t="shared" ref="D37" si="13">D17-D29</f>
        <v>0</v>
      </c>
      <c r="E37" s="41">
        <f t="shared" si="12"/>
        <v>-53638.400000000009</v>
      </c>
      <c r="F37" s="41">
        <f t="shared" si="12"/>
        <v>73434.83</v>
      </c>
      <c r="G37" s="105">
        <f t="shared" si="12"/>
        <v>-40244.22</v>
      </c>
      <c r="H37" s="40">
        <f t="shared" si="12"/>
        <v>1143.3699999999953</v>
      </c>
      <c r="I37" s="41">
        <f t="shared" si="12"/>
        <v>-14619.5</v>
      </c>
      <c r="J37" s="61">
        <f t="shared" si="12"/>
        <v>-42864.490000000005</v>
      </c>
      <c r="K37" s="116">
        <f t="shared" si="12"/>
        <v>155495.74</v>
      </c>
      <c r="L37" s="41">
        <f t="shared" si="12"/>
        <v>328365.53000000003</v>
      </c>
      <c r="M37" s="49">
        <f t="shared" si="12"/>
        <v>-74811.7</v>
      </c>
      <c r="P37" s="47"/>
    </row>
    <row r="38" spans="1:16" x14ac:dyDescent="0.25">
      <c r="C38" s="98"/>
      <c r="D38" s="141"/>
      <c r="E38" s="31"/>
      <c r="F38" s="31"/>
      <c r="G38" s="31"/>
      <c r="H38" s="28"/>
      <c r="I38" s="31"/>
      <c r="J38" s="11"/>
      <c r="K38" s="17"/>
      <c r="L38" s="17"/>
      <c r="M38" s="11"/>
      <c r="P38" s="47"/>
    </row>
    <row r="39" spans="1:16" ht="15.75" thickBot="1" x14ac:dyDescent="0.3">
      <c r="A39" s="46" t="s">
        <v>53</v>
      </c>
      <c r="C39" s="101"/>
      <c r="D39" s="256"/>
      <c r="E39" s="31"/>
      <c r="F39" s="31"/>
      <c r="G39" s="31"/>
      <c r="H39" s="28"/>
      <c r="I39" s="31"/>
      <c r="J39" s="11"/>
      <c r="K39" s="17"/>
      <c r="L39" s="17"/>
      <c r="M39" s="11"/>
      <c r="P39" s="47"/>
    </row>
    <row r="40" spans="1:16" x14ac:dyDescent="0.25">
      <c r="A40" s="46" t="s">
        <v>24</v>
      </c>
      <c r="B40" s="312">
        <v>-1183346.0500000003</v>
      </c>
      <c r="C40" s="41">
        <f t="shared" ref="C40:M40" si="14">B40+C34+B47</f>
        <v>-621767.5400000005</v>
      </c>
      <c r="D40" s="41">
        <f t="shared" ref="D40:D43" si="15">C40+D34+C47</f>
        <v>-616715.83000000054</v>
      </c>
      <c r="E40" s="41">
        <f t="shared" ref="E40:E43" si="16">D40+E34+D47</f>
        <v>-467512.92000000051</v>
      </c>
      <c r="F40" s="41">
        <f t="shared" si="14"/>
        <v>-612855.07000000065</v>
      </c>
      <c r="G40" s="105">
        <f t="shared" si="14"/>
        <v>-630755.44000000064</v>
      </c>
      <c r="H40" s="40">
        <f t="shared" si="14"/>
        <v>-372613.50000000064</v>
      </c>
      <c r="I40" s="41">
        <f t="shared" si="14"/>
        <v>-82345.490000000602</v>
      </c>
      <c r="J40" s="61">
        <f t="shared" si="14"/>
        <v>104221.4799999994</v>
      </c>
      <c r="K40" s="116">
        <f t="shared" si="14"/>
        <v>370583.83999999944</v>
      </c>
      <c r="L40" s="41">
        <f t="shared" si="14"/>
        <v>868045.02999999956</v>
      </c>
      <c r="M40" s="49">
        <f t="shared" si="14"/>
        <v>347853.72999999957</v>
      </c>
      <c r="P40" s="47"/>
    </row>
    <row r="41" spans="1:16" x14ac:dyDescent="0.25">
      <c r="A41" s="46" t="s">
        <v>107</v>
      </c>
      <c r="B41" s="319">
        <v>-807058.01</v>
      </c>
      <c r="C41" s="41">
        <f>B41+C35+B48</f>
        <v>-790455.8</v>
      </c>
      <c r="D41" s="41">
        <f t="shared" si="15"/>
        <v>-783306.18</v>
      </c>
      <c r="E41" s="41">
        <f t="shared" si="16"/>
        <v>-710877.06</v>
      </c>
      <c r="F41" s="41">
        <f t="shared" ref="F41:M41" si="17">E41+F35+E48</f>
        <v>-687612.85000000009</v>
      </c>
      <c r="G41" s="105">
        <f t="shared" si="17"/>
        <v>-770945.29000000015</v>
      </c>
      <c r="H41" s="40">
        <f t="shared" si="17"/>
        <v>-845876.3600000001</v>
      </c>
      <c r="I41" s="41">
        <f t="shared" si="17"/>
        <v>-836866.24000000011</v>
      </c>
      <c r="J41" s="61">
        <f t="shared" si="17"/>
        <v>-835700.46000000008</v>
      </c>
      <c r="K41" s="116">
        <f t="shared" si="17"/>
        <v>-646967.88</v>
      </c>
      <c r="L41" s="41">
        <f t="shared" si="17"/>
        <v>-213774.85999999993</v>
      </c>
      <c r="M41" s="49">
        <f t="shared" si="17"/>
        <v>-351040.70999999996</v>
      </c>
      <c r="P41" s="47"/>
    </row>
    <row r="42" spans="1:16" x14ac:dyDescent="0.25">
      <c r="A42" s="46" t="s">
        <v>108</v>
      </c>
      <c r="B42" s="319">
        <v>-320449.47000000038</v>
      </c>
      <c r="C42" s="41">
        <f>B42+C36+B49</f>
        <v>159595.94999999978</v>
      </c>
      <c r="D42" s="41">
        <f t="shared" si="15"/>
        <v>158521.48999999979</v>
      </c>
      <c r="E42" s="41">
        <f t="shared" si="16"/>
        <v>22383.429999999789</v>
      </c>
      <c r="F42" s="41">
        <f t="shared" ref="F42:M42" si="18">E42+F36+E49</f>
        <v>-130693.78000000023</v>
      </c>
      <c r="G42" s="105">
        <f t="shared" si="18"/>
        <v>-152189.46000000025</v>
      </c>
      <c r="H42" s="40">
        <f t="shared" si="18"/>
        <v>-412810.69000000029</v>
      </c>
      <c r="I42" s="41">
        <f t="shared" si="18"/>
        <v>-299333.03000000026</v>
      </c>
      <c r="J42" s="61">
        <f t="shared" si="18"/>
        <v>197452.01999999973</v>
      </c>
      <c r="K42" s="116">
        <f t="shared" si="18"/>
        <v>346921.44999999978</v>
      </c>
      <c r="L42" s="41">
        <f t="shared" si="18"/>
        <v>731200.97999999975</v>
      </c>
      <c r="M42" s="49">
        <f t="shared" si="18"/>
        <v>565997.25999999978</v>
      </c>
      <c r="P42" s="47"/>
    </row>
    <row r="43" spans="1:16" ht="15.75" thickBot="1" x14ac:dyDescent="0.3">
      <c r="A43" s="46" t="s">
        <v>109</v>
      </c>
      <c r="B43" s="313">
        <v>-808801.68999999948</v>
      </c>
      <c r="C43" s="41">
        <f t="shared" ref="C43:M43" si="19">B43+C37+B50</f>
        <v>-864995.44999999949</v>
      </c>
      <c r="D43" s="41">
        <f t="shared" si="15"/>
        <v>-856984.51999999944</v>
      </c>
      <c r="E43" s="41">
        <f t="shared" si="16"/>
        <v>-910622.91999999946</v>
      </c>
      <c r="F43" s="41">
        <f t="shared" si="19"/>
        <v>-841883.55999999947</v>
      </c>
      <c r="G43" s="105">
        <f t="shared" si="19"/>
        <v>-886835.93999999948</v>
      </c>
      <c r="H43" s="40">
        <f t="shared" si="19"/>
        <v>-890451.17999999947</v>
      </c>
      <c r="I43" s="41">
        <f t="shared" si="19"/>
        <v>-910021.8399999995</v>
      </c>
      <c r="J43" s="61">
        <f t="shared" si="19"/>
        <v>-957907.48999999953</v>
      </c>
      <c r="K43" s="116">
        <f t="shared" si="19"/>
        <v>-807626.13999999955</v>
      </c>
      <c r="L43" s="41">
        <f t="shared" si="19"/>
        <v>-484190.4599999995</v>
      </c>
      <c r="M43" s="49">
        <f t="shared" si="19"/>
        <v>-562612.36999999941</v>
      </c>
      <c r="P43" s="47"/>
    </row>
    <row r="44" spans="1:16" x14ac:dyDescent="0.25">
      <c r="C44" s="98"/>
      <c r="D44" s="141"/>
      <c r="E44" s="31"/>
      <c r="F44" s="31"/>
      <c r="G44" s="31"/>
      <c r="H44" s="28"/>
      <c r="I44" s="31"/>
      <c r="J44" s="11"/>
      <c r="K44" s="17"/>
      <c r="L44" s="17"/>
      <c r="M44" s="11"/>
      <c r="P44" s="47"/>
    </row>
    <row r="45" spans="1:16" x14ac:dyDescent="0.25">
      <c r="A45" s="39" t="s">
        <v>49</v>
      </c>
      <c r="B45" s="39"/>
      <c r="C45" s="101"/>
      <c r="D45" s="256"/>
      <c r="E45" s="340">
        <f>+'[11]May 2023'!$E$43</f>
        <v>5.3128000000000003E-3</v>
      </c>
      <c r="F45" s="340">
        <f>+'[11]June 2023'!$E$42</f>
        <v>5.3587000000000001E-3</v>
      </c>
      <c r="G45" s="340">
        <f>+'[11]July 2023'!$E$43</f>
        <v>5.4904100000000003E-3</v>
      </c>
      <c r="H45" s="341">
        <f>'[11]August 2023'!$E$43</f>
        <v>5.5567100000000003E-3</v>
      </c>
      <c r="I45" s="340">
        <f>'[11]September 2023'!$E$42</f>
        <v>5.5623000000000001E-3</v>
      </c>
      <c r="J45" s="342">
        <f>'[11]October 2023'!$E$43</f>
        <v>5.5681000000000003E-3</v>
      </c>
      <c r="K45" s="82">
        <f>J45</f>
        <v>5.5681000000000003E-3</v>
      </c>
      <c r="L45" s="82">
        <f>J45</f>
        <v>5.5681000000000003E-3</v>
      </c>
      <c r="M45" s="91"/>
      <c r="P45" s="47"/>
    </row>
    <row r="46" spans="1:16" x14ac:dyDescent="0.25">
      <c r="A46" s="39" t="s">
        <v>37</v>
      </c>
      <c r="B46" s="39"/>
      <c r="C46" s="98"/>
      <c r="D46" s="141"/>
      <c r="E46" s="31"/>
      <c r="F46" s="31"/>
      <c r="G46" s="31"/>
      <c r="H46" s="28"/>
      <c r="I46" s="31"/>
      <c r="J46" s="11"/>
      <c r="K46" s="17"/>
      <c r="L46" s="17"/>
      <c r="M46" s="11"/>
      <c r="N46" s="71"/>
      <c r="P46" s="47"/>
    </row>
    <row r="47" spans="1:16" x14ac:dyDescent="0.25">
      <c r="A47" s="46" t="s">
        <v>24</v>
      </c>
      <c r="C47" s="307">
        <v>5051.71</v>
      </c>
      <c r="D47" s="116"/>
      <c r="E47" s="41">
        <f>ROUND((C40+C47+D47+E34/2)*E$45,2)</f>
        <v>-2880.15</v>
      </c>
      <c r="F47" s="41">
        <f t="shared" ref="F47:L50" si="20">ROUND((E40+E47+F34/2)*F$45,2)</f>
        <v>-2902.4</v>
      </c>
      <c r="G47" s="105">
        <f t="shared" si="20"/>
        <v>-3421.93</v>
      </c>
      <c r="H47" s="40">
        <f>ROUND((G40+G47+H34/2)*H$45,2)</f>
        <v>-2797.22</v>
      </c>
      <c r="I47" s="116">
        <f t="shared" si="20"/>
        <v>-1273.0899999999999</v>
      </c>
      <c r="J47" s="61">
        <f t="shared" si="20"/>
        <v>57.36</v>
      </c>
      <c r="K47" s="116">
        <f t="shared" si="20"/>
        <v>1322.04</v>
      </c>
      <c r="L47" s="116">
        <f t="shared" si="20"/>
        <v>3452.09</v>
      </c>
      <c r="M47" s="49"/>
      <c r="P47" s="47">
        <f>-SUM(K47:M47)</f>
        <v>-4774.13</v>
      </c>
    </row>
    <row r="48" spans="1:16" x14ac:dyDescent="0.25">
      <c r="A48" s="46" t="s">
        <v>107</v>
      </c>
      <c r="C48" s="318">
        <v>7149.62</v>
      </c>
      <c r="D48" s="257"/>
      <c r="E48" s="41">
        <f t="shared" ref="E48:E50" si="21">ROUND((C41+C48+D48+E35/2)*E$45,2)</f>
        <v>-3969.15</v>
      </c>
      <c r="F48" s="41">
        <f t="shared" si="20"/>
        <v>-3757.68</v>
      </c>
      <c r="G48" s="105">
        <f t="shared" si="20"/>
        <v>-4014.36</v>
      </c>
      <c r="H48" s="40">
        <f>ROUND((G41+G48+H35/2)*H$45,2)</f>
        <v>-4503.26</v>
      </c>
      <c r="I48" s="116">
        <f t="shared" si="20"/>
        <v>-4692.4799999999996</v>
      </c>
      <c r="J48" s="61">
        <f t="shared" si="20"/>
        <v>-4669.57</v>
      </c>
      <c r="K48" s="116">
        <f t="shared" si="20"/>
        <v>-4140.82</v>
      </c>
      <c r="L48" s="116">
        <f t="shared" si="20"/>
        <v>-2407.88</v>
      </c>
      <c r="M48" s="49"/>
      <c r="P48" s="47">
        <f t="shared" ref="P48:P50" si="22">-SUM(K48:M48)</f>
        <v>6548.7</v>
      </c>
    </row>
    <row r="49" spans="1:16" x14ac:dyDescent="0.25">
      <c r="A49" s="46" t="s">
        <v>108</v>
      </c>
      <c r="C49" s="318">
        <v>-1074.46</v>
      </c>
      <c r="D49" s="257"/>
      <c r="E49" s="41">
        <f t="shared" si="21"/>
        <v>480.56</v>
      </c>
      <c r="F49" s="41">
        <f t="shared" si="20"/>
        <v>-288.91000000000003</v>
      </c>
      <c r="G49" s="105">
        <f t="shared" si="20"/>
        <v>-777.37</v>
      </c>
      <c r="H49" s="40">
        <f>ROUND((G42+G49+H36/2)*H$45,2)</f>
        <v>-1571.93</v>
      </c>
      <c r="I49" s="116">
        <f t="shared" si="20"/>
        <v>-1984.95</v>
      </c>
      <c r="J49" s="61">
        <f t="shared" si="20"/>
        <v>-289.17</v>
      </c>
      <c r="K49" s="116">
        <f t="shared" si="20"/>
        <v>1514.76</v>
      </c>
      <c r="L49" s="116">
        <f t="shared" si="20"/>
        <v>3005.76</v>
      </c>
      <c r="M49" s="49"/>
      <c r="P49" s="47">
        <f t="shared" si="22"/>
        <v>-4520.5200000000004</v>
      </c>
    </row>
    <row r="50" spans="1:16" ht="15.75" thickBot="1" x14ac:dyDescent="0.3">
      <c r="A50" s="46" t="s">
        <v>109</v>
      </c>
      <c r="C50" s="314">
        <v>8010.93</v>
      </c>
      <c r="D50" s="257"/>
      <c r="E50" s="41">
        <f t="shared" si="21"/>
        <v>-4695.47</v>
      </c>
      <c r="F50" s="41">
        <f t="shared" si="20"/>
        <v>-4708.16</v>
      </c>
      <c r="G50" s="105">
        <f t="shared" si="20"/>
        <v>-4758.6099999999997</v>
      </c>
      <c r="H50" s="40">
        <f>ROUND((G43+G50+H37/2)*H$45,2)</f>
        <v>-4951.16</v>
      </c>
      <c r="I50" s="116">
        <f t="shared" si="20"/>
        <v>-5021.16</v>
      </c>
      <c r="J50" s="61">
        <f t="shared" si="20"/>
        <v>-5214.3900000000003</v>
      </c>
      <c r="K50" s="116">
        <f t="shared" si="20"/>
        <v>-4929.8500000000004</v>
      </c>
      <c r="L50" s="116">
        <f t="shared" si="20"/>
        <v>-3610.21</v>
      </c>
      <c r="M50" s="49"/>
      <c r="P50" s="47">
        <f t="shared" si="22"/>
        <v>8540.0600000000013</v>
      </c>
    </row>
    <row r="51" spans="1:16" ht="16.5" thickTop="1" thickBot="1" x14ac:dyDescent="0.3">
      <c r="A51" s="54" t="s">
        <v>22</v>
      </c>
      <c r="B51" s="54"/>
      <c r="C51" s="111">
        <v>0</v>
      </c>
      <c r="D51" s="258"/>
      <c r="E51" s="32">
        <f t="shared" ref="E51:M51" si="23">SUM(E47:E50)+SUM(E40:E43)-E54</f>
        <v>0</v>
      </c>
      <c r="F51" s="32">
        <f t="shared" si="23"/>
        <v>0</v>
      </c>
      <c r="G51" s="50">
        <f t="shared" si="23"/>
        <v>0</v>
      </c>
      <c r="H51" s="117">
        <f t="shared" si="23"/>
        <v>0</v>
      </c>
      <c r="I51" s="32">
        <f t="shared" si="23"/>
        <v>0</v>
      </c>
      <c r="J51" s="62">
        <f t="shared" si="23"/>
        <v>0</v>
      </c>
      <c r="K51" s="153">
        <f t="shared" si="23"/>
        <v>0</v>
      </c>
      <c r="L51" s="32">
        <f t="shared" si="23"/>
        <v>0</v>
      </c>
      <c r="M51" s="95">
        <f t="shared" si="23"/>
        <v>2.3283064365386963E-10</v>
      </c>
      <c r="P51" s="47"/>
    </row>
    <row r="52" spans="1:16" ht="16.5" thickTop="1" thickBot="1" x14ac:dyDescent="0.3">
      <c r="A52" s="54" t="s">
        <v>23</v>
      </c>
      <c r="B52" s="54"/>
      <c r="C52" s="104">
        <v>0</v>
      </c>
      <c r="D52" s="259"/>
      <c r="E52" s="32">
        <f>SUM(E47:E50)-E31</f>
        <v>0</v>
      </c>
      <c r="F52" s="32">
        <f t="shared" ref="F52:M52" si="24">SUM(F47:F50)-F31</f>
        <v>0</v>
      </c>
      <c r="G52" s="50">
        <f t="shared" si="24"/>
        <v>9.9999999983992893E-3</v>
      </c>
      <c r="H52" s="51">
        <f t="shared" si="24"/>
        <v>9.9999999983992893E-3</v>
      </c>
      <c r="I52" s="32">
        <f t="shared" si="24"/>
        <v>-9.9999999983992893E-3</v>
      </c>
      <c r="J52" s="62">
        <f t="shared" si="24"/>
        <v>0</v>
      </c>
      <c r="K52" s="153">
        <f t="shared" si="24"/>
        <v>0</v>
      </c>
      <c r="L52" s="32">
        <f t="shared" si="24"/>
        <v>0</v>
      </c>
      <c r="M52" s="95">
        <f t="shared" si="24"/>
        <v>0</v>
      </c>
      <c r="P52" s="47"/>
    </row>
    <row r="53" spans="1:16" ht="16.5" thickTop="1" thickBot="1" x14ac:dyDescent="0.3">
      <c r="C53" s="98"/>
      <c r="D53" s="141"/>
      <c r="E53" s="17"/>
      <c r="F53" s="17"/>
      <c r="G53" s="17"/>
      <c r="H53" s="10"/>
      <c r="I53" s="17"/>
      <c r="J53" s="11"/>
      <c r="K53" s="17"/>
      <c r="L53" s="17"/>
      <c r="M53" s="11"/>
      <c r="P53" s="47"/>
    </row>
    <row r="54" spans="1:16" ht="15.75" thickBot="1" x14ac:dyDescent="0.3">
      <c r="A54" s="46" t="s">
        <v>36</v>
      </c>
      <c r="B54" s="113">
        <f>SUM(B40:B43)</f>
        <v>-3119655.22</v>
      </c>
      <c r="C54" s="40">
        <f>(SUM(C14:C17)-SUM(C26:C29))+SUM(C47:C50)+B54</f>
        <v>-2098485.040000001</v>
      </c>
      <c r="D54" s="116"/>
      <c r="E54" s="41">
        <f>(SUM(E14:E17)-SUM(E26:E29))+SUM(E47:E50)+C54</f>
        <v>-2077693.6800000009</v>
      </c>
      <c r="F54" s="41">
        <f t="shared" ref="F54:M54" si="25">(SUM(F14:F17)-SUM(F26:F29))+SUM(F47:F50)+E54</f>
        <v>-2284702.4100000011</v>
      </c>
      <c r="G54" s="105">
        <f t="shared" si="25"/>
        <v>-2453698.4000000008</v>
      </c>
      <c r="H54" s="40">
        <f t="shared" si="25"/>
        <v>-2535575.3000000007</v>
      </c>
      <c r="I54" s="41">
        <f t="shared" si="25"/>
        <v>-2141538.2800000007</v>
      </c>
      <c r="J54" s="61">
        <f t="shared" si="25"/>
        <v>-1502050.2200000007</v>
      </c>
      <c r="K54" s="116">
        <f t="shared" si="25"/>
        <v>-743322.60000000044</v>
      </c>
      <c r="L54" s="41">
        <f t="shared" si="25"/>
        <v>901720.4499999996</v>
      </c>
      <c r="M54" s="61">
        <f t="shared" si="25"/>
        <v>197.90999999968335</v>
      </c>
    </row>
    <row r="55" spans="1:16" x14ac:dyDescent="0.25">
      <c r="A55" s="46" t="s">
        <v>12</v>
      </c>
      <c r="C55" s="114"/>
      <c r="D55" s="17"/>
      <c r="E55" s="56"/>
      <c r="F55" s="56"/>
      <c r="G55" s="56"/>
      <c r="H55" s="12"/>
      <c r="I55" s="56"/>
      <c r="J55" s="11"/>
      <c r="K55" s="17"/>
      <c r="L55" s="17"/>
      <c r="M55" s="11"/>
    </row>
    <row r="56" spans="1:16" ht="15.75" thickBot="1" x14ac:dyDescent="0.3">
      <c r="B56" s="17"/>
      <c r="C56" s="43"/>
      <c r="D56" s="44"/>
      <c r="E56" s="44"/>
      <c r="F56" s="44"/>
      <c r="G56" s="44"/>
      <c r="H56" s="43"/>
      <c r="I56" s="44"/>
      <c r="J56" s="45"/>
      <c r="K56" s="44"/>
      <c r="L56" s="44"/>
      <c r="M56" s="45"/>
    </row>
    <row r="58" spans="1:16" x14ac:dyDescent="0.25">
      <c r="A58" s="69" t="s">
        <v>11</v>
      </c>
      <c r="B58" s="69"/>
      <c r="C58" s="69"/>
      <c r="D58" s="69"/>
    </row>
    <row r="59" spans="1:16" ht="80.25" customHeight="1" x14ac:dyDescent="0.25">
      <c r="A59" s="362" t="s">
        <v>241</v>
      </c>
      <c r="B59" s="362"/>
      <c r="C59" s="362"/>
      <c r="D59" s="362"/>
      <c r="E59" s="362"/>
      <c r="F59" s="362"/>
      <c r="G59" s="362"/>
      <c r="H59" s="362"/>
      <c r="I59" s="362"/>
      <c r="J59" s="362"/>
      <c r="K59" s="217"/>
      <c r="L59" s="217"/>
      <c r="M59" s="217"/>
    </row>
    <row r="60" spans="1:16" ht="64.5" customHeight="1" x14ac:dyDescent="0.25">
      <c r="A60" s="369" t="s">
        <v>242</v>
      </c>
      <c r="B60" s="369"/>
      <c r="C60" s="369"/>
      <c r="D60" s="369"/>
      <c r="E60" s="369"/>
      <c r="F60" s="369"/>
      <c r="G60" s="369"/>
      <c r="H60" s="369"/>
      <c r="I60" s="369"/>
      <c r="J60" s="369"/>
      <c r="K60" s="217"/>
      <c r="L60" s="217"/>
      <c r="M60" s="217"/>
    </row>
    <row r="61" spans="1:16" ht="59.45" customHeight="1" x14ac:dyDescent="0.25">
      <c r="A61" s="362" t="s">
        <v>243</v>
      </c>
      <c r="B61" s="362"/>
      <c r="C61" s="362"/>
      <c r="D61" s="362"/>
      <c r="E61" s="362"/>
      <c r="F61" s="362"/>
      <c r="G61" s="362"/>
      <c r="H61" s="362"/>
      <c r="I61" s="362"/>
      <c r="J61" s="362"/>
      <c r="K61" s="217"/>
      <c r="L61" s="217"/>
      <c r="M61" s="217"/>
    </row>
    <row r="62" spans="1:16" x14ac:dyDescent="0.25">
      <c r="A62" s="3" t="s">
        <v>31</v>
      </c>
      <c r="B62" s="3"/>
      <c r="C62" s="3"/>
      <c r="D62" s="3"/>
      <c r="J62" s="4"/>
    </row>
    <row r="63" spans="1:16" x14ac:dyDescent="0.25">
      <c r="A63" s="63" t="s">
        <v>240</v>
      </c>
      <c r="B63" s="3"/>
      <c r="C63" s="3"/>
      <c r="D63" s="3"/>
      <c r="J63" s="4"/>
    </row>
    <row r="64" spans="1:16" x14ac:dyDescent="0.25">
      <c r="A64" s="3" t="s">
        <v>51</v>
      </c>
      <c r="B64" s="3"/>
      <c r="C64" s="3"/>
      <c r="D64" s="3"/>
      <c r="J64" s="4"/>
    </row>
    <row r="65" spans="1:14" x14ac:dyDescent="0.25">
      <c r="A65" s="3"/>
    </row>
    <row r="66" spans="1:14" ht="36" customHeight="1" x14ac:dyDescent="0.25">
      <c r="A66" s="368"/>
      <c r="B66" s="368"/>
      <c r="C66" s="368"/>
      <c r="D66" s="368"/>
      <c r="E66" s="368"/>
      <c r="F66" s="368"/>
      <c r="G66" s="368"/>
    </row>
    <row r="74" spans="1:14" x14ac:dyDescent="0.25">
      <c r="N74" s="8"/>
    </row>
  </sheetData>
  <mergeCells count="7">
    <mergeCell ref="A66:G66"/>
    <mergeCell ref="A61:J61"/>
    <mergeCell ref="E10:G10"/>
    <mergeCell ref="H10:J10"/>
    <mergeCell ref="K10:M10"/>
    <mergeCell ref="A59:J59"/>
    <mergeCell ref="A60:J60"/>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1"/>
  <sheetViews>
    <sheetView workbookViewId="0">
      <selection activeCell="H5" sqref="H5"/>
    </sheetView>
  </sheetViews>
  <sheetFormatPr defaultRowHeight="15" x14ac:dyDescent="0.25"/>
  <cols>
    <col min="1" max="1" width="24.7109375" customWidth="1"/>
    <col min="2" max="2" width="16.140625" customWidth="1"/>
    <col min="3" max="3" width="15.140625" customWidth="1"/>
  </cols>
  <sheetData>
    <row r="1" spans="1:23" s="46" customFormat="1" x14ac:dyDescent="0.25">
      <c r="A1" s="3" t="str">
        <f>+'PPC Cycle 3'!A1</f>
        <v>Evergy Missouri West, Inc. - DSIM Rider Update Filed 12/01/2023</v>
      </c>
    </row>
    <row r="2" spans="1:23" x14ac:dyDescent="0.25">
      <c r="A2" s="9" t="str">
        <f>+'PPC Cycle 3'!A2</f>
        <v>Projections for Cycle 3 January 2024 - December 2024 DSIM</v>
      </c>
    </row>
    <row r="3" spans="1:23" s="46" customFormat="1" x14ac:dyDescent="0.25">
      <c r="A3" s="9"/>
    </row>
    <row r="4" spans="1:23" ht="40.5" customHeight="1" x14ac:dyDescent="0.25">
      <c r="B4" s="358" t="s">
        <v>64</v>
      </c>
      <c r="C4" s="358"/>
    </row>
    <row r="5" spans="1:23" ht="45" x14ac:dyDescent="0.25">
      <c r="B5" s="142" t="s">
        <v>65</v>
      </c>
      <c r="C5" s="6" t="s">
        <v>29</v>
      </c>
    </row>
    <row r="6" spans="1:23" x14ac:dyDescent="0.25">
      <c r="A6" s="20" t="s">
        <v>24</v>
      </c>
      <c r="B6" s="23">
        <f>SUM(0)</f>
        <v>0</v>
      </c>
      <c r="C6" s="85">
        <f>SUM(0)</f>
        <v>0</v>
      </c>
    </row>
    <row r="7" spans="1:23" x14ac:dyDescent="0.25">
      <c r="A7" s="30" t="s">
        <v>25</v>
      </c>
      <c r="B7" s="23">
        <f>+B13</f>
        <v>0</v>
      </c>
      <c r="C7" s="85">
        <f>+C13</f>
        <v>0</v>
      </c>
    </row>
    <row r="8" spans="1:23" x14ac:dyDescent="0.25">
      <c r="A8" s="20" t="s">
        <v>5</v>
      </c>
      <c r="B8" s="24">
        <f>SUM(B6:B7)</f>
        <v>0</v>
      </c>
      <c r="C8" s="22">
        <f>SUM(C6:C7)</f>
        <v>0</v>
      </c>
    </row>
    <row r="9" spans="1:23" s="46" customFormat="1" x14ac:dyDescent="0.25">
      <c r="A9" s="20"/>
    </row>
    <row r="10" spans="1:23" s="46" customFormat="1" x14ac:dyDescent="0.25">
      <c r="A10" s="20" t="s">
        <v>107</v>
      </c>
      <c r="B10" s="23">
        <f>SUM(0)</f>
        <v>0</v>
      </c>
      <c r="C10" s="85">
        <f>SUM(0)</f>
        <v>0</v>
      </c>
    </row>
    <row r="11" spans="1:23" s="46" customFormat="1" x14ac:dyDescent="0.25">
      <c r="A11" s="20" t="s">
        <v>108</v>
      </c>
      <c r="B11" s="23">
        <f t="shared" ref="B11:C12" si="0">SUM(0)</f>
        <v>0</v>
      </c>
      <c r="C11" s="85">
        <f t="shared" si="0"/>
        <v>0</v>
      </c>
    </row>
    <row r="12" spans="1:23" s="46" customFormat="1" x14ac:dyDescent="0.25">
      <c r="A12" s="20" t="s">
        <v>109</v>
      </c>
      <c r="B12" s="23">
        <f t="shared" si="0"/>
        <v>0</v>
      </c>
      <c r="C12" s="85">
        <f t="shared" si="0"/>
        <v>0</v>
      </c>
    </row>
    <row r="13" spans="1:23" x14ac:dyDescent="0.25">
      <c r="A13" s="30" t="s">
        <v>111</v>
      </c>
      <c r="B13" s="24">
        <f>SUM(B10:B12)</f>
        <v>0</v>
      </c>
      <c r="C13" s="22">
        <f>SUM(C10:C12)</f>
        <v>0</v>
      </c>
    </row>
    <row r="14" spans="1:23" x14ac:dyDescent="0.25">
      <c r="A14" s="46"/>
      <c r="B14" s="46"/>
      <c r="C14" s="46"/>
    </row>
    <row r="15" spans="1:23" x14ac:dyDescent="0.25">
      <c r="A15" s="69" t="s">
        <v>30</v>
      </c>
      <c r="B15" s="20"/>
      <c r="C15" s="21"/>
      <c r="N15" s="1"/>
      <c r="O15" s="1"/>
      <c r="P15" s="1"/>
      <c r="Q15" s="1"/>
      <c r="R15" s="1"/>
      <c r="S15" s="1"/>
      <c r="T15" s="1"/>
      <c r="U15" s="1"/>
      <c r="V15" s="1"/>
      <c r="W15" s="1"/>
    </row>
    <row r="16" spans="1:23" s="39" customFormat="1" ht="34.5" customHeight="1" x14ac:dyDescent="0.25">
      <c r="A16" s="368" t="s">
        <v>230</v>
      </c>
      <c r="B16" s="368"/>
      <c r="C16" s="368"/>
      <c r="D16" s="368"/>
      <c r="E16" s="368"/>
      <c r="F16" s="368"/>
      <c r="G16" s="368"/>
      <c r="H16" s="368"/>
      <c r="I16" s="368"/>
      <c r="J16" s="368"/>
      <c r="K16" s="368"/>
      <c r="L16" s="368"/>
      <c r="M16" s="368"/>
    </row>
    <row r="17" spans="1:13" s="39" customFormat="1" x14ac:dyDescent="0.25">
      <c r="A17" s="370" t="s">
        <v>175</v>
      </c>
      <c r="B17" s="370"/>
      <c r="C17" s="370"/>
      <c r="D17" s="370"/>
      <c r="E17" s="370"/>
      <c r="F17" s="370"/>
      <c r="G17" s="370"/>
      <c r="H17" s="370"/>
      <c r="I17" s="370"/>
      <c r="J17" s="370"/>
      <c r="K17" s="370"/>
      <c r="L17" s="370"/>
      <c r="M17" s="370"/>
    </row>
    <row r="29" spans="1:13" x14ac:dyDescent="0.25">
      <c r="E29" s="248"/>
    </row>
    <row r="37" spans="2:3" x14ac:dyDescent="0.25">
      <c r="B37" s="8"/>
      <c r="C37" s="8"/>
    </row>
    <row r="41" spans="2:3" x14ac:dyDescent="0.25">
      <c r="B41" s="8"/>
      <c r="C41" s="8"/>
    </row>
  </sheetData>
  <mergeCells count="3">
    <mergeCell ref="B4:C4"/>
    <mergeCell ref="A16:M16"/>
    <mergeCell ref="A17:M17"/>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8"/>
  <sheetViews>
    <sheetView workbookViewId="0">
      <selection activeCell="A17" sqref="A17"/>
    </sheetView>
  </sheetViews>
  <sheetFormatPr defaultColWidth="9.140625" defaultRowHeight="15" x14ac:dyDescent="0.25"/>
  <cols>
    <col min="1" max="1" width="24.7109375" style="46" customWidth="1"/>
    <col min="2" max="2" width="16.140625" style="46" customWidth="1"/>
    <col min="3" max="3" width="15.140625" style="46" customWidth="1"/>
    <col min="4" max="4" width="11.5703125" style="46" bestFit="1" customWidth="1"/>
    <col min="5" max="5" width="10.5703125" style="46" bestFit="1" customWidth="1"/>
    <col min="6" max="16384" width="9.140625" style="46"/>
  </cols>
  <sheetData>
    <row r="1" spans="1:23" x14ac:dyDescent="0.25">
      <c r="A1" s="3" t="str">
        <f>+'PPC Cycle 3'!A1</f>
        <v>Evergy Missouri West, Inc. - DSIM Rider Update Filed 12/01/2023</v>
      </c>
    </row>
    <row r="2" spans="1:23" x14ac:dyDescent="0.25">
      <c r="A2" s="9" t="str">
        <f>+'PPC Cycle 3'!A2</f>
        <v>Projections for Cycle 3 January 2024 - December 2024 DSIM</v>
      </c>
    </row>
    <row r="3" spans="1:23" x14ac:dyDescent="0.25">
      <c r="A3" s="9"/>
    </row>
    <row r="4" spans="1:23" ht="40.5" customHeight="1" x14ac:dyDescent="0.25">
      <c r="B4" s="358" t="s">
        <v>113</v>
      </c>
      <c r="C4" s="358"/>
    </row>
    <row r="5" spans="1:23" ht="90" x14ac:dyDescent="0.25">
      <c r="B5" s="142" t="s">
        <v>65</v>
      </c>
      <c r="C5" s="48" t="s">
        <v>29</v>
      </c>
      <c r="D5" s="270" t="str">
        <f>+'PPC Cycle 3'!D4</f>
        <v>3. Cycle 3 2023 Extension Forecast - January 2024 - December 2024</v>
      </c>
      <c r="E5" s="270" t="str">
        <f>+'PPC Cycle 3'!E4</f>
        <v>4. Cycle 3 2024 Extension Forecast - January 2024 - December 2024</v>
      </c>
    </row>
    <row r="6" spans="1:23" x14ac:dyDescent="0.25">
      <c r="A6" s="20" t="s">
        <v>24</v>
      </c>
      <c r="B6" s="23" cm="1">
        <f t="array" ref="B6">SUM(('[2]Monthly TD Calc'!$BA462:$BL462)+('[2]Monthly TD Calc Ext'!$BA462:$BL462))</f>
        <v>36423129.067833357</v>
      </c>
      <c r="C6" s="85">
        <f>SUM(D6:E6)</f>
        <v>1709557.51</v>
      </c>
      <c r="D6" s="214">
        <f>ROUND(SUM('[2]Monthly TD Calc'!$BA564:$BL564),2)</f>
        <v>1019151.54</v>
      </c>
      <c r="E6" s="214">
        <f>ROUND(SUM('[2]Monthly TD Calc Ext'!$BA564:$BL564),2)</f>
        <v>690405.97</v>
      </c>
      <c r="F6" s="39"/>
      <c r="G6" s="39"/>
    </row>
    <row r="7" spans="1:23" x14ac:dyDescent="0.25">
      <c r="A7" s="20" t="s">
        <v>107</v>
      </c>
      <c r="B7" s="23" cm="1">
        <f t="array" ref="B7">SUM(('[2]Monthly TD Calc'!$BA463:$BL463)+('[2]Monthly TD Calc Ext'!$BA463:$BL463))</f>
        <v>15050988.909440467</v>
      </c>
      <c r="C7" s="85">
        <f t="shared" ref="C7:C9" si="0">SUM(D7:E7)</f>
        <v>600929.24</v>
      </c>
      <c r="D7" s="214">
        <f>ROUND(SUM('[2]Monthly TD Calc'!$BA565:$BL565),2)</f>
        <v>285828.64</v>
      </c>
      <c r="E7" s="214">
        <f>ROUND(SUM('[2]Monthly TD Calc Ext'!$BA565:$BL565),2)</f>
        <v>315100.59999999998</v>
      </c>
      <c r="F7" s="39"/>
      <c r="G7" s="39"/>
    </row>
    <row r="8" spans="1:23" x14ac:dyDescent="0.25">
      <c r="A8" s="20" t="s">
        <v>108</v>
      </c>
      <c r="B8" s="23" cm="1">
        <f t="array" ref="B8">SUM(('[2]Monthly TD Calc'!$BA465:$BL465)+('[2]Monthly TD Calc Ext'!$BA465:$BL465))</f>
        <v>25338771.622777496</v>
      </c>
      <c r="C8" s="85">
        <f t="shared" si="0"/>
        <v>513004.95999999996</v>
      </c>
      <c r="D8" s="214">
        <f>ROUND(SUM('[2]Monthly TD Calc'!$BA567:$BL567),2)</f>
        <v>344540.38</v>
      </c>
      <c r="E8" s="214">
        <f>ROUND(SUM('[2]Monthly TD Calc Ext'!$BA567:$BL567),2)</f>
        <v>168464.58</v>
      </c>
      <c r="F8" s="39"/>
      <c r="G8" s="39"/>
    </row>
    <row r="9" spans="1:23" x14ac:dyDescent="0.25">
      <c r="A9" s="20" t="s">
        <v>109</v>
      </c>
      <c r="B9" s="23" cm="1">
        <f t="array" ref="B9">SUM(('[2]Monthly TD Calc'!$BA466:$BL466)+('[2]Monthly TD Calc Ext'!$BA466:$BL466))</f>
        <v>7812361.4111041566</v>
      </c>
      <c r="C9" s="85">
        <f t="shared" si="0"/>
        <v>40128.57</v>
      </c>
      <c r="D9" s="214">
        <f>ROUND(SUM('[2]Monthly TD Calc'!$BA568:$BL568),2)</f>
        <v>19661.38</v>
      </c>
      <c r="E9" s="214">
        <f>ROUND(SUM('[2]Monthly TD Calc Ext'!$BA568:$BL568),2)</f>
        <v>20467.189999999999</v>
      </c>
      <c r="F9" s="39"/>
      <c r="G9" s="39"/>
    </row>
    <row r="10" spans="1:23" x14ac:dyDescent="0.25">
      <c r="A10" s="30" t="s">
        <v>5</v>
      </c>
      <c r="B10" s="24">
        <f>SUM(B6:B9)</f>
        <v>84625251.011155471</v>
      </c>
      <c r="C10" s="24">
        <f>SUM(C6:C9)</f>
        <v>2863620.28</v>
      </c>
      <c r="D10" s="24">
        <f t="shared" ref="D10:E10" si="1">SUM(D6:D9)</f>
        <v>1669181.94</v>
      </c>
      <c r="E10" s="24">
        <f t="shared" si="1"/>
        <v>1194438.3399999999</v>
      </c>
      <c r="Q10" s="343"/>
    </row>
    <row r="12" spans="1:23" x14ac:dyDescent="0.25">
      <c r="A12" s="69" t="s">
        <v>30</v>
      </c>
      <c r="B12" s="20"/>
      <c r="C12" s="21"/>
      <c r="N12" s="1"/>
      <c r="O12" s="1"/>
      <c r="P12" s="1"/>
      <c r="Q12" s="1"/>
      <c r="R12" s="1"/>
      <c r="S12" s="1"/>
      <c r="T12" s="1"/>
      <c r="U12" s="1"/>
      <c r="V12" s="1"/>
      <c r="W12" s="1"/>
    </row>
    <row r="13" spans="1:23" s="39" customFormat="1" ht="49.5" customHeight="1" x14ac:dyDescent="0.25">
      <c r="A13" s="357" t="s">
        <v>244</v>
      </c>
      <c r="B13" s="357"/>
      <c r="C13" s="357"/>
      <c r="D13" s="357"/>
      <c r="E13" s="357"/>
      <c r="F13" s="274"/>
      <c r="G13" s="274"/>
      <c r="H13" s="274"/>
      <c r="I13" s="274"/>
      <c r="J13" s="274"/>
      <c r="K13" s="274"/>
      <c r="L13" s="274"/>
      <c r="M13" s="274"/>
    </row>
    <row r="14" spans="1:23" s="39" customFormat="1" x14ac:dyDescent="0.25">
      <c r="A14" s="371" t="s">
        <v>167</v>
      </c>
      <c r="B14" s="371"/>
      <c r="C14" s="371"/>
      <c r="D14" s="371"/>
      <c r="E14" s="371"/>
      <c r="F14" s="275"/>
      <c r="G14" s="275"/>
      <c r="H14" s="275"/>
      <c r="I14" s="275"/>
      <c r="J14" s="275"/>
      <c r="K14" s="275"/>
      <c r="L14" s="275"/>
      <c r="M14" s="275"/>
    </row>
    <row r="15" spans="1:23" ht="34.5" customHeight="1" x14ac:dyDescent="0.25">
      <c r="A15" s="368" t="s">
        <v>245</v>
      </c>
      <c r="B15" s="368"/>
      <c r="C15" s="368"/>
      <c r="D15" s="368"/>
      <c r="E15" s="368"/>
      <c r="F15" s="275"/>
      <c r="G15" s="275"/>
      <c r="H15" s="275"/>
      <c r="I15" s="275"/>
      <c r="J15" s="275"/>
      <c r="K15" s="275"/>
      <c r="L15" s="275"/>
      <c r="M15" s="275"/>
    </row>
    <row r="16" spans="1:23" ht="30" customHeight="1" x14ac:dyDescent="0.25">
      <c r="A16" s="368" t="s">
        <v>246</v>
      </c>
      <c r="B16" s="368"/>
      <c r="C16" s="368"/>
      <c r="D16" s="368"/>
      <c r="E16" s="368"/>
      <c r="F16" s="275"/>
      <c r="G16" s="275"/>
      <c r="H16" s="275"/>
      <c r="I16" s="275"/>
      <c r="J16" s="275"/>
      <c r="K16" s="275"/>
      <c r="L16" s="275"/>
      <c r="M16" s="275"/>
    </row>
    <row r="29" spans="5:5" x14ac:dyDescent="0.25">
      <c r="E29" s="248"/>
    </row>
    <row r="34" spans="2:3" x14ac:dyDescent="0.25">
      <c r="B34" s="8"/>
      <c r="C34" s="8"/>
    </row>
    <row r="38" spans="2:3" x14ac:dyDescent="0.25">
      <c r="B38" s="8"/>
      <c r="C38" s="8"/>
    </row>
  </sheetData>
  <mergeCells count="5">
    <mergeCell ref="B4:C4"/>
    <mergeCell ref="A13:E13"/>
    <mergeCell ref="A14:E14"/>
    <mergeCell ref="A15:E15"/>
    <mergeCell ref="A16:E16"/>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63"/>
  <sheetViews>
    <sheetView workbookViewId="0">
      <selection activeCell="M3" sqref="M3"/>
    </sheetView>
  </sheetViews>
  <sheetFormatPr defaultColWidth="9.140625" defaultRowHeight="15" outlineLevelCol="1" x14ac:dyDescent="0.25"/>
  <cols>
    <col min="1" max="1" width="61.7109375" style="46" customWidth="1"/>
    <col min="2" max="2" width="12.140625" style="46" customWidth="1"/>
    <col min="3" max="3" width="12.42578125" style="46" customWidth="1"/>
    <col min="4" max="4" width="12.42578125" style="46" hidden="1" customWidth="1" outlineLevel="1"/>
    <col min="5" max="5" width="15.42578125" style="46" customWidth="1" collapsed="1"/>
    <col min="6" max="6" width="15.85546875" style="46" customWidth="1"/>
    <col min="7" max="7" width="12.28515625" style="46" customWidth="1"/>
    <col min="8" max="9" width="13.28515625" style="46" customWidth="1"/>
    <col min="10" max="10" width="12.28515625" style="46" bestFit="1" customWidth="1"/>
    <col min="11" max="11" width="11.5703125" style="46" bestFit="1" customWidth="1"/>
    <col min="12" max="12" width="12.85546875" style="46" customWidth="1"/>
    <col min="13" max="13" width="16" style="46" customWidth="1"/>
    <col min="14" max="14" width="15" style="46" bestFit="1" customWidth="1"/>
    <col min="15" max="15" width="16" style="46" bestFit="1" customWidth="1"/>
    <col min="16" max="16" width="17.85546875" style="174" customWidth="1" outlineLevel="1"/>
    <col min="17" max="17" width="15.28515625" style="46" bestFit="1" customWidth="1"/>
    <col min="18" max="18" width="17.42578125" style="46" bestFit="1" customWidth="1"/>
    <col min="19" max="19" width="16.28515625" style="46" bestFit="1" customWidth="1"/>
    <col min="20" max="20" width="15.28515625" style="46" bestFit="1" customWidth="1"/>
    <col min="21" max="21" width="12.42578125" style="46" customWidth="1"/>
    <col min="22" max="23" width="14.28515625" style="46" bestFit="1" customWidth="1"/>
    <col min="24" max="16384" width="9.140625" style="46"/>
  </cols>
  <sheetData>
    <row r="1" spans="1:36" x14ac:dyDescent="0.25">
      <c r="A1" s="3" t="str">
        <f>+'PPC Cycle 3'!A1</f>
        <v>Evergy Missouri West, Inc. - DSIM Rider Update Filed 12/01/2023</v>
      </c>
      <c r="B1" s="3"/>
      <c r="C1" s="3"/>
      <c r="D1" s="3"/>
    </row>
    <row r="2" spans="1:36" x14ac:dyDescent="0.25">
      <c r="E2" s="3" t="s">
        <v>61</v>
      </c>
    </row>
    <row r="3" spans="1:36" ht="30" x14ac:dyDescent="0.25">
      <c r="E3" s="48" t="s">
        <v>46</v>
      </c>
      <c r="F3" s="70" t="s">
        <v>71</v>
      </c>
      <c r="G3" s="70" t="s">
        <v>54</v>
      </c>
      <c r="H3" s="48" t="s">
        <v>3</v>
      </c>
      <c r="I3" s="70" t="s">
        <v>55</v>
      </c>
      <c r="J3" s="48" t="s">
        <v>10</v>
      </c>
      <c r="K3" s="48" t="s">
        <v>9</v>
      </c>
      <c r="T3" s="48"/>
    </row>
    <row r="4" spans="1:36" x14ac:dyDescent="0.25">
      <c r="A4" s="20" t="s">
        <v>24</v>
      </c>
      <c r="B4" s="20"/>
      <c r="C4" s="20"/>
      <c r="D4" s="20"/>
      <c r="E4" s="22">
        <f>SUM(C18:M18)</f>
        <v>313102.98000000004</v>
      </c>
      <c r="F4" s="128">
        <f>N24</f>
        <v>0</v>
      </c>
      <c r="G4" s="22">
        <f>SUM(C30:L30)</f>
        <v>0</v>
      </c>
      <c r="H4" s="22">
        <f>G4-E4</f>
        <v>-313102.98000000004</v>
      </c>
      <c r="I4" s="22">
        <f>+B42</f>
        <v>568169.73999999964</v>
      </c>
      <c r="J4" s="22">
        <f>SUM(C47:L47)</f>
        <v>15871.199999999999</v>
      </c>
      <c r="K4" s="25">
        <f>SUM(H4:J4)</f>
        <v>270937.95999999961</v>
      </c>
      <c r="L4" s="47">
        <f>+K4-M42</f>
        <v>0</v>
      </c>
    </row>
    <row r="5" spans="1:36" ht="15.75" thickBot="1" x14ac:dyDescent="0.3">
      <c r="A5" s="20" t="s">
        <v>25</v>
      </c>
      <c r="B5" s="20"/>
      <c r="C5" s="20"/>
      <c r="D5" s="20"/>
      <c r="E5" s="22">
        <f>SUM(C19:M21)</f>
        <v>225923.49000000002</v>
      </c>
      <c r="F5" s="128">
        <f>SUM(N25:N27)</f>
        <v>0</v>
      </c>
      <c r="G5" s="22">
        <f>SUM(C31:L33)</f>
        <v>0</v>
      </c>
      <c r="H5" s="22">
        <f>G5-E5</f>
        <v>-225923.49000000002</v>
      </c>
      <c r="I5" s="22">
        <f>+B43</f>
        <v>427490.67427000013</v>
      </c>
      <c r="J5" s="22">
        <f>SUM(C48:L48)</f>
        <v>12057.96</v>
      </c>
      <c r="K5" s="25">
        <f>SUM(H5:J5)</f>
        <v>213625.14427000011</v>
      </c>
      <c r="L5" s="47">
        <f>+K5-M43</f>
        <v>0</v>
      </c>
    </row>
    <row r="6" spans="1:36" ht="16.5" thickTop="1" thickBot="1" x14ac:dyDescent="0.3">
      <c r="E6" s="27">
        <f t="shared" ref="E6" si="0">SUM(E4:E5)</f>
        <v>539026.47000000009</v>
      </c>
      <c r="F6" s="129">
        <f t="shared" ref="F6:I6" si="1">SUM(F4:F5)</f>
        <v>0</v>
      </c>
      <c r="G6" s="27">
        <f t="shared" si="1"/>
        <v>0</v>
      </c>
      <c r="H6" s="27">
        <f t="shared" si="1"/>
        <v>-539026.47000000009</v>
      </c>
      <c r="I6" s="27">
        <f t="shared" si="1"/>
        <v>995660.41426999983</v>
      </c>
      <c r="J6" s="27">
        <f>SUM(J4:J5)</f>
        <v>27929.159999999996</v>
      </c>
      <c r="K6" s="27">
        <f>SUM(K4:K5)</f>
        <v>484563.10426999972</v>
      </c>
      <c r="U6" s="5"/>
    </row>
    <row r="7" spans="1:36" ht="45.75" thickTop="1" x14ac:dyDescent="0.25">
      <c r="K7" s="211"/>
      <c r="L7" s="210" t="s">
        <v>124</v>
      </c>
    </row>
    <row r="8" spans="1:36" x14ac:dyDescent="0.25">
      <c r="A8" s="20" t="s">
        <v>107</v>
      </c>
      <c r="K8" s="25">
        <f>ROUND($K$5*L8,2)</f>
        <v>83760.899999999994</v>
      </c>
      <c r="L8" s="208">
        <f>+'PCR Cycle 2'!K8</f>
        <v>0.39209287804949344</v>
      </c>
      <c r="M8" s="39"/>
    </row>
    <row r="9" spans="1:36" x14ac:dyDescent="0.25">
      <c r="A9" s="20" t="s">
        <v>108</v>
      </c>
      <c r="K9" s="25">
        <f t="shared" ref="K9:K10" si="2">ROUND($K$5*L9,2)</f>
        <v>97062.53</v>
      </c>
      <c r="L9" s="208">
        <f>+'PCR Cycle 2'!K9</f>
        <v>0.45435908608374953</v>
      </c>
      <c r="M9" s="39"/>
    </row>
    <row r="10" spans="1:36" ht="15.75" thickBot="1" x14ac:dyDescent="0.3">
      <c r="A10" s="20" t="s">
        <v>109</v>
      </c>
      <c r="J10" s="4"/>
      <c r="K10" s="25">
        <f t="shared" si="2"/>
        <v>32801.72</v>
      </c>
      <c r="L10" s="208">
        <f>+'PCR Cycle 2'!K10</f>
        <v>0.15354803586675725</v>
      </c>
      <c r="M10" s="39"/>
      <c r="W10" s="4"/>
    </row>
    <row r="11" spans="1:36" ht="16.5" thickTop="1" thickBot="1" x14ac:dyDescent="0.3">
      <c r="A11" s="20" t="s">
        <v>111</v>
      </c>
      <c r="E11" s="47"/>
      <c r="J11" s="47"/>
      <c r="K11" s="27">
        <f>SUM(K8:K10)</f>
        <v>213625.15</v>
      </c>
      <c r="L11" s="209">
        <f>SUM(L8:L10)</f>
        <v>1.0000000000000002</v>
      </c>
      <c r="W11" s="4"/>
      <c r="X11" s="5"/>
    </row>
    <row r="12" spans="1:36" ht="16.5" thickTop="1" thickBot="1" x14ac:dyDescent="0.3">
      <c r="W12" s="4"/>
      <c r="X12" s="5"/>
    </row>
    <row r="13" spans="1:36" ht="105.75" customHeight="1" thickBot="1" x14ac:dyDescent="0.3">
      <c r="B13" s="112" t="str">
        <f>+'PCR Cycle 3'!B10</f>
        <v>Cumulative Over/Under Carryover From 06/01/2023 Filing</v>
      </c>
      <c r="C13" s="143" t="str">
        <f>+'PCR Cycle 3'!C10</f>
        <v>Reverse May 2023 - July 2023 Forecast From 06/01/2023 Filing</v>
      </c>
      <c r="D13" s="196"/>
      <c r="E13" s="363" t="s">
        <v>33</v>
      </c>
      <c r="F13" s="363"/>
      <c r="G13" s="364"/>
      <c r="H13" s="372" t="s">
        <v>33</v>
      </c>
      <c r="I13" s="373"/>
      <c r="J13" s="374"/>
      <c r="K13" s="359" t="s">
        <v>8</v>
      </c>
      <c r="L13" s="360"/>
      <c r="M13" s="361"/>
      <c r="P13" s="281" t="s">
        <v>247</v>
      </c>
    </row>
    <row r="14" spans="1:36" x14ac:dyDescent="0.25">
      <c r="A14" s="46" t="s">
        <v>63</v>
      </c>
      <c r="C14" s="102"/>
      <c r="D14" s="197">
        <f>+'PCR Cycle 3'!D14</f>
        <v>0</v>
      </c>
      <c r="E14" s="19">
        <f>+'PCR Cycle 2'!D14</f>
        <v>45077</v>
      </c>
      <c r="F14" s="19">
        <f t="shared" ref="F14:M14" si="3">EOMONTH(E14,1)</f>
        <v>45107</v>
      </c>
      <c r="G14" s="19">
        <f t="shared" si="3"/>
        <v>45138</v>
      </c>
      <c r="H14" s="14">
        <f t="shared" si="3"/>
        <v>45169</v>
      </c>
      <c r="I14" s="19">
        <f t="shared" si="3"/>
        <v>45199</v>
      </c>
      <c r="J14" s="15">
        <f t="shared" si="3"/>
        <v>45230</v>
      </c>
      <c r="K14" s="19">
        <f t="shared" si="3"/>
        <v>45260</v>
      </c>
      <c r="L14" s="19">
        <f t="shared" si="3"/>
        <v>45291</v>
      </c>
      <c r="M14" s="15">
        <f t="shared" si="3"/>
        <v>45322</v>
      </c>
      <c r="AA14" s="1"/>
      <c r="AB14" s="1"/>
      <c r="AC14" s="1"/>
      <c r="AD14" s="1"/>
      <c r="AE14" s="1"/>
      <c r="AF14" s="1"/>
      <c r="AG14" s="1"/>
      <c r="AH14" s="1"/>
      <c r="AI14" s="1"/>
      <c r="AJ14" s="1"/>
    </row>
    <row r="15" spans="1:36" x14ac:dyDescent="0.25">
      <c r="A15" s="46" t="s">
        <v>5</v>
      </c>
      <c r="C15" s="321">
        <f>+'PCR Cycle 3'!K9</f>
        <v>0</v>
      </c>
      <c r="D15" s="180">
        <f>+D30+D33</f>
        <v>0</v>
      </c>
      <c r="E15" s="106">
        <f t="shared" ref="E15:L15" si="4">SUM(E30:E33)</f>
        <v>0</v>
      </c>
      <c r="F15" s="106">
        <f t="shared" si="4"/>
        <v>0</v>
      </c>
      <c r="G15" s="107">
        <f>SUM(G30:G33)</f>
        <v>0</v>
      </c>
      <c r="H15" s="16">
        <f t="shared" si="4"/>
        <v>0</v>
      </c>
      <c r="I15" s="55">
        <f t="shared" si="4"/>
        <v>0</v>
      </c>
      <c r="J15" s="154">
        <f t="shared" si="4"/>
        <v>0</v>
      </c>
      <c r="K15" s="147">
        <f t="shared" si="4"/>
        <v>0</v>
      </c>
      <c r="L15" s="77">
        <f t="shared" si="4"/>
        <v>0</v>
      </c>
      <c r="M15" s="78"/>
      <c r="P15" s="174">
        <f>-SUM(K15:M15)</f>
        <v>0</v>
      </c>
    </row>
    <row r="16" spans="1:36" x14ac:dyDescent="0.25">
      <c r="C16" s="306"/>
      <c r="D16" s="181"/>
      <c r="E16" s="17"/>
      <c r="F16" s="17"/>
      <c r="G16" s="17"/>
      <c r="H16" s="10"/>
      <c r="I16" s="17"/>
      <c r="J16" s="11"/>
      <c r="K16" s="31"/>
      <c r="L16" s="31"/>
      <c r="M16" s="29"/>
    </row>
    <row r="17" spans="1:16" x14ac:dyDescent="0.25">
      <c r="A17" s="46" t="s">
        <v>62</v>
      </c>
      <c r="C17" s="306"/>
      <c r="D17" s="181"/>
      <c r="E17" s="18"/>
      <c r="F17" s="18"/>
      <c r="G17" s="18"/>
      <c r="H17" s="335"/>
      <c r="I17" s="253"/>
      <c r="J17" s="339"/>
      <c r="K17" s="31"/>
      <c r="L17" s="31"/>
      <c r="M17" s="29"/>
      <c r="N17" s="3" t="s">
        <v>68</v>
      </c>
      <c r="O17" s="39"/>
    </row>
    <row r="18" spans="1:16" x14ac:dyDescent="0.25">
      <c r="A18" s="46" t="s">
        <v>24</v>
      </c>
      <c r="C18" s="321">
        <v>-170314.28</v>
      </c>
      <c r="D18" s="180">
        <v>0</v>
      </c>
      <c r="E18" s="126">
        <f>ROUND('[4]May 2023'!$G52,2)</f>
        <v>42277.5</v>
      </c>
      <c r="F18" s="126">
        <f>ROUND('[4]June 2023'!$G52,2)</f>
        <v>57127.75</v>
      </c>
      <c r="G18" s="126">
        <f>ROUND('[4]July 2023'!$G52,2)</f>
        <v>73004.34</v>
      </c>
      <c r="H18" s="16">
        <f>ROUND('[4]August 2023'!$G52,2)</f>
        <v>59927.95</v>
      </c>
      <c r="I18" s="55">
        <f>ROUND('[4]September 2023'!$G52,2)</f>
        <v>58236.4</v>
      </c>
      <c r="J18" s="157">
        <f>ROUND('[4]October 2023'!$G52,2)</f>
        <v>40258.1</v>
      </c>
      <c r="K18" s="116">
        <f>ROUND('PCR Cycle 2'!J26*'TDR Cycle 2'!$N18,2)</f>
        <v>37342.44</v>
      </c>
      <c r="L18" s="41">
        <f>ROUND('PCR Cycle 2'!K26*'TDR Cycle 2'!$N18,2)</f>
        <v>51770.85</v>
      </c>
      <c r="M18" s="61">
        <f>ROUND('PCR Cycle 2'!L26*'TDR Cycle 2'!$N18,2)</f>
        <v>63471.93</v>
      </c>
      <c r="N18" s="72">
        <v>1.6000000000000001E-4</v>
      </c>
      <c r="O18" s="4"/>
      <c r="P18" s="174">
        <f t="shared" ref="P18:P21" si="5">-SUM(K18:M18)</f>
        <v>-152585.22</v>
      </c>
    </row>
    <row r="19" spans="1:16" x14ac:dyDescent="0.25">
      <c r="A19" s="46" t="s">
        <v>107</v>
      </c>
      <c r="C19" s="321">
        <v>-62185.740000000005</v>
      </c>
      <c r="D19" s="180"/>
      <c r="E19" s="126">
        <f>ROUND('[4]May 2023'!$G53,2)</f>
        <v>17336.560000000001</v>
      </c>
      <c r="F19" s="126">
        <f>ROUND('[4]June 2023'!$G53,2)</f>
        <v>21116.54</v>
      </c>
      <c r="G19" s="126">
        <f>ROUND('[4]July 2023'!$G53,2)</f>
        <v>23593.13</v>
      </c>
      <c r="H19" s="16">
        <f>ROUND('[4]August 2023'!$G53,2)</f>
        <v>18165.810000000001</v>
      </c>
      <c r="I19" s="55">
        <f>ROUND('[4]September 2023'!$G53,2)</f>
        <v>17873.54</v>
      </c>
      <c r="J19" s="157">
        <f>ROUND('[4]October 2023'!$G53,2)</f>
        <v>15249.3</v>
      </c>
      <c r="K19" s="116">
        <f>ROUND('PCR Cycle 2'!J27*'TDR Cycle 2'!$N19,2)</f>
        <v>13859.95</v>
      </c>
      <c r="L19" s="41">
        <f>ROUND('PCR Cycle 2'!K27*'TDR Cycle 2'!$N19,2)</f>
        <v>14291.04</v>
      </c>
      <c r="M19" s="61">
        <f>ROUND('PCR Cycle 2'!L27*'TDR Cycle 2'!$N19,2)</f>
        <v>14984.22</v>
      </c>
      <c r="N19" s="72">
        <v>1.3999999999999999E-4</v>
      </c>
      <c r="O19" s="4"/>
      <c r="P19" s="174">
        <f t="shared" si="5"/>
        <v>-43135.21</v>
      </c>
    </row>
    <row r="20" spans="1:16" x14ac:dyDescent="0.25">
      <c r="A20" s="46" t="s">
        <v>108</v>
      </c>
      <c r="C20" s="321">
        <v>-67219.72</v>
      </c>
      <c r="D20" s="180"/>
      <c r="E20" s="126">
        <f>ROUND('[4]May 2023'!$G54,2)</f>
        <v>19573.919999999998</v>
      </c>
      <c r="F20" s="126">
        <f>ROUND('[4]June 2023'!$G54,2)</f>
        <v>22319.23</v>
      </c>
      <c r="G20" s="126">
        <f>ROUND('[4]July 2023'!$G54,2)</f>
        <v>24064.18</v>
      </c>
      <c r="H20" s="16">
        <f>ROUND('[4]August 2023'!$G54,2)</f>
        <v>18228.29</v>
      </c>
      <c r="I20" s="55">
        <f>ROUND('[4]September 2023'!$G54,2)</f>
        <v>18222.02</v>
      </c>
      <c r="J20" s="157">
        <f>ROUND('[4]October 2023'!$G54,2)</f>
        <v>15947.95</v>
      </c>
      <c r="K20" s="116">
        <f>ROUND('PCR Cycle 2'!J28*'TDR Cycle 2'!$N20,2)</f>
        <v>15028.45</v>
      </c>
      <c r="L20" s="41">
        <f>ROUND('PCR Cycle 2'!K28*'TDR Cycle 2'!$N20,2)</f>
        <v>15495.88</v>
      </c>
      <c r="M20" s="61">
        <f>ROUND('PCR Cycle 2'!L28*'TDR Cycle 2'!$N20,2)</f>
        <v>16247.51</v>
      </c>
      <c r="N20" s="72">
        <v>1.7000000000000001E-4</v>
      </c>
      <c r="O20" s="4"/>
      <c r="P20" s="174">
        <f t="shared" si="5"/>
        <v>-46771.840000000004</v>
      </c>
    </row>
    <row r="21" spans="1:16" x14ac:dyDescent="0.25">
      <c r="A21" s="46" t="s">
        <v>109</v>
      </c>
      <c r="C21" s="321">
        <v>-21508.36</v>
      </c>
      <c r="D21" s="180">
        <v>0</v>
      </c>
      <c r="E21" s="126">
        <f>ROUND('[4]May 2023'!$G55,2)</f>
        <v>6422.07</v>
      </c>
      <c r="F21" s="126">
        <f>ROUND('[4]June 2023'!$G55,2)</f>
        <v>6889.13</v>
      </c>
      <c r="G21" s="126">
        <f>ROUND('[4]July 2023'!$G55,2)</f>
        <v>7316.84</v>
      </c>
      <c r="H21" s="16">
        <f>ROUND('[4]August 2023'!$G55,2)</f>
        <v>6172.99</v>
      </c>
      <c r="I21" s="55">
        <f>ROUND('[4]September 2023'!$G55,2)</f>
        <v>5995.22</v>
      </c>
      <c r="J21" s="157">
        <f>ROUND('[4]October 2023'!$G55,2)</f>
        <v>5877.29</v>
      </c>
      <c r="K21" s="116">
        <f>ROUND('PCR Cycle 2'!J29*'TDR Cycle 2'!$N21,2)</f>
        <v>5322.97</v>
      </c>
      <c r="L21" s="41">
        <f>ROUND('PCR Cycle 2'!K29*'TDR Cycle 2'!$N21,2)</f>
        <v>5488.53</v>
      </c>
      <c r="M21" s="61">
        <f>ROUND('PCR Cycle 2'!L29*'TDR Cycle 2'!$N21,2)</f>
        <v>5754.75</v>
      </c>
      <c r="N21" s="72">
        <v>9.0000000000000006E-5</v>
      </c>
      <c r="O21" s="4"/>
      <c r="P21" s="174">
        <f t="shared" si="5"/>
        <v>-16566.25</v>
      </c>
    </row>
    <row r="22" spans="1:16" x14ac:dyDescent="0.25">
      <c r="C22" s="310"/>
      <c r="D22" s="182"/>
      <c r="E22" s="68"/>
      <c r="F22" s="68"/>
      <c r="G22" s="68"/>
      <c r="H22" s="67"/>
      <c r="I22" s="68"/>
      <c r="J22" s="156"/>
      <c r="K22" s="56"/>
      <c r="L22" s="56"/>
      <c r="M22" s="13"/>
      <c r="O22" s="4"/>
    </row>
    <row r="23" spans="1:16" x14ac:dyDescent="0.25">
      <c r="A23" s="39" t="s">
        <v>66</v>
      </c>
      <c r="B23" s="39"/>
      <c r="C23" s="310"/>
      <c r="D23" s="182"/>
      <c r="E23" s="68"/>
      <c r="F23" s="68"/>
      <c r="G23" s="68"/>
      <c r="H23" s="67"/>
      <c r="I23" s="68"/>
      <c r="J23" s="344"/>
      <c r="K23" s="56"/>
      <c r="L23" s="56"/>
      <c r="M23" s="13"/>
      <c r="N23" s="7"/>
    </row>
    <row r="24" spans="1:16" x14ac:dyDescent="0.25">
      <c r="A24" s="46" t="s">
        <v>24</v>
      </c>
      <c r="C24" s="322">
        <v>0</v>
      </c>
      <c r="D24" s="183"/>
      <c r="E24" s="108">
        <v>0</v>
      </c>
      <c r="F24" s="108">
        <v>0</v>
      </c>
      <c r="G24" s="118">
        <v>0</v>
      </c>
      <c r="H24" s="73">
        <v>0</v>
      </c>
      <c r="I24" s="74">
        <v>0</v>
      </c>
      <c r="J24" s="157">
        <v>0</v>
      </c>
      <c r="K24" s="148">
        <v>0</v>
      </c>
      <c r="L24" s="134">
        <v>0</v>
      </c>
      <c r="M24" s="79"/>
      <c r="N24" s="59">
        <f>SUM(C24:L24)</f>
        <v>0</v>
      </c>
      <c r="P24" s="174">
        <f t="shared" ref="P24:P27" si="6">-SUM(K24:M24)</f>
        <v>0</v>
      </c>
    </row>
    <row r="25" spans="1:16" x14ac:dyDescent="0.25">
      <c r="A25" s="46" t="s">
        <v>107</v>
      </c>
      <c r="C25" s="322">
        <v>0</v>
      </c>
      <c r="D25" s="183"/>
      <c r="E25" s="108">
        <v>0</v>
      </c>
      <c r="F25" s="108">
        <v>0</v>
      </c>
      <c r="G25" s="118">
        <v>0</v>
      </c>
      <c r="H25" s="73">
        <v>0</v>
      </c>
      <c r="I25" s="74">
        <v>0</v>
      </c>
      <c r="J25" s="157">
        <v>0</v>
      </c>
      <c r="K25" s="148">
        <v>0</v>
      </c>
      <c r="L25" s="134">
        <v>0</v>
      </c>
      <c r="M25" s="79"/>
      <c r="N25" s="59">
        <f t="shared" ref="N25:N27" si="7">SUM(C25:L25)</f>
        <v>0</v>
      </c>
      <c r="P25" s="174">
        <f t="shared" si="6"/>
        <v>0</v>
      </c>
    </row>
    <row r="26" spans="1:16" x14ac:dyDescent="0.25">
      <c r="A26" s="46" t="s">
        <v>108</v>
      </c>
      <c r="C26" s="322">
        <v>0</v>
      </c>
      <c r="D26" s="183"/>
      <c r="E26" s="108">
        <v>0</v>
      </c>
      <c r="F26" s="108">
        <v>0</v>
      </c>
      <c r="G26" s="118">
        <v>0</v>
      </c>
      <c r="H26" s="73">
        <v>0</v>
      </c>
      <c r="I26" s="74">
        <v>0</v>
      </c>
      <c r="J26" s="157">
        <v>0</v>
      </c>
      <c r="K26" s="148">
        <v>0</v>
      </c>
      <c r="L26" s="134">
        <v>0</v>
      </c>
      <c r="M26" s="79"/>
      <c r="N26" s="59">
        <f t="shared" si="7"/>
        <v>0</v>
      </c>
      <c r="P26" s="174">
        <f t="shared" si="6"/>
        <v>0</v>
      </c>
    </row>
    <row r="27" spans="1:16" x14ac:dyDescent="0.25">
      <c r="A27" s="46" t="s">
        <v>109</v>
      </c>
      <c r="C27" s="322">
        <v>0</v>
      </c>
      <c r="D27" s="183"/>
      <c r="E27" s="108">
        <v>0</v>
      </c>
      <c r="F27" s="108">
        <v>0</v>
      </c>
      <c r="G27" s="118">
        <v>0</v>
      </c>
      <c r="H27" s="73">
        <v>0</v>
      </c>
      <c r="I27" s="74">
        <v>0</v>
      </c>
      <c r="J27" s="157">
        <v>0</v>
      </c>
      <c r="K27" s="148">
        <v>0</v>
      </c>
      <c r="L27" s="134">
        <v>0</v>
      </c>
      <c r="M27" s="79"/>
      <c r="N27" s="59">
        <f t="shared" si="7"/>
        <v>0</v>
      </c>
      <c r="P27" s="174">
        <f t="shared" si="6"/>
        <v>0</v>
      </c>
    </row>
    <row r="28" spans="1:16" x14ac:dyDescent="0.25">
      <c r="C28" s="310"/>
      <c r="D28" s="182"/>
      <c r="E28" s="68"/>
      <c r="F28" s="68"/>
      <c r="G28" s="68"/>
      <c r="H28" s="67"/>
      <c r="I28" s="68"/>
      <c r="J28" s="156"/>
      <c r="K28" s="56"/>
      <c r="L28" s="56"/>
      <c r="M28" s="13"/>
    </row>
    <row r="29" spans="1:16" x14ac:dyDescent="0.25">
      <c r="A29" s="46" t="s">
        <v>69</v>
      </c>
      <c r="C29" s="323"/>
      <c r="D29" s="184"/>
      <c r="E29" s="37"/>
      <c r="F29" s="37"/>
      <c r="G29" s="37"/>
      <c r="H29" s="36"/>
      <c r="I29" s="37"/>
      <c r="J29" s="158"/>
      <c r="K29" s="52"/>
      <c r="L29" s="52"/>
      <c r="M29" s="38"/>
    </row>
    <row r="30" spans="1:16" x14ac:dyDescent="0.25">
      <c r="A30" s="46" t="s">
        <v>24</v>
      </c>
      <c r="C30" s="321">
        <v>0</v>
      </c>
      <c r="D30" s="180"/>
      <c r="E30" s="126">
        <v>0</v>
      </c>
      <c r="F30" s="126">
        <v>0</v>
      </c>
      <c r="G30" s="126">
        <v>0</v>
      </c>
      <c r="H30" s="16">
        <v>0</v>
      </c>
      <c r="I30" s="55">
        <v>0</v>
      </c>
      <c r="J30" s="157">
        <v>0</v>
      </c>
      <c r="K30" s="149">
        <v>0</v>
      </c>
      <c r="L30" s="133">
        <v>0</v>
      </c>
      <c r="M30" s="78"/>
      <c r="P30" s="174">
        <f t="shared" ref="P30:P35" si="8">-SUM(K30:M30)</f>
        <v>0</v>
      </c>
    </row>
    <row r="31" spans="1:16" x14ac:dyDescent="0.25">
      <c r="A31" s="46" t="s">
        <v>107</v>
      </c>
      <c r="C31" s="321">
        <v>0</v>
      </c>
      <c r="D31" s="180"/>
      <c r="E31" s="126">
        <v>0</v>
      </c>
      <c r="F31" s="126">
        <v>0</v>
      </c>
      <c r="G31" s="126">
        <v>0</v>
      </c>
      <c r="H31" s="16">
        <v>0</v>
      </c>
      <c r="I31" s="55">
        <v>0</v>
      </c>
      <c r="J31" s="157">
        <v>0</v>
      </c>
      <c r="K31" s="149">
        <v>0</v>
      </c>
      <c r="L31" s="133">
        <v>0</v>
      </c>
      <c r="M31" s="78"/>
      <c r="P31" s="174">
        <f t="shared" si="8"/>
        <v>0</v>
      </c>
    </row>
    <row r="32" spans="1:16" x14ac:dyDescent="0.25">
      <c r="A32" s="46" t="s">
        <v>108</v>
      </c>
      <c r="C32" s="321">
        <v>0</v>
      </c>
      <c r="D32" s="180"/>
      <c r="E32" s="126">
        <v>0</v>
      </c>
      <c r="F32" s="126">
        <v>0</v>
      </c>
      <c r="G32" s="126">
        <v>0</v>
      </c>
      <c r="H32" s="16">
        <v>0</v>
      </c>
      <c r="I32" s="55">
        <v>0</v>
      </c>
      <c r="J32" s="157">
        <v>0</v>
      </c>
      <c r="K32" s="149">
        <v>0</v>
      </c>
      <c r="L32" s="133">
        <v>0</v>
      </c>
      <c r="M32" s="78"/>
      <c r="P32" s="174">
        <f t="shared" si="8"/>
        <v>0</v>
      </c>
    </row>
    <row r="33" spans="1:16" x14ac:dyDescent="0.25">
      <c r="A33" s="46" t="s">
        <v>109</v>
      </c>
      <c r="C33" s="321">
        <v>0</v>
      </c>
      <c r="D33" s="180"/>
      <c r="E33" s="126">
        <v>0</v>
      </c>
      <c r="F33" s="126">
        <v>0</v>
      </c>
      <c r="G33" s="126">
        <v>0</v>
      </c>
      <c r="H33" s="16">
        <v>0</v>
      </c>
      <c r="I33" s="55">
        <v>0</v>
      </c>
      <c r="J33" s="157">
        <v>0</v>
      </c>
      <c r="K33" s="149">
        <v>0</v>
      </c>
      <c r="L33" s="133">
        <v>0</v>
      </c>
      <c r="M33" s="78"/>
      <c r="O33" s="47"/>
      <c r="P33" s="174">
        <f t="shared" si="8"/>
        <v>0</v>
      </c>
    </row>
    <row r="34" spans="1:16" x14ac:dyDescent="0.25">
      <c r="C34" s="306"/>
      <c r="D34" s="181"/>
      <c r="E34" s="18"/>
      <c r="F34" s="18"/>
      <c r="G34" s="18"/>
      <c r="H34" s="90"/>
      <c r="I34" s="18"/>
      <c r="J34" s="155"/>
      <c r="K34" s="56"/>
      <c r="L34" s="56"/>
      <c r="M34" s="13"/>
    </row>
    <row r="35" spans="1:16" ht="15.75" thickBot="1" x14ac:dyDescent="0.3">
      <c r="A35" s="3" t="s">
        <v>15</v>
      </c>
      <c r="B35" s="3"/>
      <c r="C35" s="324">
        <v>-12581.75</v>
      </c>
      <c r="D35" s="185"/>
      <c r="E35" s="126">
        <v>6702.1</v>
      </c>
      <c r="F35" s="126">
        <v>6278.63</v>
      </c>
      <c r="G35" s="127">
        <v>5821.1200000000008</v>
      </c>
      <c r="H35" s="26">
        <v>5283.43</v>
      </c>
      <c r="I35" s="115">
        <v>4754.0599999999995</v>
      </c>
      <c r="J35" s="159">
        <v>4290.8599999999997</v>
      </c>
      <c r="K35" s="150">
        <v>3900.26</v>
      </c>
      <c r="L35" s="135">
        <v>3480.42</v>
      </c>
      <c r="M35" s="81"/>
      <c r="P35" s="174">
        <f t="shared" si="8"/>
        <v>-7380.68</v>
      </c>
    </row>
    <row r="36" spans="1:16" x14ac:dyDescent="0.25">
      <c r="C36" s="64"/>
      <c r="D36" s="188"/>
      <c r="E36" s="66"/>
      <c r="F36" s="66"/>
      <c r="G36" s="33"/>
      <c r="H36" s="64"/>
      <c r="I36" s="33"/>
      <c r="J36" s="160"/>
      <c r="K36" s="34"/>
      <c r="L36" s="34"/>
      <c r="M36" s="60"/>
    </row>
    <row r="37" spans="1:16" x14ac:dyDescent="0.25">
      <c r="A37" s="46" t="s">
        <v>52</v>
      </c>
      <c r="C37" s="65"/>
      <c r="D37" s="189"/>
      <c r="E37" s="35"/>
      <c r="F37" s="35"/>
      <c r="G37" s="35"/>
      <c r="H37" s="65"/>
      <c r="I37" s="35"/>
      <c r="J37" s="161"/>
      <c r="K37" s="34"/>
      <c r="L37" s="34"/>
      <c r="M37" s="60"/>
    </row>
    <row r="38" spans="1:16" x14ac:dyDescent="0.25">
      <c r="A38" s="46" t="s">
        <v>24</v>
      </c>
      <c r="C38" s="186">
        <f t="shared" ref="C38:M38" si="9">C30-C18</f>
        <v>170314.28</v>
      </c>
      <c r="D38" s="190">
        <f t="shared" si="9"/>
        <v>0</v>
      </c>
      <c r="E38" s="41">
        <f t="shared" si="9"/>
        <v>-42277.5</v>
      </c>
      <c r="F38" s="41">
        <f>F30-F18</f>
        <v>-57127.75</v>
      </c>
      <c r="G38" s="105">
        <f>G30-G18</f>
        <v>-73004.34</v>
      </c>
      <c r="H38" s="40">
        <f>H30-H18</f>
        <v>-59927.95</v>
      </c>
      <c r="I38" s="41">
        <f>I30-I18</f>
        <v>-58236.4</v>
      </c>
      <c r="J38" s="61">
        <f>J30-J18</f>
        <v>-40258.1</v>
      </c>
      <c r="K38" s="116">
        <f t="shared" si="9"/>
        <v>-37342.44</v>
      </c>
      <c r="L38" s="41">
        <f t="shared" si="9"/>
        <v>-51770.85</v>
      </c>
      <c r="M38" s="61">
        <f t="shared" si="9"/>
        <v>-63471.93</v>
      </c>
    </row>
    <row r="39" spans="1:16" x14ac:dyDescent="0.25">
      <c r="A39" s="46" t="s">
        <v>25</v>
      </c>
      <c r="C39" s="186">
        <f>SUM(C31:C33)-SUM(C19:C21)</f>
        <v>150913.82</v>
      </c>
      <c r="D39" s="190">
        <f t="shared" ref="D39:M39" si="10">SUM(D31:D33)-SUM(D19:D21)</f>
        <v>0</v>
      </c>
      <c r="E39" s="41">
        <f t="shared" si="10"/>
        <v>-43332.549999999996</v>
      </c>
      <c r="F39" s="41">
        <f>SUM(F31:F33)-SUM(F19:F21)</f>
        <v>-50324.9</v>
      </c>
      <c r="G39" s="105">
        <f>SUM(G31:G33)-SUM(G19:G21)</f>
        <v>-54974.149999999994</v>
      </c>
      <c r="H39" s="40">
        <f>SUM(H31:H33)-SUM(H19:H21)</f>
        <v>-42567.090000000004</v>
      </c>
      <c r="I39" s="41">
        <f>SUM(I31:I33)-SUM(I19:I21)</f>
        <v>-42090.78</v>
      </c>
      <c r="J39" s="61">
        <f>SUM(J31:J33)-SUM(J19:J21)</f>
        <v>-37074.54</v>
      </c>
      <c r="K39" s="116">
        <f t="shared" si="10"/>
        <v>-34211.370000000003</v>
      </c>
      <c r="L39" s="41">
        <f t="shared" si="10"/>
        <v>-35275.449999999997</v>
      </c>
      <c r="M39" s="61">
        <f t="shared" si="10"/>
        <v>-36986.479999999996</v>
      </c>
    </row>
    <row r="40" spans="1:16" x14ac:dyDescent="0.25">
      <c r="C40" s="98"/>
      <c r="D40" s="181"/>
      <c r="E40" s="17"/>
      <c r="F40" s="17"/>
      <c r="G40" s="17"/>
      <c r="H40" s="10"/>
      <c r="I40" s="17"/>
      <c r="J40" s="11"/>
      <c r="K40" s="17"/>
      <c r="L40" s="17"/>
      <c r="M40" s="11"/>
    </row>
    <row r="41" spans="1:16" ht="15.75" thickBot="1" x14ac:dyDescent="0.3">
      <c r="A41" s="46" t="s">
        <v>53</v>
      </c>
      <c r="C41" s="98"/>
      <c r="D41" s="181"/>
      <c r="E41" s="17"/>
      <c r="F41" s="17"/>
      <c r="G41" s="17"/>
      <c r="H41" s="10"/>
      <c r="I41" s="17"/>
      <c r="J41" s="11"/>
      <c r="K41" s="17"/>
      <c r="L41" s="17"/>
      <c r="M41" s="11"/>
    </row>
    <row r="42" spans="1:16" x14ac:dyDescent="0.25">
      <c r="A42" s="46" t="s">
        <v>24</v>
      </c>
      <c r="B42" s="312">
        <v>568169.73999999964</v>
      </c>
      <c r="C42" s="186">
        <f t="shared" ref="C42:E43" si="11">+B42+C38+B47</f>
        <v>738484.01999999967</v>
      </c>
      <c r="D42" s="190">
        <f t="shared" si="11"/>
        <v>731365.34999999963</v>
      </c>
      <c r="E42" s="41">
        <f t="shared" si="11"/>
        <v>689087.84999999963</v>
      </c>
      <c r="F42" s="41">
        <f t="shared" ref="F42:M42" si="12">+E42+F38+E47</f>
        <v>635733.38999999966</v>
      </c>
      <c r="G42" s="105">
        <f>+F42+G38+F47</f>
        <v>566288.81999999972</v>
      </c>
      <c r="H42" s="40">
        <f t="shared" si="12"/>
        <v>509670.43999999971</v>
      </c>
      <c r="I42" s="41">
        <f t="shared" si="12"/>
        <v>454432.62999999971</v>
      </c>
      <c r="J42" s="61">
        <f t="shared" si="12"/>
        <v>416864.17999999976</v>
      </c>
      <c r="K42" s="116">
        <f t="shared" si="12"/>
        <v>381954.95999999973</v>
      </c>
      <c r="L42" s="41">
        <f t="shared" si="12"/>
        <v>332414.83999999973</v>
      </c>
      <c r="M42" s="61">
        <f t="shared" si="12"/>
        <v>270937.95999999973</v>
      </c>
    </row>
    <row r="43" spans="1:16" ht="15.75" thickBot="1" x14ac:dyDescent="0.3">
      <c r="A43" s="46" t="s">
        <v>25</v>
      </c>
      <c r="B43" s="313">
        <v>427490.67427000013</v>
      </c>
      <c r="C43" s="186">
        <f t="shared" si="11"/>
        <v>578404.49427000014</v>
      </c>
      <c r="D43" s="190">
        <f t="shared" si="11"/>
        <v>572941.42427000019</v>
      </c>
      <c r="E43" s="41">
        <f t="shared" si="11"/>
        <v>529608.87427000015</v>
      </c>
      <c r="F43" s="41">
        <f t="shared" ref="F43:M43" si="13">+E43+F39+E48</f>
        <v>482212.78427000012</v>
      </c>
      <c r="G43" s="105">
        <f>+F43+G39+F48</f>
        <v>429957.50427000015</v>
      </c>
      <c r="H43" s="40">
        <f t="shared" si="13"/>
        <v>389901.97427000012</v>
      </c>
      <c r="I43" s="41">
        <f t="shared" si="13"/>
        <v>350096.03427000012</v>
      </c>
      <c r="J43" s="61">
        <f t="shared" si="13"/>
        <v>315085.89427000016</v>
      </c>
      <c r="K43" s="116">
        <f t="shared" si="13"/>
        <v>282732.17427000019</v>
      </c>
      <c r="L43" s="41">
        <f t="shared" si="13"/>
        <v>249126.25427000018</v>
      </c>
      <c r="M43" s="61">
        <f t="shared" si="13"/>
        <v>213625.14427000016</v>
      </c>
    </row>
    <row r="44" spans="1:16" x14ac:dyDescent="0.25">
      <c r="C44" s="98"/>
      <c r="D44" s="181"/>
      <c r="E44" s="17"/>
      <c r="F44" s="17"/>
      <c r="G44" s="17"/>
      <c r="H44" s="10"/>
      <c r="I44" s="17"/>
      <c r="J44" s="11"/>
      <c r="K44" s="17"/>
      <c r="L44" s="17"/>
      <c r="M44" s="11"/>
    </row>
    <row r="45" spans="1:16" x14ac:dyDescent="0.25">
      <c r="A45" s="39" t="s">
        <v>123</v>
      </c>
      <c r="B45" s="39"/>
      <c r="C45" s="101"/>
      <c r="D45" s="191"/>
      <c r="E45" s="325">
        <f>+'PCR Cycle 3'!E45</f>
        <v>5.3128000000000003E-3</v>
      </c>
      <c r="F45" s="325">
        <f>+'PCR Cycle 3'!F45</f>
        <v>5.3587000000000001E-3</v>
      </c>
      <c r="G45" s="325">
        <f>+'PCR Cycle 3'!G45</f>
        <v>5.4904100000000003E-3</v>
      </c>
      <c r="H45" s="326">
        <f>+'PCR Cycle 3'!H45</f>
        <v>5.5567100000000003E-3</v>
      </c>
      <c r="I45" s="325">
        <f>+'PCR Cycle 3'!I45</f>
        <v>5.5623000000000001E-3</v>
      </c>
      <c r="J45" s="327">
        <f>+'PCR Cycle 3'!J45</f>
        <v>5.5681000000000003E-3</v>
      </c>
      <c r="K45" s="326">
        <f>+'PCR Cycle 3'!K45</f>
        <v>5.5681000000000003E-3</v>
      </c>
      <c r="L45" s="325">
        <f>+'PCR Cycle 3'!L45</f>
        <v>5.5681000000000003E-3</v>
      </c>
      <c r="M45" s="327"/>
    </row>
    <row r="46" spans="1:16" x14ac:dyDescent="0.25">
      <c r="A46" s="39" t="s">
        <v>37</v>
      </c>
      <c r="B46" s="39"/>
      <c r="C46" s="103"/>
      <c r="D46" s="192"/>
      <c r="E46" s="82"/>
      <c r="F46" s="82"/>
      <c r="G46" s="82"/>
      <c r="H46" s="83"/>
      <c r="I46" s="82"/>
      <c r="J46" s="84"/>
      <c r="K46" s="82"/>
      <c r="L46" s="82"/>
      <c r="M46" s="84"/>
    </row>
    <row r="47" spans="1:16" x14ac:dyDescent="0.25">
      <c r="A47" s="46" t="s">
        <v>24</v>
      </c>
      <c r="C47" s="320">
        <v>-7118.67</v>
      </c>
      <c r="D47" s="190"/>
      <c r="E47" s="41">
        <f>ROUND((D42+D47+E38/2)*E$45,2)</f>
        <v>3773.29</v>
      </c>
      <c r="F47" s="41">
        <f t="shared" ref="F47:F48" si="14">ROUND((E42+E47+F38/2)*F$45,2)</f>
        <v>3559.77</v>
      </c>
      <c r="G47" s="105">
        <f t="shared" ref="G47:G48" si="15">ROUND((F42+F47+G38/2)*G$45,2)</f>
        <v>3309.57</v>
      </c>
      <c r="H47" s="40">
        <f t="shared" ref="H47:H48" si="16">ROUND((G42+G47+H38/2)*H$45,2)</f>
        <v>2998.59</v>
      </c>
      <c r="I47" s="116">
        <f t="shared" ref="I47:J48" si="17">ROUND((H42+H47+I38/2)*I$45,2)</f>
        <v>2689.65</v>
      </c>
      <c r="J47" s="61">
        <f t="shared" si="17"/>
        <v>2433.2199999999998</v>
      </c>
      <c r="K47" s="151">
        <f t="shared" ref="K47:K48" si="18">ROUND((J42+J47+K38/2)*K$45,2)</f>
        <v>2230.73</v>
      </c>
      <c r="L47" s="105">
        <f t="shared" ref="L47:L48" si="19">ROUND((K42+K47+L38/2)*L$45,2)</f>
        <v>1995.05</v>
      </c>
      <c r="M47" s="61">
        <f t="shared" ref="M47:M48" si="20">ROUND((L42+L47+M38/2)*M$45,2)</f>
        <v>0</v>
      </c>
      <c r="P47" s="174">
        <f t="shared" ref="P47:P48" si="21">-SUM(K47:M47)</f>
        <v>-4225.78</v>
      </c>
    </row>
    <row r="48" spans="1:16" ht="15.75" thickBot="1" x14ac:dyDescent="0.3">
      <c r="A48" s="46" t="s">
        <v>25</v>
      </c>
      <c r="C48" s="320">
        <v>-5463.07</v>
      </c>
      <c r="D48" s="190"/>
      <c r="E48" s="41">
        <f>ROUND((D43+D48+E39/2)*E$45,2)</f>
        <v>2928.81</v>
      </c>
      <c r="F48" s="41">
        <f t="shared" si="14"/>
        <v>2718.87</v>
      </c>
      <c r="G48" s="105">
        <f t="shared" si="15"/>
        <v>2511.56</v>
      </c>
      <c r="H48" s="40">
        <f t="shared" si="16"/>
        <v>2284.84</v>
      </c>
      <c r="I48" s="116">
        <f t="shared" si="17"/>
        <v>2064.4</v>
      </c>
      <c r="J48" s="61">
        <f t="shared" si="17"/>
        <v>1857.65</v>
      </c>
      <c r="K48" s="151">
        <f t="shared" si="18"/>
        <v>1669.53</v>
      </c>
      <c r="L48" s="105">
        <f t="shared" si="19"/>
        <v>1485.37</v>
      </c>
      <c r="M48" s="61">
        <f t="shared" si="20"/>
        <v>0</v>
      </c>
      <c r="P48" s="174">
        <f t="shared" si="21"/>
        <v>-3154.8999999999996</v>
      </c>
    </row>
    <row r="49" spans="1:13" ht="16.5" thickTop="1" thickBot="1" x14ac:dyDescent="0.3">
      <c r="A49" s="54" t="s">
        <v>22</v>
      </c>
      <c r="B49" s="54"/>
      <c r="C49" s="187">
        <v>0</v>
      </c>
      <c r="D49" s="193"/>
      <c r="E49" s="42">
        <f>SUM(E47:E48)+SUM(E42:E43)-E52</f>
        <v>0</v>
      </c>
      <c r="F49" s="42">
        <f t="shared" ref="F49:M49" si="22">SUM(F47:F48)+SUM(F42:F43)-F52</f>
        <v>0</v>
      </c>
      <c r="G49" s="50">
        <f t="shared" si="22"/>
        <v>0</v>
      </c>
      <c r="H49" s="51">
        <f t="shared" si="22"/>
        <v>0</v>
      </c>
      <c r="I49" s="42">
        <f t="shared" si="22"/>
        <v>0</v>
      </c>
      <c r="J49" s="62">
        <f t="shared" si="22"/>
        <v>0</v>
      </c>
      <c r="K49" s="152">
        <f t="shared" si="22"/>
        <v>0</v>
      </c>
      <c r="L49" s="50">
        <f t="shared" si="22"/>
        <v>0</v>
      </c>
      <c r="M49" s="62">
        <f t="shared" si="22"/>
        <v>0</v>
      </c>
    </row>
    <row r="50" spans="1:13" ht="16.5" thickTop="1" thickBot="1" x14ac:dyDescent="0.3">
      <c r="A50" s="54" t="s">
        <v>23</v>
      </c>
      <c r="B50" s="54"/>
      <c r="C50" s="187">
        <v>0</v>
      </c>
      <c r="D50" s="193"/>
      <c r="E50" s="42">
        <f>SUM(E47:E48)-E35</f>
        <v>0</v>
      </c>
      <c r="F50" s="42">
        <f t="shared" ref="F50:J50" si="23">SUM(F47:F48)-F35</f>
        <v>9.999999999308784E-3</v>
      </c>
      <c r="G50" s="50">
        <f t="shared" ref="G50:I50" si="24">SUM(G47:G48)-G35</f>
        <v>9.999999999308784E-3</v>
      </c>
      <c r="H50" s="51">
        <f t="shared" si="24"/>
        <v>0</v>
      </c>
      <c r="I50" s="42">
        <f t="shared" si="24"/>
        <v>-9.999999999308784E-3</v>
      </c>
      <c r="J50" s="62">
        <f t="shared" si="23"/>
        <v>1.0000000000218279E-2</v>
      </c>
      <c r="K50" s="153">
        <f t="shared" ref="K50:M50" si="25">SUM(K47:K48)-K35</f>
        <v>0</v>
      </c>
      <c r="L50" s="42">
        <f t="shared" si="25"/>
        <v>0</v>
      </c>
      <c r="M50" s="42">
        <f t="shared" si="25"/>
        <v>0</v>
      </c>
    </row>
    <row r="51" spans="1:13" ht="16.5" thickTop="1" thickBot="1" x14ac:dyDescent="0.3">
      <c r="C51" s="98"/>
      <c r="D51" s="181"/>
      <c r="E51" s="17"/>
      <c r="F51" s="17"/>
      <c r="G51" s="17"/>
      <c r="H51" s="10"/>
      <c r="I51" s="17"/>
      <c r="J51" s="11"/>
      <c r="K51" s="17"/>
      <c r="L51" s="17"/>
      <c r="M51" s="11"/>
    </row>
    <row r="52" spans="1:13" ht="15.75" thickBot="1" x14ac:dyDescent="0.3">
      <c r="A52" s="46" t="s">
        <v>36</v>
      </c>
      <c r="B52" s="113">
        <f>+B42+B43</f>
        <v>995660.41426999983</v>
      </c>
      <c r="C52" s="186">
        <f t="shared" ref="C52:M52" si="26">(C15-SUM(C18:C21))+SUM(C47:C48)+B52</f>
        <v>1304306.7742699999</v>
      </c>
      <c r="D52" s="190">
        <f t="shared" si="26"/>
        <v>1304306.7742699999</v>
      </c>
      <c r="E52" s="41">
        <f t="shared" si="26"/>
        <v>1225398.82427</v>
      </c>
      <c r="F52" s="41">
        <f>(F15-SUM(F18:F21))+SUM(F47:F48)+E52</f>
        <v>1124224.81427</v>
      </c>
      <c r="G52" s="105">
        <f>(G15-SUM(G18:G21))+SUM(G47:G48)+F52</f>
        <v>1002067.45427</v>
      </c>
      <c r="H52" s="40">
        <f>(H15-SUM(H18:H21))+SUM(H47:H48)+G52</f>
        <v>904855.84427</v>
      </c>
      <c r="I52" s="41">
        <f>(I15-SUM(I18:I21))+SUM(I47:I48)+H52</f>
        <v>809282.71427</v>
      </c>
      <c r="J52" s="61">
        <f>(J15-SUM(J18:J21))+SUM(J47:J48)+I52</f>
        <v>736240.94426999998</v>
      </c>
      <c r="K52" s="151">
        <f t="shared" si="26"/>
        <v>668587.39426999993</v>
      </c>
      <c r="L52" s="105">
        <f t="shared" si="26"/>
        <v>585021.51426999993</v>
      </c>
      <c r="M52" s="61">
        <f t="shared" si="26"/>
        <v>484563.10426999995</v>
      </c>
    </row>
    <row r="53" spans="1:13" x14ac:dyDescent="0.25">
      <c r="A53" s="46" t="s">
        <v>12</v>
      </c>
      <c r="C53" s="114"/>
      <c r="D53" s="194"/>
      <c r="E53" s="17"/>
      <c r="F53" s="17"/>
      <c r="G53" s="17"/>
      <c r="H53" s="10"/>
      <c r="I53" s="17"/>
      <c r="J53" s="11"/>
      <c r="K53" s="17"/>
      <c r="L53" s="17"/>
      <c r="M53" s="11"/>
    </row>
    <row r="54" spans="1:13" ht="15.75" thickBot="1" x14ac:dyDescent="0.3">
      <c r="A54" s="37"/>
      <c r="B54" s="37"/>
      <c r="C54" s="138"/>
      <c r="D54" s="195"/>
      <c r="E54" s="44"/>
      <c r="F54" s="44"/>
      <c r="G54" s="44"/>
      <c r="H54" s="43"/>
      <c r="I54" s="44"/>
      <c r="J54" s="45"/>
      <c r="K54" s="44"/>
      <c r="L54" s="44"/>
      <c r="M54" s="45"/>
    </row>
    <row r="56" spans="1:13" x14ac:dyDescent="0.25">
      <c r="A56" s="69" t="s">
        <v>11</v>
      </c>
      <c r="B56" s="69"/>
      <c r="C56" s="69"/>
      <c r="D56" s="69"/>
    </row>
    <row r="57" spans="1:13" ht="34.5" customHeight="1" x14ac:dyDescent="0.25">
      <c r="A57" s="362" t="s">
        <v>248</v>
      </c>
      <c r="B57" s="362"/>
      <c r="C57" s="362"/>
      <c r="D57" s="362"/>
      <c r="E57" s="362"/>
      <c r="F57" s="362"/>
      <c r="G57" s="362"/>
      <c r="H57" s="362"/>
      <c r="I57" s="362"/>
      <c r="J57" s="362"/>
      <c r="K57" s="176"/>
      <c r="L57" s="136"/>
      <c r="M57" s="136"/>
    </row>
    <row r="58" spans="1:13" ht="42.75" customHeight="1" x14ac:dyDescent="0.25">
      <c r="A58" s="362" t="s">
        <v>250</v>
      </c>
      <c r="B58" s="362"/>
      <c r="C58" s="362"/>
      <c r="D58" s="362"/>
      <c r="E58" s="362"/>
      <c r="F58" s="362"/>
      <c r="G58" s="362"/>
      <c r="H58" s="362"/>
      <c r="I58" s="362"/>
      <c r="J58" s="362"/>
      <c r="K58" s="362"/>
      <c r="L58" s="136"/>
      <c r="M58" s="136"/>
    </row>
    <row r="59" spans="1:13" ht="33.75" customHeight="1" x14ac:dyDescent="0.25">
      <c r="A59" s="362" t="s">
        <v>249</v>
      </c>
      <c r="B59" s="362"/>
      <c r="C59" s="362"/>
      <c r="D59" s="362"/>
      <c r="E59" s="362"/>
      <c r="F59" s="362"/>
      <c r="G59" s="362"/>
      <c r="H59" s="362"/>
      <c r="I59" s="362"/>
      <c r="J59" s="362"/>
      <c r="K59" s="176"/>
      <c r="L59" s="136"/>
      <c r="M59" s="136"/>
    </row>
    <row r="60" spans="1:13" x14ac:dyDescent="0.25">
      <c r="A60" s="3" t="s">
        <v>67</v>
      </c>
      <c r="B60" s="3"/>
      <c r="C60" s="3"/>
      <c r="D60" s="3"/>
    </row>
    <row r="61" spans="1:13" x14ac:dyDescent="0.25">
      <c r="A61" s="63" t="s">
        <v>251</v>
      </c>
      <c r="B61" s="3"/>
      <c r="C61" s="3"/>
      <c r="D61" s="3"/>
    </row>
    <row r="62" spans="1:13" x14ac:dyDescent="0.25">
      <c r="A62" s="3" t="s">
        <v>70</v>
      </c>
      <c r="B62" s="3"/>
      <c r="C62" s="3"/>
      <c r="D62" s="3"/>
    </row>
    <row r="63" spans="1:13" x14ac:dyDescent="0.25">
      <c r="A63" s="3" t="s">
        <v>183</v>
      </c>
      <c r="B63" s="3"/>
      <c r="C63" s="3"/>
      <c r="D63" s="3"/>
    </row>
  </sheetData>
  <mergeCells count="6">
    <mergeCell ref="A59:J59"/>
    <mergeCell ref="E13:G13"/>
    <mergeCell ref="A57:J57"/>
    <mergeCell ref="A58:K58"/>
    <mergeCell ref="H13:J13"/>
    <mergeCell ref="K13:M13"/>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Comments0 xmlns="37C40F9E-044B-4F26-A90E-5C1316E525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8B3B3C2A568948A3B61DE5471DEA1E" ma:contentTypeVersion="0" ma:contentTypeDescription="Create a new document." ma:contentTypeScope="" ma:versionID="e21325dc62556425e3e549579d3cac03">
  <xsd:schema xmlns:xsd="http://www.w3.org/2001/XMLSchema" xmlns:p="http://schemas.microsoft.com/office/2006/metadata/properties" xmlns:ns2="37C40F9E-044B-4F26-A90E-5C1316E52537" targetNamespace="http://schemas.microsoft.com/office/2006/metadata/properties" ma:root="true" ma:fieldsID="4b5ea1123175a8313d90db415902c5cf" ns2:_="">
    <xsd:import namespace="37C40F9E-044B-4F26-A90E-5C1316E52537"/>
    <xsd:element name="properties">
      <xsd:complexType>
        <xsd:sequence>
          <xsd:element name="documentManagement">
            <xsd:complexType>
              <xsd:all>
                <xsd:element ref="ns2:Comments0" minOccurs="0"/>
              </xsd:all>
            </xsd:complexType>
          </xsd:element>
        </xsd:sequence>
      </xsd:complexType>
    </xsd:element>
  </xsd:schema>
  <xsd:schema xmlns:xsd="http://www.w3.org/2001/XMLSchema" xmlns:dms="http://schemas.microsoft.com/office/2006/documentManagement/types" targetNamespace="37C40F9E-044B-4F26-A90E-5C1316E52537" elementFormDefault="qualified">
    <xsd:import namespace="http://schemas.microsoft.com/office/2006/documentManagement/types"/>
    <xsd:element name="Comments0" ma:index="8" nillable="true" ma:displayName="Comments" ma:description="Comments" ma:internalName="Comments0">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FE36353-2D23-4413-BFF3-128FB6002D9C}">
  <ds:schemaRefs>
    <ds:schemaRef ds:uri="http://schemas.microsoft.com/sharepoint/v3/contenttype/forms"/>
  </ds:schemaRefs>
</ds:datastoreItem>
</file>

<file path=customXml/itemProps2.xml><?xml version="1.0" encoding="utf-8"?>
<ds:datastoreItem xmlns:ds="http://schemas.openxmlformats.org/officeDocument/2006/customXml" ds:itemID="{BBE680F6-EEBC-41A4-AEB5-0B773B5EACA2}">
  <ds:schemaRefs>
    <ds:schemaRef ds:uri="http://purl.org/dc/elements/1.1/"/>
    <ds:schemaRef ds:uri="http://purl.org/dc/dcmitype/"/>
    <ds:schemaRef ds:uri="http://www.w3.org/XML/1998/namespace"/>
    <ds:schemaRef ds:uri="37C40F9E-044B-4F26-A90E-5C1316E52537"/>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6C7C2647-B5FC-4364-86FA-9C4ECAED7A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C40F9E-044B-4F26-A90E-5C1316E52537"/>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vt:i4>
      </vt:variant>
    </vt:vector>
  </HeadingPairs>
  <TitlesOfParts>
    <vt:vector size="20" baseType="lpstr">
      <vt:lpstr>Index Table of Contents</vt:lpstr>
      <vt:lpstr>Tariff Tables</vt:lpstr>
      <vt:lpstr>DSIM Cycle Tables</vt:lpstr>
      <vt:lpstr>PPC Cycle 3</vt:lpstr>
      <vt:lpstr>PCR Cycle 2</vt:lpstr>
      <vt:lpstr>PCR Cycle 3</vt:lpstr>
      <vt:lpstr>PTD Cycle 2</vt:lpstr>
      <vt:lpstr>PTD Cycle 3</vt:lpstr>
      <vt:lpstr>TDR Cycle 2</vt:lpstr>
      <vt:lpstr>TDR Cycle 3</vt:lpstr>
      <vt:lpstr>EO Cycle 2</vt:lpstr>
      <vt:lpstr>EO Cycle 3</vt:lpstr>
      <vt:lpstr>EOR Cycle 2</vt:lpstr>
      <vt:lpstr>EOR Cycle 3</vt:lpstr>
      <vt:lpstr>OA Cycle 2</vt:lpstr>
      <vt:lpstr>OA Cycle 3</vt:lpstr>
      <vt:lpstr>OAR Cycle 2</vt:lpstr>
      <vt:lpstr>OAR Cycle 3</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Leighanne Jones</cp:lastModifiedBy>
  <cp:lastPrinted>2019-05-23T21:26:27Z</cp:lastPrinted>
  <dcterms:created xsi:type="dcterms:W3CDTF">2013-08-12T19:20:10Z</dcterms:created>
  <dcterms:modified xsi:type="dcterms:W3CDTF">2023-11-30T01:12:14Z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0x0101009C8B3B3C2A568948A3B61DE5471DEA1E</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2022-11-08T16:29:14Z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636e1bc7-477d-40da-aa64-7b585cb78bc9</vt:lpwstr>
  </property>
  <property fmtid="{D5CDD505-2E9C-101B-9397-08002B2CF9AE}" pid="11" name="MSIP_Label_d275ac46-98b9-4d64-949f-e82ee8dc823c_ContentBits">
    <vt:lpwstr>3</vt:lpwstr>
  </property>
</Properties>
</file>