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F:\RESRAM\Monthly Filings\2023\"/>
    </mc:Choice>
  </mc:AlternateContent>
  <xr:revisionPtr revIDLastSave="0" documentId="8_{C9A2E954-3F51-4EB1-8D78-D9E4718E001D}" xr6:coauthVersionLast="47" xr6:coauthVersionMax="47" xr10:uidLastSave="{00000000-0000-0000-0000-000000000000}"/>
  <bookViews>
    <workbookView xWindow="28680" yWindow="15" windowWidth="29040" windowHeight="15720" tabRatio="658" xr2:uid="{00000000-000D-0000-FFFF-FFFF00000000}"/>
  </bookViews>
  <sheets>
    <sheet name="Monthly Cost Tracker AP4" sheetId="13" r:id="rId1"/>
    <sheet name="Monthly Cost Tracker AP5" sheetId="14" r:id="rId2"/>
    <sheet name="Monthly Cost Tracker AP6" sheetId="15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 localSheetId="0">#REF!</definedName>
    <definedName name="p" localSheetId="1">#REF!</definedName>
    <definedName name="p" localSheetId="2">#REF!</definedName>
    <definedName name="p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 localSheetId="0">#REF!</definedName>
    <definedName name="q" localSheetId="1">#REF!</definedName>
    <definedName name="q" localSheetId="2">#REF!</definedName>
    <definedName name="q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8">#REF!</definedName>
    <definedName name="rr" localSheetId="0">#REF!</definedName>
    <definedName name="rr" localSheetId="1">#REF!</definedName>
    <definedName name="rr" localSheetId="2">#REF!</definedName>
    <definedName name="rr">#REF!</definedName>
    <definedName name="rrr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8" hidden="1">#REF!</definedName>
    <definedName name="z" localSheetId="0" hidden="1">#REF!</definedName>
    <definedName name="z" localSheetId="1" hidden="1">#REF!</definedName>
    <definedName name="z" localSheetId="2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5" l="1"/>
  <c r="C4" i="15"/>
  <c r="C4" i="14"/>
  <c r="C32" i="14" l="1"/>
  <c r="D11" i="6" l="1"/>
  <c r="E12" i="6"/>
  <c r="C20" i="15" l="1"/>
  <c r="C27" i="15" s="1"/>
  <c r="C30" i="15" s="1"/>
  <c r="C32" i="15" s="1"/>
  <c r="C26" i="13" l="1"/>
  <c r="C20" i="13"/>
  <c r="C27" i="13" l="1"/>
  <c r="F8" i="8"/>
  <c r="C30" i="13" l="1"/>
  <c r="C34" i="13" s="1"/>
  <c r="E57" i="6"/>
  <c r="D12" i="6" l="1"/>
  <c r="D13" i="6"/>
  <c r="D14" i="6"/>
  <c r="D15" i="6"/>
  <c r="D17" i="6"/>
  <c r="D18" i="6"/>
  <c r="D19" i="6"/>
  <c r="C21" i="6" l="1"/>
  <c r="E18" i="6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G8" i="8" s="1"/>
  <c r="C12" i="8"/>
  <c r="A4" i="10"/>
  <c r="A4" i="9"/>
  <c r="A5" i="8"/>
  <c r="A4" i="7"/>
  <c r="A5" i="6"/>
  <c r="E17" i="6" l="1"/>
  <c r="E15" i="6"/>
  <c r="E14" i="6"/>
  <c r="E13" i="6"/>
  <c r="E11" i="6"/>
  <c r="E19" i="6"/>
  <c r="G16" i="8"/>
  <c r="G15" i="8"/>
  <c r="G14" i="8"/>
  <c r="G11" i="8"/>
  <c r="F18" i="8"/>
  <c r="D18" i="8"/>
  <c r="G9" i="8"/>
  <c r="G10" i="8"/>
  <c r="G12" i="8"/>
  <c r="C18" i="8"/>
  <c r="C10" i="6"/>
  <c r="E21" i="6" l="1"/>
  <c r="G18" i="8"/>
</calcChain>
</file>

<file path=xl/sharedStrings.xml><?xml version="1.0" encoding="utf-8"?>
<sst xmlns="http://schemas.openxmlformats.org/spreadsheetml/2006/main" count="180" uniqueCount="80">
  <si>
    <t>Ameren Missouri</t>
  </si>
  <si>
    <t>RESRAM Monthly Accounting</t>
  </si>
  <si>
    <t>547004 - Landfill-Gas Fuel Costs</t>
  </si>
  <si>
    <t>908SR2 - Rider SR Solar Rebates</t>
  </si>
  <si>
    <t>409 - 411 - Production Tax Credit Benefit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</si>
  <si>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</si>
  <si>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</si>
  <si>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</si>
  <si>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</si>
  <si>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</si>
  <si>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</si>
  <si>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</si>
  <si>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</si>
  <si>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</si>
  <si>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</si>
  <si>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</si>
  <si>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</si>
  <si>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</si>
  <si>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</si>
  <si>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</si>
  <si>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</si>
  <si>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</si>
  <si>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</si>
  <si>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</si>
  <si>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</si>
  <si>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</si>
  <si>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</si>
  <si>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</si>
  <si>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</si>
  <si>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</si>
  <si>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</si>
  <si>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</si>
  <si>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</si>
  <si>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</si>
  <si>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</si>
  <si>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</si>
  <si>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</si>
  <si>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</si>
  <si>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</si>
  <si>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</si>
  <si>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</si>
  <si>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</si>
  <si>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</si>
  <si>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</si>
  <si>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</si>
  <si>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</si>
  <si>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</si>
  <si>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</si>
  <si>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</si>
  <si>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</si>
  <si>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</si>
  <si>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</si>
  <si>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557/509BLH - Wind REC Costs</t>
  </si>
  <si>
    <t>557/509CSR - Solar REC Costs</t>
  </si>
  <si>
    <t>557/509H20 - Hydro REC Costs</t>
  </si>
  <si>
    <t>557/509PSR - Non Customer Solar REC Costs</t>
  </si>
  <si>
    <t>Interconnection Expenses</t>
  </si>
  <si>
    <t>Accumulation Period 4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</si>
  <si>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</si>
  <si>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</si>
  <si>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t>447 &amp; 555 - Net OSSR/Purchased Power (100%)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</si>
  <si>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</si>
  <si>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5</t>
  </si>
  <si>
    <t>Reclass AP3 to AP4</t>
  </si>
  <si>
    <t>RESRAM Rebasing excerpt from File No. ER-2022-0337 Unanimous Stipulation and Agreement</t>
  </si>
  <si>
    <t>Billed kWh used to set rates in ER-2022-0337 rate case</t>
  </si>
  <si>
    <t>Accumulation Period 6</t>
  </si>
  <si>
    <t>RESRAM Amt in Base Rates/Test Year kWh</t>
  </si>
  <si>
    <t>Final RESRAM Rate</t>
  </si>
  <si>
    <t>There were no significant factors affecting RESRAM billed revenues during this period.</t>
  </si>
  <si>
    <t>Non Customer Solar REC Costs - 509RPS/557RPS</t>
  </si>
  <si>
    <t>Biomass REC Costs - 509RBM/557RBM</t>
  </si>
  <si>
    <t>Wind REC Costs - 509RWD/557RWD</t>
  </si>
  <si>
    <t>Solar REC Costs - 509RCS/557RCS</t>
  </si>
  <si>
    <t>Hydro REC Costs - 509RH2/557RH2</t>
  </si>
  <si>
    <t>Solar Rebate Processing Costs - 509SRP/557SRP</t>
  </si>
  <si>
    <t>557/5090BM - Biomass REC Costs</t>
  </si>
  <si>
    <t>Rider SR Solar Rebates - 908SR2</t>
  </si>
  <si>
    <t>Production Tax Credit Benefit - 409 - 411</t>
  </si>
  <si>
    <t>Net OSSR/Purchased Power portion - 447 &amp; 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</si>
</sst>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76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1" fillId="0" borderId="0" xfId="4" applyNumberFormat="1" applyFont="1"/>
    <xf numFmtId="168" fontId="10" fillId="0" borderId="0" xfId="1" applyNumberFormat="1" applyFont="1"/>
    <xf numFmtId="0" fontId="10" fillId="0" borderId="0" xfId="0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9" fontId="14" fillId="0" borderId="0" xfId="5" applyNumberFormat="1" applyFont="1" applyFill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9" fontId="0" fillId="0" borderId="0" xfId="4" applyNumberFormat="1" applyFont="1"/>
    <xf numFmtId="169" fontId="0" fillId="0" borderId="4" xfId="0" applyNumberFormat="1" applyBorder="1"/>
    <xf numFmtId="167" fontId="8" fillId="0" borderId="0" xfId="1" applyNumberFormat="1" applyFont="1" applyFill="1" applyBorder="1" applyAlignment="1"/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68" fontId="5" fillId="0" borderId="0" xfId="1" quotePrefix="1" applyNumberFormat="1" applyFont="1" applyFill="1" applyBorder="1"/>
    <xf numFmtId="168" fontId="1" fillId="0" borderId="0" xfId="1" applyNumberFormat="1" applyBorder="1"/>
    <xf numFmtId="168" fontId="5" fillId="0" borderId="0" xfId="1" applyNumberFormat="1" applyFont="1" applyBorder="1"/>
    <xf numFmtId="168" fontId="5" fillId="0" borderId="1" xfId="1" applyNumberFormat="1" applyFont="1" applyBorder="1"/>
    <xf numFmtId="168" fontId="5" fillId="2" borderId="1" xfId="1" applyNumberFormat="1" applyFont="1" applyFill="1" applyBorder="1"/>
  </cellXfs>
  <cellStyles count="7">
    <cellStyle name="Comma" xfId="5" builtinId="3"/>
    <cellStyle name="Comma 3" xfId="4" xr:uid="{00000000-0005-0000-0000-000001000000}"/>
    <cellStyle name="Currency" xfId="1" builtinId="4"/>
    <cellStyle name="Normal" xfId="0" builtinId="0"/>
    <cellStyle name="Normal 2" xfId="6" xr:uid="{00000000-0005-0000-0000-000004000000}"/>
    <cellStyle name="Normal 3" xfId="3" xr:uid="{00000000-0005-0000-0000-000005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41</xdr:row>
      <xdr:rowOff>19051</xdr:rowOff>
    </xdr:from>
    <xdr:to>
      <xdr:col>4</xdr:col>
      <xdr:colOff>100747</xdr:colOff>
      <xdr:row>57</xdr:row>
      <xdr:rowOff>184151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7886701"/>
          <a:ext cx="5155347" cy="3117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76200</xdr:rowOff>
    </xdr:from>
    <xdr:to>
      <xdr:col>4</xdr:col>
      <xdr:colOff>1409700</xdr:colOff>
      <xdr:row>36</xdr:row>
      <xdr:rowOff>104633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18200"/>
          <a:ext cx="6508750" cy="1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M34"/>
  <sheetViews>
    <sheetView tabSelected="1" zoomScaleNormal="100" workbookViewId="0">
      <pane ySplit="4" topLeftCell="A5" activePane="bottomLeft" state="frozen"/>
      <selection pane="bottomLeft" activeCell="E17" sqref="E17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57</v>
      </c>
    </row>
    <row r="4" spans="1:13" x14ac:dyDescent="0.25">
      <c r="A4" s="1"/>
      <c r="B4" s="2" t="s">
        <v>24</v>
      </c>
      <c r="C4" s="2">
        <v>45230</v>
      </c>
    </row>
    <row r="5" spans="1:13" x14ac:dyDescent="0.25">
      <c r="A5" s="3" t="s">
        <v>25</v>
      </c>
      <c r="B5" s="24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52</v>
      </c>
      <c r="B6" s="6"/>
      <c r="C6" s="43"/>
    </row>
    <row r="7" spans="1:13" x14ac:dyDescent="0.25">
      <c r="A7" s="5" t="s">
        <v>53</v>
      </c>
      <c r="B7" s="6"/>
      <c r="C7" s="43"/>
    </row>
    <row r="8" spans="1:13" x14ac:dyDescent="0.25">
      <c r="A8" s="5" t="s">
        <v>76</v>
      </c>
      <c r="B8" s="6"/>
      <c r="C8" s="43"/>
    </row>
    <row r="9" spans="1:13" x14ac:dyDescent="0.25">
      <c r="A9" s="5" t="s">
        <v>2</v>
      </c>
      <c r="B9" s="6"/>
      <c r="C9" s="43"/>
    </row>
    <row r="10" spans="1:13" x14ac:dyDescent="0.25">
      <c r="A10" s="5" t="s">
        <v>54</v>
      </c>
      <c r="B10" s="6"/>
      <c r="C10" s="43"/>
    </row>
    <row r="11" spans="1:13" x14ac:dyDescent="0.25">
      <c r="A11" s="5" t="s">
        <v>55</v>
      </c>
      <c r="B11" s="6"/>
      <c r="C11" s="43"/>
    </row>
    <row r="12" spans="1:13" x14ac:dyDescent="0.25">
      <c r="A12" s="5" t="s">
        <v>3</v>
      </c>
      <c r="B12" s="7"/>
      <c r="C12" s="40"/>
    </row>
    <row r="13" spans="1:13" x14ac:dyDescent="0.25">
      <c r="A13" s="5" t="s">
        <v>4</v>
      </c>
      <c r="B13" s="6"/>
      <c r="C13" s="40"/>
      <c r="E13" s="49"/>
      <c r="F13" s="50"/>
    </row>
    <row r="14" spans="1:13" x14ac:dyDescent="0.25">
      <c r="A14" s="5" t="s">
        <v>60</v>
      </c>
      <c r="B14" s="6"/>
      <c r="C14" s="43"/>
    </row>
    <row r="15" spans="1:13" x14ac:dyDescent="0.25">
      <c r="A15" s="5" t="s">
        <v>5</v>
      </c>
      <c r="B15" s="6"/>
      <c r="C15" s="43"/>
    </row>
    <row r="16" spans="1:13" x14ac:dyDescent="0.25">
      <c r="A16" s="5" t="s">
        <v>6</v>
      </c>
      <c r="B16" s="6"/>
      <c r="C16" s="43"/>
    </row>
    <row r="17" spans="1:3" x14ac:dyDescent="0.25">
      <c r="A17" s="5" t="s">
        <v>7</v>
      </c>
      <c r="B17" s="6"/>
      <c r="C17" s="43"/>
    </row>
    <row r="18" spans="1:3" x14ac:dyDescent="0.25">
      <c r="A18" s="5" t="s">
        <v>56</v>
      </c>
      <c r="B18" s="6"/>
      <c r="C18" s="43"/>
    </row>
    <row r="19" spans="1:3" x14ac:dyDescent="0.25">
      <c r="A19" s="5" t="s">
        <v>8</v>
      </c>
      <c r="B19" s="6"/>
      <c r="C19" s="43"/>
    </row>
    <row r="20" spans="1:3" ht="15.75" thickBot="1" x14ac:dyDescent="0.3">
      <c r="A20" s="3" t="s">
        <v>9</v>
      </c>
      <c r="B20" s="9"/>
      <c r="C20" s="74">
        <f>SUM(C6:C19)</f>
        <v>0</v>
      </c>
    </row>
    <row r="21" spans="1:3" x14ac:dyDescent="0.25">
      <c r="B21" s="10"/>
      <c r="C21" s="44"/>
    </row>
    <row r="22" spans="1:3" x14ac:dyDescent="0.25">
      <c r="A22" s="15" t="s">
        <v>29</v>
      </c>
      <c r="B22" s="10"/>
      <c r="C22" s="72">
        <v>-750308.22000128846</v>
      </c>
    </row>
    <row r="23" spans="1:3" x14ac:dyDescent="0.25">
      <c r="B23" s="10"/>
      <c r="C23" s="44"/>
    </row>
    <row r="24" spans="1:3" x14ac:dyDescent="0.25">
      <c r="A24" s="5" t="s">
        <v>26</v>
      </c>
      <c r="B24" s="11"/>
      <c r="C24" s="45">
        <v>0</v>
      </c>
    </row>
    <row r="25" spans="1:3" x14ac:dyDescent="0.25">
      <c r="A25" s="5" t="s">
        <v>27</v>
      </c>
      <c r="B25" s="21"/>
      <c r="C25" s="45"/>
    </row>
    <row r="26" spans="1:3" x14ac:dyDescent="0.25">
      <c r="A26" s="3" t="s">
        <v>28</v>
      </c>
      <c r="B26" s="6"/>
      <c r="C26" s="73">
        <f>+C24+C25+C22</f>
        <v>-750308.22000128846</v>
      </c>
    </row>
    <row r="27" spans="1:3" ht="15.75" thickBot="1" x14ac:dyDescent="0.3">
      <c r="A27" s="12" t="s">
        <v>10</v>
      </c>
      <c r="B27" s="22"/>
      <c r="C27" s="75">
        <f>C26+C20</f>
        <v>-750308.22000128846</v>
      </c>
    </row>
    <row r="28" spans="1:3" x14ac:dyDescent="0.25">
      <c r="A28" s="3"/>
      <c r="B28" s="4"/>
      <c r="C28" s="48"/>
    </row>
    <row r="29" spans="1:3" x14ac:dyDescent="0.25">
      <c r="A29" s="13" t="s">
        <v>11</v>
      </c>
      <c r="B29" s="14"/>
      <c r="C29" s="14">
        <v>4.5978800000000004E-3</v>
      </c>
    </row>
    <row r="30" spans="1:3" x14ac:dyDescent="0.25">
      <c r="A30" s="15" t="s">
        <v>12</v>
      </c>
      <c r="B30" s="43"/>
      <c r="C30" s="43">
        <f>(C27+B34)*C29</f>
        <v>20785.697254027906</v>
      </c>
    </row>
    <row r="31" spans="1:3" x14ac:dyDescent="0.25">
      <c r="A31" s="3"/>
      <c r="B31" s="47"/>
      <c r="C31" s="47"/>
    </row>
    <row r="32" spans="1:3" x14ac:dyDescent="0.25">
      <c r="A32" s="3" t="s">
        <v>63</v>
      </c>
      <c r="B32" s="47"/>
      <c r="C32" s="47"/>
    </row>
    <row r="33" spans="1:3" x14ac:dyDescent="0.25">
      <c r="A33" s="3"/>
      <c r="B33" s="47"/>
      <c r="C33" s="47"/>
    </row>
    <row r="34" spans="1:3" ht="15.75" thickBot="1" x14ac:dyDescent="0.3">
      <c r="A34" s="12" t="s">
        <v>13</v>
      </c>
      <c r="B34" s="75">
        <v>5271021.5170051046</v>
      </c>
      <c r="C34" s="75">
        <f>C27+C30+B34+C32</f>
        <v>4541498.9942578441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pageSetUpPr fitToPage="1"/>
  </sheetPr>
  <dimension ref="A1:M32"/>
  <sheetViews>
    <sheetView zoomScaleNormal="100" workbookViewId="0">
      <pane ySplit="4" topLeftCell="A5" activePane="bottomLeft" state="frozen"/>
      <selection pane="bottomLeft" activeCell="C27" sqref="C27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62</v>
      </c>
    </row>
    <row r="4" spans="1:13" x14ac:dyDescent="0.25">
      <c r="A4" s="1"/>
      <c r="B4" s="2" t="s">
        <v>24</v>
      </c>
      <c r="C4" s="2">
        <f>'Monthly Cost Tracker AP4'!C4</f>
        <v>45230</v>
      </c>
    </row>
    <row r="5" spans="1:13" x14ac:dyDescent="0.25">
      <c r="A5" s="3" t="s">
        <v>25</v>
      </c>
      <c r="B5" s="24"/>
      <c r="C5" s="23"/>
      <c r="D5" s="57"/>
      <c r="E5" s="58"/>
      <c r="F5" s="56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72</v>
      </c>
      <c r="B6" s="6"/>
      <c r="C6" s="43"/>
      <c r="D6" s="59"/>
      <c r="E6" s="60"/>
    </row>
    <row r="7" spans="1:13" x14ac:dyDescent="0.25">
      <c r="A7" s="5" t="s">
        <v>73</v>
      </c>
      <c r="B7" s="6"/>
      <c r="C7" s="43"/>
      <c r="D7" s="59"/>
      <c r="E7" s="60"/>
    </row>
    <row r="8" spans="1:13" x14ac:dyDescent="0.25">
      <c r="A8" s="5" t="s">
        <v>71</v>
      </c>
      <c r="B8" s="6"/>
      <c r="C8" s="43"/>
      <c r="D8" s="59"/>
      <c r="E8" s="60"/>
    </row>
    <row r="9" spans="1:13" x14ac:dyDescent="0.25">
      <c r="A9" s="5" t="s">
        <v>74</v>
      </c>
      <c r="B9" s="6"/>
      <c r="C9" s="43"/>
      <c r="D9" s="59"/>
      <c r="E9" s="60"/>
    </row>
    <row r="10" spans="1:13" x14ac:dyDescent="0.25">
      <c r="A10" s="5" t="s">
        <v>70</v>
      </c>
      <c r="B10" s="6"/>
      <c r="C10" s="43"/>
      <c r="D10" s="59"/>
      <c r="E10" s="60"/>
    </row>
    <row r="11" spans="1:13" x14ac:dyDescent="0.25">
      <c r="A11" s="5" t="s">
        <v>75</v>
      </c>
      <c r="B11" s="6"/>
      <c r="C11" s="43"/>
      <c r="D11" s="59"/>
      <c r="E11" s="60"/>
    </row>
    <row r="12" spans="1:13" x14ac:dyDescent="0.25">
      <c r="A12" s="5" t="s">
        <v>77</v>
      </c>
      <c r="B12" s="7"/>
      <c r="C12" s="40"/>
      <c r="D12" s="59"/>
      <c r="E12" s="60"/>
      <c r="F12" s="61"/>
    </row>
    <row r="13" spans="1:13" x14ac:dyDescent="0.25">
      <c r="A13" s="5" t="s">
        <v>78</v>
      </c>
      <c r="B13" s="6"/>
      <c r="C13" s="40"/>
      <c r="D13" s="59"/>
      <c r="E13" s="60"/>
      <c r="F13" s="61"/>
    </row>
    <row r="14" spans="1:13" x14ac:dyDescent="0.25">
      <c r="A14" s="5" t="s">
        <v>79</v>
      </c>
      <c r="B14" s="6"/>
      <c r="C14" s="43"/>
      <c r="D14" s="59"/>
      <c r="E14" s="60"/>
      <c r="F14" s="61"/>
    </row>
    <row r="15" spans="1:13" x14ac:dyDescent="0.25">
      <c r="A15" s="5" t="s">
        <v>5</v>
      </c>
      <c r="B15" s="6"/>
      <c r="C15" s="43"/>
      <c r="D15" s="59"/>
      <c r="E15" s="60"/>
      <c r="F15" s="61"/>
    </row>
    <row r="16" spans="1:13" x14ac:dyDescent="0.25">
      <c r="A16" s="5" t="s">
        <v>6</v>
      </c>
      <c r="B16" s="6"/>
      <c r="C16" s="43"/>
      <c r="D16" s="59"/>
      <c r="E16" s="60"/>
      <c r="F16" s="61"/>
    </row>
    <row r="17" spans="1:6" x14ac:dyDescent="0.25">
      <c r="A17" s="5" t="s">
        <v>7</v>
      </c>
      <c r="B17" s="6"/>
      <c r="C17" s="43"/>
      <c r="D17" s="59"/>
      <c r="E17" s="60"/>
      <c r="F17" s="61"/>
    </row>
    <row r="18" spans="1:6" x14ac:dyDescent="0.25">
      <c r="A18" s="5" t="s">
        <v>56</v>
      </c>
      <c r="B18" s="6"/>
      <c r="C18" s="43"/>
      <c r="D18" s="59"/>
      <c r="E18" s="60"/>
      <c r="F18" s="61"/>
    </row>
    <row r="19" spans="1:6" x14ac:dyDescent="0.25">
      <c r="A19" s="5" t="s">
        <v>8</v>
      </c>
      <c r="B19" s="6"/>
      <c r="C19" s="43"/>
      <c r="D19" s="59"/>
      <c r="E19" s="60"/>
      <c r="F19" s="61"/>
    </row>
    <row r="20" spans="1:6" ht="15.75" thickBot="1" x14ac:dyDescent="0.3">
      <c r="A20" s="3" t="s">
        <v>9</v>
      </c>
      <c r="B20" s="9"/>
      <c r="C20" s="74">
        <v>0</v>
      </c>
    </row>
    <row r="21" spans="1:6" x14ac:dyDescent="0.25">
      <c r="B21" s="10"/>
      <c r="C21" s="44"/>
    </row>
    <row r="22" spans="1:6" x14ac:dyDescent="0.25">
      <c r="A22" s="15" t="s">
        <v>29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26</v>
      </c>
      <c r="B24" s="11"/>
      <c r="C24" s="45"/>
    </row>
    <row r="25" spans="1:6" x14ac:dyDescent="0.25">
      <c r="A25" s="5" t="s">
        <v>27</v>
      </c>
      <c r="B25" s="21"/>
      <c r="C25" s="45"/>
    </row>
    <row r="26" spans="1:6" x14ac:dyDescent="0.25">
      <c r="A26" s="3" t="s">
        <v>28</v>
      </c>
      <c r="B26" s="6"/>
      <c r="C26" s="73">
        <v>0</v>
      </c>
    </row>
    <row r="27" spans="1:6" ht="15.75" thickBot="1" x14ac:dyDescent="0.3">
      <c r="A27" s="12" t="s">
        <v>10</v>
      </c>
      <c r="B27" s="22"/>
      <c r="C27" s="46">
        <v>0</v>
      </c>
    </row>
    <row r="28" spans="1:6" x14ac:dyDescent="0.25">
      <c r="A28" s="3"/>
      <c r="B28" s="4"/>
      <c r="C28" s="48"/>
    </row>
    <row r="29" spans="1:6" x14ac:dyDescent="0.25">
      <c r="A29" s="13" t="s">
        <v>11</v>
      </c>
      <c r="B29" s="14"/>
      <c r="C29" s="14">
        <v>4.5978800000000004E-3</v>
      </c>
    </row>
    <row r="30" spans="1:6" x14ac:dyDescent="0.25">
      <c r="A30" s="15" t="s">
        <v>12</v>
      </c>
      <c r="B30" s="43"/>
      <c r="C30" s="43">
        <v>107312.02029962378</v>
      </c>
      <c r="D30" s="59"/>
      <c r="E30" s="60"/>
      <c r="F30" s="61"/>
    </row>
    <row r="31" spans="1:6" x14ac:dyDescent="0.25">
      <c r="A31" s="3"/>
      <c r="B31" s="47"/>
      <c r="C31" s="47"/>
    </row>
    <row r="32" spans="1:6" ht="15.75" thickBot="1" x14ac:dyDescent="0.3">
      <c r="A32" s="12" t="s">
        <v>13</v>
      </c>
      <c r="B32" s="75">
        <v>23339456.51030992</v>
      </c>
      <c r="C32" s="75">
        <f>C27+C30+B32</f>
        <v>23446768.530609544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M32"/>
  <sheetViews>
    <sheetView zoomScaleNormal="100" workbookViewId="0">
      <pane ySplit="4" topLeftCell="A11" activePane="bottomLeft" state="frozen"/>
      <selection pane="bottomLeft" activeCell="D26" sqref="D26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66</v>
      </c>
    </row>
    <row r="4" spans="1:13" x14ac:dyDescent="0.25">
      <c r="A4" s="1"/>
      <c r="B4" s="2" t="s">
        <v>24</v>
      </c>
      <c r="C4" s="2">
        <f>'Monthly Cost Tracker AP5'!C4</f>
        <v>45230</v>
      </c>
    </row>
    <row r="5" spans="1:13" x14ac:dyDescent="0.25">
      <c r="A5" s="3" t="s">
        <v>25</v>
      </c>
      <c r="B5" s="24"/>
      <c r="C5" s="23"/>
      <c r="D5" s="57"/>
      <c r="E5" s="58"/>
      <c r="F5" s="56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72</v>
      </c>
      <c r="B6" s="6"/>
      <c r="C6" s="43">
        <v>363618.85000000015</v>
      </c>
      <c r="D6" s="59"/>
      <c r="E6" s="60"/>
    </row>
    <row r="7" spans="1:13" x14ac:dyDescent="0.25">
      <c r="A7" s="5" t="s">
        <v>73</v>
      </c>
      <c r="B7" s="6"/>
      <c r="C7" s="43">
        <v>2.21</v>
      </c>
      <c r="D7" s="59"/>
      <c r="E7" s="60"/>
    </row>
    <row r="8" spans="1:13" x14ac:dyDescent="0.25">
      <c r="A8" s="5" t="s">
        <v>71</v>
      </c>
      <c r="B8" s="6"/>
      <c r="C8" s="43">
        <v>0</v>
      </c>
      <c r="D8" s="59"/>
      <c r="E8" s="60"/>
    </row>
    <row r="9" spans="1:13" x14ac:dyDescent="0.25">
      <c r="A9" s="5" t="s">
        <v>74</v>
      </c>
      <c r="B9" s="6"/>
      <c r="C9" s="43">
        <v>0</v>
      </c>
      <c r="D9" s="59"/>
      <c r="E9" s="60"/>
    </row>
    <row r="10" spans="1:13" x14ac:dyDescent="0.25">
      <c r="A10" s="5" t="s">
        <v>70</v>
      </c>
      <c r="B10" s="6"/>
      <c r="C10" s="43">
        <v>0</v>
      </c>
      <c r="D10" s="59"/>
      <c r="E10" s="60"/>
    </row>
    <row r="11" spans="1:13" x14ac:dyDescent="0.25">
      <c r="A11" s="5" t="s">
        <v>75</v>
      </c>
      <c r="B11" s="6"/>
      <c r="C11" s="43">
        <v>0</v>
      </c>
      <c r="D11" s="59"/>
      <c r="E11" s="60"/>
    </row>
    <row r="12" spans="1:13" x14ac:dyDescent="0.25">
      <c r="A12" s="5" t="s">
        <v>77</v>
      </c>
      <c r="B12" s="7"/>
      <c r="C12" s="43">
        <v>325205</v>
      </c>
      <c r="D12" s="59"/>
      <c r="E12" s="60"/>
      <c r="F12" s="61"/>
    </row>
    <row r="13" spans="1:13" x14ac:dyDescent="0.25">
      <c r="A13" s="5" t="s">
        <v>78</v>
      </c>
      <c r="B13" s="6"/>
      <c r="C13" s="43">
        <v>3182114.6459533945</v>
      </c>
      <c r="D13" s="59"/>
      <c r="E13" s="60"/>
      <c r="F13" s="61"/>
    </row>
    <row r="14" spans="1:13" x14ac:dyDescent="0.25">
      <c r="A14" s="5" t="s">
        <v>79</v>
      </c>
      <c r="B14" s="6"/>
      <c r="C14" s="43">
        <v>-1318900.4100000041</v>
      </c>
      <c r="D14" s="59"/>
      <c r="E14" s="60"/>
      <c r="F14" s="61"/>
    </row>
    <row r="15" spans="1:13" x14ac:dyDescent="0.25">
      <c r="A15" s="5" t="s">
        <v>5</v>
      </c>
      <c r="B15" s="6"/>
      <c r="C15" s="43">
        <v>7096012.7670025351</v>
      </c>
      <c r="D15" s="59"/>
      <c r="E15" s="60"/>
      <c r="F15" s="61"/>
    </row>
    <row r="16" spans="1:13" x14ac:dyDescent="0.25">
      <c r="A16" s="5" t="s">
        <v>6</v>
      </c>
      <c r="B16" s="6"/>
      <c r="C16" s="43">
        <v>3509973.3333333335</v>
      </c>
      <c r="D16" s="59"/>
      <c r="E16" s="60"/>
      <c r="F16" s="61"/>
    </row>
    <row r="17" spans="1:6" x14ac:dyDescent="0.25">
      <c r="A17" s="5" t="s">
        <v>7</v>
      </c>
      <c r="B17" s="6"/>
      <c r="C17" s="43">
        <v>1177529.8399999999</v>
      </c>
      <c r="D17" s="59"/>
      <c r="E17" s="60"/>
      <c r="F17" s="61"/>
    </row>
    <row r="18" spans="1:6" x14ac:dyDescent="0.25">
      <c r="A18" s="5" t="s">
        <v>56</v>
      </c>
      <c r="B18" s="6"/>
      <c r="C18" s="43">
        <v>158899</v>
      </c>
      <c r="D18" s="59"/>
      <c r="E18" s="60"/>
      <c r="F18" s="61"/>
    </row>
    <row r="19" spans="1:6" x14ac:dyDescent="0.25">
      <c r="A19" s="5" t="s">
        <v>8</v>
      </c>
      <c r="B19" s="6"/>
      <c r="C19" s="43">
        <v>758333.33333333337</v>
      </c>
      <c r="D19" s="59"/>
      <c r="E19" s="60"/>
      <c r="F19" s="61"/>
    </row>
    <row r="20" spans="1:6" ht="15.75" thickBot="1" x14ac:dyDescent="0.3">
      <c r="A20" s="3" t="s">
        <v>9</v>
      </c>
      <c r="B20" s="9"/>
      <c r="C20" s="74">
        <f>SUM(C6:C19)</f>
        <v>15252788.569622593</v>
      </c>
    </row>
    <row r="21" spans="1:6" x14ac:dyDescent="0.25">
      <c r="B21" s="10"/>
      <c r="C21" s="44"/>
    </row>
    <row r="22" spans="1:6" x14ac:dyDescent="0.25">
      <c r="A22" s="15" t="s">
        <v>29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26</v>
      </c>
      <c r="B24" s="11"/>
      <c r="C24" s="45"/>
    </row>
    <row r="25" spans="1:6" x14ac:dyDescent="0.25">
      <c r="A25" s="5" t="s">
        <v>27</v>
      </c>
      <c r="B25" s="21"/>
      <c r="C25" s="45">
        <v>600491.23467867449</v>
      </c>
    </row>
    <row r="26" spans="1:6" x14ac:dyDescent="0.25">
      <c r="A26" s="3" t="s">
        <v>28</v>
      </c>
      <c r="B26" s="6"/>
      <c r="C26" s="71">
        <v>600491.23467867449</v>
      </c>
    </row>
    <row r="27" spans="1:6" ht="15.75" thickBot="1" x14ac:dyDescent="0.3">
      <c r="A27" s="12" t="s">
        <v>10</v>
      </c>
      <c r="B27" s="22"/>
      <c r="C27" s="75">
        <f>-C26+C20</f>
        <v>14652297.334943919</v>
      </c>
    </row>
    <row r="28" spans="1:6" x14ac:dyDescent="0.25">
      <c r="A28" s="3"/>
      <c r="B28" s="4"/>
      <c r="C28" s="48"/>
    </row>
    <row r="29" spans="1:6" x14ac:dyDescent="0.25">
      <c r="A29" s="13" t="s">
        <v>11</v>
      </c>
      <c r="B29" s="14"/>
      <c r="C29" s="14">
        <v>4.5978800000000004E-3</v>
      </c>
    </row>
    <row r="30" spans="1:6" x14ac:dyDescent="0.25">
      <c r="A30" s="15" t="s">
        <v>12</v>
      </c>
      <c r="B30" s="43"/>
      <c r="C30" s="43">
        <f>(C27+B32)*C29</f>
        <v>8405.7495119369487</v>
      </c>
      <c r="D30" s="59"/>
      <c r="E30" s="60"/>
      <c r="F30" s="61"/>
    </row>
    <row r="31" spans="1:6" x14ac:dyDescent="0.25">
      <c r="A31" s="3"/>
      <c r="B31" s="47"/>
      <c r="C31" s="47"/>
    </row>
    <row r="32" spans="1:6" ht="15.75" thickBot="1" x14ac:dyDescent="0.3">
      <c r="A32" s="12" t="s">
        <v>13</v>
      </c>
      <c r="B32" s="75">
        <v>-12824117.932276396</v>
      </c>
      <c r="C32" s="75">
        <f>C27+C30+B32</f>
        <v>1836585.1521794591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D26"/>
  <sheetViews>
    <sheetView zoomScaleNormal="100" workbookViewId="0">
      <selection activeCell="C12" sqref="C12"/>
    </sheetView>
  </sheetViews>
  <sheetFormatPr defaultRowHeight="15" x14ac:dyDescent="0.25"/>
  <cols>
    <col min="1" max="1" width="21.7109375" customWidth="1"/>
    <col min="2" max="2" width="13.7109375" customWidth="1"/>
    <col min="3" max="3" width="16.42578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19" t="s">
        <v>0</v>
      </c>
    </row>
    <row r="2" spans="1:4" x14ac:dyDescent="0.25">
      <c r="A2" s="19" t="s">
        <v>17</v>
      </c>
    </row>
    <row r="3" spans="1:4" x14ac:dyDescent="0.25">
      <c r="A3" s="19" t="s">
        <v>48</v>
      </c>
    </row>
    <row r="4" spans="1:4" x14ac:dyDescent="0.25">
      <c r="A4" s="19" t="s">
        <v>14</v>
      </c>
    </row>
    <row r="5" spans="1:4" x14ac:dyDescent="0.25">
      <c r="A5" s="70">
        <f>'Monthly Cost Tracker AP6'!C4</f>
        <v>45230</v>
      </c>
    </row>
    <row r="7" spans="1:4" ht="15.75" thickBot="1" x14ac:dyDescent="0.3">
      <c r="A7" s="18"/>
      <c r="D7" s="8"/>
    </row>
    <row r="8" spans="1:4" ht="23.25" x14ac:dyDescent="0.25">
      <c r="A8" s="42" t="s">
        <v>43</v>
      </c>
      <c r="B8" s="42" t="s">
        <v>31</v>
      </c>
      <c r="C8" s="38" t="s">
        <v>17</v>
      </c>
      <c r="D8" s="8"/>
    </row>
    <row r="9" spans="1:4" x14ac:dyDescent="0.25">
      <c r="A9" s="35" t="s">
        <v>32</v>
      </c>
      <c r="B9" s="27" t="s">
        <v>33</v>
      </c>
      <c r="C9" s="36">
        <v>283994.4499999999</v>
      </c>
    </row>
    <row r="10" spans="1:4" x14ac:dyDescent="0.25">
      <c r="A10" s="35" t="s">
        <v>34</v>
      </c>
      <c r="B10" s="27" t="s">
        <v>33</v>
      </c>
      <c r="C10" s="36">
        <v>78686.66</v>
      </c>
      <c r="D10" s="8"/>
    </row>
    <row r="11" spans="1:4" x14ac:dyDescent="0.25">
      <c r="A11" s="35" t="s">
        <v>35</v>
      </c>
      <c r="B11" s="27" t="s">
        <v>33</v>
      </c>
      <c r="C11" s="36">
        <v>190981.14</v>
      </c>
      <c r="D11" s="8"/>
    </row>
    <row r="12" spans="1:4" x14ac:dyDescent="0.25">
      <c r="A12" s="35" t="s">
        <v>36</v>
      </c>
      <c r="B12" s="27" t="s">
        <v>37</v>
      </c>
      <c r="C12" s="36">
        <v>90824.159999999974</v>
      </c>
      <c r="D12" s="8"/>
    </row>
    <row r="13" spans="1:4" x14ac:dyDescent="0.25">
      <c r="A13" s="35" t="s">
        <v>38</v>
      </c>
      <c r="B13" s="27" t="s">
        <v>33</v>
      </c>
      <c r="C13" s="36">
        <v>3405.4700000000003</v>
      </c>
      <c r="D13" s="25"/>
    </row>
    <row r="14" spans="1:4" x14ac:dyDescent="0.25">
      <c r="A14" s="35" t="s">
        <v>39</v>
      </c>
      <c r="B14" s="27"/>
      <c r="C14" s="36"/>
      <c r="D14" s="25"/>
    </row>
    <row r="15" spans="1:4" x14ac:dyDescent="0.25">
      <c r="A15" s="37" t="s">
        <v>40</v>
      </c>
      <c r="B15" s="27" t="s">
        <v>37</v>
      </c>
      <c r="C15" s="36">
        <v>4693.6899999999996</v>
      </c>
      <c r="D15" s="25"/>
    </row>
    <row r="16" spans="1:4" x14ac:dyDescent="0.25">
      <c r="A16" s="37" t="s">
        <v>41</v>
      </c>
      <c r="B16" s="27" t="s">
        <v>37</v>
      </c>
      <c r="C16" s="36">
        <v>51468.83</v>
      </c>
      <c r="D16" s="25"/>
    </row>
    <row r="17" spans="1:4" x14ac:dyDescent="0.25">
      <c r="A17" s="37" t="s">
        <v>42</v>
      </c>
      <c r="B17" s="27" t="s">
        <v>37</v>
      </c>
      <c r="C17" s="36">
        <v>46253.820000000007</v>
      </c>
      <c r="D17" s="25"/>
    </row>
    <row r="18" spans="1:4" x14ac:dyDescent="0.25">
      <c r="D18" s="25"/>
    </row>
    <row r="19" spans="1:4" ht="15.75" thickBot="1" x14ac:dyDescent="0.3">
      <c r="A19" s="33" t="s">
        <v>30</v>
      </c>
      <c r="B19" s="32"/>
      <c r="C19" s="34">
        <f>SUM(C9:C18)</f>
        <v>750308.21999999974</v>
      </c>
      <c r="D19" s="25"/>
    </row>
    <row r="20" spans="1:4" ht="15.75" thickTop="1" x14ac:dyDescent="0.25">
      <c r="D20" s="25"/>
    </row>
    <row r="21" spans="1:4" x14ac:dyDescent="0.25">
      <c r="D21" s="25"/>
    </row>
    <row r="22" spans="1:4" x14ac:dyDescent="0.25">
      <c r="D22" s="25"/>
    </row>
    <row r="23" spans="1:4" x14ac:dyDescent="0.25">
      <c r="A23" s="26"/>
      <c r="B23" s="8"/>
      <c r="C23" s="8"/>
    </row>
    <row r="24" spans="1:4" x14ac:dyDescent="0.25">
      <c r="A24" s="26"/>
      <c r="B24" s="8"/>
      <c r="C24" s="8"/>
    </row>
    <row r="25" spans="1:4" x14ac:dyDescent="0.25">
      <c r="A25" s="26"/>
      <c r="B25" s="8"/>
      <c r="C25" s="8"/>
    </row>
    <row r="26" spans="1:4" x14ac:dyDescent="0.25">
      <c r="A26" s="26"/>
      <c r="B26" s="8"/>
      <c r="C26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E58"/>
  <sheetViews>
    <sheetView workbookViewId="0">
      <selection activeCell="D11" sqref="D11"/>
    </sheetView>
  </sheetViews>
  <sheetFormatPr defaultRowHeight="15" x14ac:dyDescent="0.25"/>
  <cols>
    <col min="1" max="1" width="21.85546875" customWidth="1"/>
    <col min="2" max="2" width="12.7109375" customWidth="1"/>
    <col min="3" max="3" width="17.7109375" customWidth="1"/>
    <col min="4" max="4" width="20.7109375" customWidth="1"/>
    <col min="5" max="5" width="22" customWidth="1"/>
    <col min="8" max="8" width="14.5703125" bestFit="1" customWidth="1"/>
  </cols>
  <sheetData>
    <row r="1" spans="1:5" x14ac:dyDescent="0.25">
      <c r="A1" s="19" t="s">
        <v>0</v>
      </c>
    </row>
    <row r="2" spans="1:5" x14ac:dyDescent="0.25">
      <c r="A2" s="19" t="s">
        <v>58</v>
      </c>
    </row>
    <row r="3" spans="1:5" x14ac:dyDescent="0.25">
      <c r="A3" s="19" t="s">
        <v>48</v>
      </c>
    </row>
    <row r="4" spans="1:5" x14ac:dyDescent="0.25">
      <c r="A4" s="19" t="s">
        <v>15</v>
      </c>
    </row>
    <row r="5" spans="1:5" x14ac:dyDescent="0.25">
      <c r="A5" s="20">
        <f>+'18A'!A5</f>
        <v>45230</v>
      </c>
    </row>
    <row r="7" spans="1:5" x14ac:dyDescent="0.25">
      <c r="A7" s="17"/>
      <c r="B7" s="16"/>
      <c r="D7" s="8"/>
    </row>
    <row r="8" spans="1:5" x14ac:dyDescent="0.25">
      <c r="A8" s="51"/>
    </row>
    <row r="9" spans="1:5" ht="15.75" thickBot="1" x14ac:dyDescent="0.3"/>
    <row r="10" spans="1:5" ht="35.25" customHeight="1" x14ac:dyDescent="0.25">
      <c r="A10" s="38" t="s">
        <v>43</v>
      </c>
      <c r="B10" s="38" t="s">
        <v>31</v>
      </c>
      <c r="C10" s="38" t="str">
        <f>CONCATENATE(TEXT($A$5,"MMM-YYYY")," kWh")</f>
        <v>Oct-2023 kWh</v>
      </c>
      <c r="D10" s="63" t="s">
        <v>67</v>
      </c>
      <c r="E10" s="63" t="s">
        <v>59</v>
      </c>
    </row>
    <row r="11" spans="1:5" x14ac:dyDescent="0.25">
      <c r="A11" s="35" t="s">
        <v>32</v>
      </c>
      <c r="B11" s="27" t="s">
        <v>33</v>
      </c>
      <c r="C11" s="62">
        <v>796934892.872926</v>
      </c>
      <c r="D11" s="69">
        <f>($E$38/$E$57)</f>
        <v>2.334277972445468E-4</v>
      </c>
      <c r="E11" s="52">
        <f>C11*D11</f>
        <v>186026.75659064599</v>
      </c>
    </row>
    <row r="12" spans="1:5" x14ac:dyDescent="0.25">
      <c r="A12" s="35" t="s">
        <v>34</v>
      </c>
      <c r="B12" s="27" t="s">
        <v>33</v>
      </c>
      <c r="C12" s="62">
        <v>232016813.26554823</v>
      </c>
      <c r="D12" s="69">
        <f>($E$38/$E$57)</f>
        <v>2.334277972445468E-4</v>
      </c>
      <c r="E12" s="52">
        <f>C12*D12</f>
        <v>54159.17364427627</v>
      </c>
    </row>
    <row r="13" spans="1:5" x14ac:dyDescent="0.25">
      <c r="A13" s="35" t="s">
        <v>35</v>
      </c>
      <c r="B13" s="27" t="s">
        <v>33</v>
      </c>
      <c r="C13" s="62">
        <v>570793418.62355804</v>
      </c>
      <c r="D13" s="69">
        <f>($E$38/$E$57)</f>
        <v>2.334277972445468E-4</v>
      </c>
      <c r="E13" s="52">
        <f t="shared" ref="E13:E19" si="0">C13*D13</f>
        <v>133239.05039098163</v>
      </c>
    </row>
    <row r="14" spans="1:5" x14ac:dyDescent="0.25">
      <c r="A14" s="35" t="s">
        <v>36</v>
      </c>
      <c r="B14" s="27" t="s">
        <v>37</v>
      </c>
      <c r="C14" s="62">
        <v>277567648.13204825</v>
      </c>
      <c r="D14" s="69">
        <f>($E$38/$E$57)</f>
        <v>2.334277972445468E-4</v>
      </c>
      <c r="E14" s="52">
        <f t="shared" si="0"/>
        <v>64792.004689813468</v>
      </c>
    </row>
    <row r="15" spans="1:5" x14ac:dyDescent="0.25">
      <c r="A15" s="35" t="s">
        <v>38</v>
      </c>
      <c r="B15" s="27" t="s">
        <v>33</v>
      </c>
      <c r="C15" s="62">
        <v>12382906.995813956</v>
      </c>
      <c r="D15" s="69">
        <f>($E$38/$E$57)</f>
        <v>2.334277972445468E-4</v>
      </c>
      <c r="E15" s="52">
        <f t="shared" si="0"/>
        <v>2890.5147035169402</v>
      </c>
    </row>
    <row r="16" spans="1:5" x14ac:dyDescent="0.25">
      <c r="A16" s="35" t="s">
        <v>39</v>
      </c>
      <c r="B16" s="27"/>
      <c r="C16" s="62"/>
      <c r="D16" s="69"/>
      <c r="E16" s="52"/>
    </row>
    <row r="17" spans="1:5" x14ac:dyDescent="0.25">
      <c r="A17" s="37" t="s">
        <v>40</v>
      </c>
      <c r="B17" s="27" t="s">
        <v>37</v>
      </c>
      <c r="C17" s="62">
        <v>13696818.187137887</v>
      </c>
      <c r="D17" s="69">
        <f>($E$38/$E$57)</f>
        <v>2.334277972445468E-4</v>
      </c>
      <c r="E17" s="52">
        <f t="shared" si="0"/>
        <v>3197.2180986826438</v>
      </c>
    </row>
    <row r="18" spans="1:5" x14ac:dyDescent="0.25">
      <c r="A18" s="37" t="s">
        <v>41</v>
      </c>
      <c r="B18" s="27" t="s">
        <v>37</v>
      </c>
      <c r="C18" s="62">
        <v>148712850.2912122</v>
      </c>
      <c r="D18" s="69">
        <f>($E$38/$E$57)</f>
        <v>2.334277972445468E-4</v>
      </c>
      <c r="E18" s="52">
        <f t="shared" si="0"/>
        <v>34713.713065435724</v>
      </c>
    </row>
    <row r="19" spans="1:5" x14ac:dyDescent="0.25">
      <c r="A19" s="37" t="s">
        <v>42</v>
      </c>
      <c r="B19" s="27" t="s">
        <v>37</v>
      </c>
      <c r="C19" s="62">
        <v>136454718.63175532</v>
      </c>
      <c r="D19" s="69">
        <f>($E$38/$E$57)</f>
        <v>2.334277972445468E-4</v>
      </c>
      <c r="E19" s="52">
        <f t="shared" si="0"/>
        <v>31852.324393835064</v>
      </c>
    </row>
    <row r="20" spans="1:5" x14ac:dyDescent="0.25">
      <c r="C20" s="53"/>
      <c r="D20" s="53"/>
      <c r="E20" s="53"/>
    </row>
    <row r="21" spans="1:5" ht="15.75" thickBot="1" x14ac:dyDescent="0.3">
      <c r="A21" s="33" t="s">
        <v>30</v>
      </c>
      <c r="B21" s="32"/>
      <c r="C21" s="54">
        <f>SUM(C11:C20)</f>
        <v>2188560067</v>
      </c>
      <c r="D21" s="54"/>
      <c r="E21" s="54">
        <f t="shared" ref="E21" si="1">SUM(E11:E20)</f>
        <v>510870.75557718775</v>
      </c>
    </row>
    <row r="22" spans="1:5" ht="15.75" thickTop="1" x14ac:dyDescent="0.25"/>
    <row r="24" spans="1:5" ht="17.25" x14ac:dyDescent="0.25">
      <c r="A24" t="s">
        <v>61</v>
      </c>
    </row>
    <row r="30" spans="1:5" x14ac:dyDescent="0.25">
      <c r="A30" s="55" t="s">
        <v>64</v>
      </c>
      <c r="B30" s="55"/>
      <c r="C30" s="55"/>
      <c r="D30" s="55"/>
      <c r="E30" s="55"/>
    </row>
    <row r="38" spans="1:5" x14ac:dyDescent="0.25">
      <c r="E38" s="25">
        <v>7205895</v>
      </c>
    </row>
    <row r="40" spans="1:5" x14ac:dyDescent="0.25">
      <c r="A40" s="55" t="s">
        <v>65</v>
      </c>
      <c r="B40" s="55"/>
      <c r="C40" s="55"/>
      <c r="D40" s="55"/>
      <c r="E40" s="55"/>
    </row>
    <row r="50" spans="5:5" x14ac:dyDescent="0.25">
      <c r="E50" s="66">
        <v>13281323630</v>
      </c>
    </row>
    <row r="51" spans="5:5" x14ac:dyDescent="0.25">
      <c r="E51" s="66">
        <v>3137528082</v>
      </c>
    </row>
    <row r="52" spans="5:5" x14ac:dyDescent="0.25">
      <c r="E52" s="66">
        <v>7243993310</v>
      </c>
    </row>
    <row r="53" spans="5:5" x14ac:dyDescent="0.25">
      <c r="E53" s="66">
        <v>3510154524</v>
      </c>
    </row>
    <row r="54" spans="5:5" x14ac:dyDescent="0.25">
      <c r="E54" s="66">
        <v>3555986080</v>
      </c>
    </row>
    <row r="55" spans="5:5" x14ac:dyDescent="0.25">
      <c r="E55" s="66">
        <v>90105532</v>
      </c>
    </row>
    <row r="56" spans="5:5" x14ac:dyDescent="0.25">
      <c r="E56" s="66">
        <v>50818446</v>
      </c>
    </row>
    <row r="57" spans="5:5" ht="15.75" thickBot="1" x14ac:dyDescent="0.3">
      <c r="E57" s="67">
        <f>SUM(E50:E56)</f>
        <v>30869909604</v>
      </c>
    </row>
    <row r="58" spans="5:5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H9"/>
  <sheetViews>
    <sheetView workbookViewId="0">
      <selection activeCell="D10" sqref="D10"/>
    </sheetView>
  </sheetViews>
  <sheetFormatPr defaultRowHeight="15" x14ac:dyDescent="0.25"/>
  <cols>
    <col min="1" max="1" width="39" customWidth="1"/>
    <col min="2" max="2" width="50.5703125" customWidth="1"/>
    <col min="3" max="3" width="3.42578125" customWidth="1"/>
    <col min="4" max="4" width="21.5703125" customWidth="1"/>
  </cols>
  <sheetData>
    <row r="1" spans="1:8" x14ac:dyDescent="0.25">
      <c r="A1" s="19" t="s">
        <v>0</v>
      </c>
    </row>
    <row r="2" spans="1:8" x14ac:dyDescent="0.25">
      <c r="A2" s="19" t="s">
        <v>19</v>
      </c>
    </row>
    <row r="3" spans="1:8" x14ac:dyDescent="0.25">
      <c r="A3" s="19" t="s">
        <v>49</v>
      </c>
    </row>
    <row r="4" spans="1:8" x14ac:dyDescent="0.25">
      <c r="A4" s="20">
        <f>+'18A'!A5</f>
        <v>45230</v>
      </c>
    </row>
    <row r="6" spans="1:8" x14ac:dyDescent="0.25">
      <c r="A6" s="17"/>
      <c r="B6" s="16"/>
      <c r="D6" s="8"/>
    </row>
    <row r="7" spans="1:8" ht="15" customHeight="1" x14ac:dyDescent="0.25">
      <c r="A7" t="s">
        <v>69</v>
      </c>
      <c r="B7" s="65"/>
      <c r="C7" s="65"/>
      <c r="D7" s="65"/>
      <c r="E7" s="65"/>
      <c r="F7" s="65"/>
      <c r="G7" s="65"/>
      <c r="H7" s="65"/>
    </row>
    <row r="8" spans="1:8" x14ac:dyDescent="0.25">
      <c r="A8" s="64"/>
      <c r="B8" s="64"/>
      <c r="C8" s="64"/>
      <c r="D8" s="64"/>
      <c r="E8" s="64"/>
      <c r="F8" s="64"/>
      <c r="G8" s="64"/>
      <c r="H8" s="64"/>
    </row>
    <row r="9" spans="1:8" x14ac:dyDescent="0.25">
      <c r="A9" s="64"/>
      <c r="B9" s="64"/>
      <c r="C9" s="64"/>
      <c r="D9" s="64"/>
      <c r="E9" s="64"/>
      <c r="F9" s="64"/>
      <c r="G9" s="64"/>
      <c r="H9" s="64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G21"/>
  <sheetViews>
    <sheetView workbookViewId="0">
      <selection activeCell="L13" sqref="L13"/>
    </sheetView>
  </sheetViews>
  <sheetFormatPr defaultRowHeight="15" x14ac:dyDescent="0.25"/>
  <cols>
    <col min="1" max="1" width="20.28515625" customWidth="1"/>
    <col min="2" max="2" width="15.71093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19" t="s">
        <v>0</v>
      </c>
    </row>
    <row r="2" spans="1:7" x14ac:dyDescent="0.25">
      <c r="A2" s="19" t="s">
        <v>18</v>
      </c>
    </row>
    <row r="3" spans="1:7" x14ac:dyDescent="0.25">
      <c r="A3" s="19" t="s">
        <v>48</v>
      </c>
    </row>
    <row r="4" spans="1:7" x14ac:dyDescent="0.25">
      <c r="A4" s="19" t="s">
        <v>16</v>
      </c>
    </row>
    <row r="5" spans="1:7" x14ac:dyDescent="0.25">
      <c r="A5" s="20">
        <f>+'18A'!A5</f>
        <v>45230</v>
      </c>
    </row>
    <row r="6" spans="1:7" ht="15.75" thickBot="1" x14ac:dyDescent="0.3"/>
    <row r="7" spans="1:7" ht="42.75" customHeight="1" x14ac:dyDescent="0.25">
      <c r="A7" s="38" t="s">
        <v>43</v>
      </c>
      <c r="B7" s="38" t="s">
        <v>31</v>
      </c>
      <c r="C7" s="38" t="s">
        <v>17</v>
      </c>
      <c r="D7" s="38" t="s">
        <v>47</v>
      </c>
      <c r="E7" s="38" t="s">
        <v>68</v>
      </c>
      <c r="F7" s="38" t="s">
        <v>46</v>
      </c>
      <c r="G7" s="38" t="s">
        <v>44</v>
      </c>
    </row>
    <row r="8" spans="1:7" x14ac:dyDescent="0.25">
      <c r="A8" s="27" t="s">
        <v>32</v>
      </c>
      <c r="B8" s="27" t="s">
        <v>33</v>
      </c>
      <c r="C8" s="36">
        <f>'18A'!C9</f>
        <v>283994.4499999999</v>
      </c>
      <c r="D8" s="39">
        <v>684373010</v>
      </c>
      <c r="E8" s="68">
        <v>3.2365161420513526E-4</v>
      </c>
      <c r="F8" s="36">
        <f>D8*E8</f>
        <v>221498.42940492718</v>
      </c>
      <c r="G8" s="36">
        <f>F8-C8</f>
        <v>-62496.02059507271</v>
      </c>
    </row>
    <row r="9" spans="1:7" x14ac:dyDescent="0.25">
      <c r="A9" s="27" t="s">
        <v>34</v>
      </c>
      <c r="B9" s="27" t="s">
        <v>33</v>
      </c>
      <c r="C9" s="36">
        <f>'18A'!C10</f>
        <v>78686.66</v>
      </c>
      <c r="D9" s="39">
        <v>207833129.99999997</v>
      </c>
      <c r="E9" s="68">
        <v>3.2365161420513526E-4</v>
      </c>
      <c r="F9" s="36">
        <f t="shared" ref="F9:F16" si="0">D9*E9</f>
        <v>67265.528009805712</v>
      </c>
      <c r="G9" s="36">
        <f t="shared" ref="G9:G16" si="1">F9-C9</f>
        <v>-11421.131990194292</v>
      </c>
    </row>
    <row r="10" spans="1:7" x14ac:dyDescent="0.25">
      <c r="A10" s="27" t="s">
        <v>35</v>
      </c>
      <c r="B10" s="27" t="s">
        <v>33</v>
      </c>
      <c r="C10" s="36">
        <f>'18A'!C11</f>
        <v>190981.14</v>
      </c>
      <c r="D10" s="39">
        <v>578449790</v>
      </c>
      <c r="E10" s="68">
        <v>3.2365161420513526E-4</v>
      </c>
      <c r="F10" s="36">
        <f t="shared" si="0"/>
        <v>187216.20827012151</v>
      </c>
      <c r="G10" s="36">
        <f t="shared" si="1"/>
        <v>-3764.9317298785027</v>
      </c>
    </row>
    <row r="11" spans="1:7" x14ac:dyDescent="0.25">
      <c r="A11" s="27" t="s">
        <v>36</v>
      </c>
      <c r="B11" s="27" t="s">
        <v>37</v>
      </c>
      <c r="C11" s="36">
        <f>'18A'!C12</f>
        <v>90824.159999999974</v>
      </c>
      <c r="D11" s="39">
        <v>299452320</v>
      </c>
      <c r="E11" s="68">
        <v>3.2365161420513526E-4</v>
      </c>
      <c r="F11" s="36">
        <f t="shared" si="0"/>
        <v>96918.226745472712</v>
      </c>
      <c r="G11" s="36">
        <f t="shared" si="1"/>
        <v>6094.0667454727372</v>
      </c>
    </row>
    <row r="12" spans="1:7" x14ac:dyDescent="0.25">
      <c r="A12" s="27" t="s">
        <v>45</v>
      </c>
      <c r="B12" s="27" t="s">
        <v>33</v>
      </c>
      <c r="C12" s="36">
        <f>'18A'!C13</f>
        <v>3405.4700000000003</v>
      </c>
      <c r="D12" s="39">
        <v>11826292.300944805</v>
      </c>
      <c r="E12" s="68">
        <v>3.2365161420513526E-4</v>
      </c>
      <c r="F12" s="36">
        <f t="shared" si="0"/>
        <v>3827.5985932625495</v>
      </c>
      <c r="G12" s="36">
        <f t="shared" si="1"/>
        <v>422.1285932625492</v>
      </c>
    </row>
    <row r="13" spans="1:7" x14ac:dyDescent="0.25">
      <c r="A13" s="27" t="s">
        <v>39</v>
      </c>
      <c r="B13" s="27"/>
      <c r="C13" s="36">
        <f>'18A'!C14</f>
        <v>0</v>
      </c>
      <c r="D13" s="39"/>
      <c r="E13" s="68"/>
      <c r="F13" s="36"/>
      <c r="G13" s="36"/>
    </row>
    <row r="14" spans="1:7" x14ac:dyDescent="0.25">
      <c r="A14" s="28" t="s">
        <v>40</v>
      </c>
      <c r="B14" s="27" t="s">
        <v>37</v>
      </c>
      <c r="C14" s="36">
        <f>'18A'!C15</f>
        <v>4693.6899999999996</v>
      </c>
      <c r="D14" s="39">
        <v>13999358.209999999</v>
      </c>
      <c r="E14" s="68">
        <v>3.2365161420513526E-4</v>
      </c>
      <c r="F14" s="36">
        <f t="shared" si="0"/>
        <v>4530.9148825024122</v>
      </c>
      <c r="G14" s="36">
        <f t="shared" si="1"/>
        <v>-162.77511749758742</v>
      </c>
    </row>
    <row r="15" spans="1:7" x14ac:dyDescent="0.25">
      <c r="A15" s="28" t="s">
        <v>41</v>
      </c>
      <c r="B15" s="27" t="s">
        <v>37</v>
      </c>
      <c r="C15" s="36">
        <f>'18A'!C16</f>
        <v>51468.83</v>
      </c>
      <c r="D15" s="39">
        <v>176131460.27000001</v>
      </c>
      <c r="E15" s="68">
        <v>3.2365161420513526E-4</v>
      </c>
      <c r="F15" s="36">
        <f t="shared" si="0"/>
        <v>57005.231428693151</v>
      </c>
      <c r="G15" s="36">
        <f t="shared" si="1"/>
        <v>5536.4014286931488</v>
      </c>
    </row>
    <row r="16" spans="1:7" x14ac:dyDescent="0.25">
      <c r="A16" s="28" t="s">
        <v>42</v>
      </c>
      <c r="B16" s="27" t="s">
        <v>37</v>
      </c>
      <c r="C16" s="36">
        <f>'18A'!C17</f>
        <v>46253.820000000007</v>
      </c>
      <c r="D16" s="39">
        <v>135435651.51999998</v>
      </c>
      <c r="E16" s="68">
        <v>3.2365161420513526E-4</v>
      </c>
      <c r="F16" s="36">
        <f t="shared" si="0"/>
        <v>43833.967235372176</v>
      </c>
      <c r="G16" s="36">
        <f t="shared" si="1"/>
        <v>-2419.8527646278308</v>
      </c>
    </row>
    <row r="17" spans="1:7" x14ac:dyDescent="0.25">
      <c r="C17" s="40"/>
      <c r="D17" s="39"/>
      <c r="E17" s="29"/>
      <c r="F17" s="36"/>
      <c r="G17" s="36"/>
    </row>
    <row r="18" spans="1:7" ht="15.75" thickBot="1" x14ac:dyDescent="0.3">
      <c r="A18" s="33" t="s">
        <v>30</v>
      </c>
      <c r="B18" s="32"/>
      <c r="C18" s="34">
        <f>SUM(C8:C17)</f>
        <v>750308.21999999974</v>
      </c>
      <c r="D18" s="41">
        <f>SUM(D8:D17)</f>
        <v>2107501012.3009448</v>
      </c>
      <c r="E18" s="30"/>
      <c r="F18" s="34">
        <f>SUM(F8:F17)</f>
        <v>682096.10457015748</v>
      </c>
      <c r="G18" s="34">
        <f>SUM(G8:G17)</f>
        <v>-68212.115429842495</v>
      </c>
    </row>
    <row r="19" spans="1:7" ht="15.75" thickTop="1" x14ac:dyDescent="0.25">
      <c r="G19" s="31"/>
    </row>
    <row r="20" spans="1:7" x14ac:dyDescent="0.25">
      <c r="D20" s="31"/>
    </row>
    <row r="21" spans="1:7" x14ac:dyDescent="0.25">
      <c r="D21" s="2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A7"/>
  <sheetViews>
    <sheetView workbookViewId="0">
      <selection activeCell="A5" sqref="A5"/>
    </sheetView>
  </sheetViews>
  <sheetFormatPr defaultRowHeight="15" x14ac:dyDescent="0.25"/>
  <cols>
    <col min="1" max="1" width="80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20</v>
      </c>
    </row>
    <row r="3" spans="1:1" x14ac:dyDescent="0.25">
      <c r="A3" s="19" t="s">
        <v>50</v>
      </c>
    </row>
    <row r="4" spans="1:1" x14ac:dyDescent="0.25">
      <c r="A4" s="20">
        <f>+'18A'!A5</f>
        <v>45230</v>
      </c>
    </row>
    <row r="7" spans="1:1" x14ac:dyDescent="0.25">
      <c r="A7" t="s">
        <v>21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A7"/>
  <sheetViews>
    <sheetView workbookViewId="0">
      <selection activeCell="F23" sqref="F23"/>
    </sheetView>
  </sheetViews>
  <sheetFormatPr defaultRowHeight="15" x14ac:dyDescent="0.25"/>
  <cols>
    <col min="1" max="1" width="56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22</v>
      </c>
    </row>
    <row r="3" spans="1:1" x14ac:dyDescent="0.25">
      <c r="A3" s="19" t="s">
        <v>51</v>
      </c>
    </row>
    <row r="4" spans="1:1" x14ac:dyDescent="0.25">
      <c r="A4" s="20">
        <f>+'18A'!A5</f>
        <v>45230</v>
      </c>
    </row>
    <row r="7" spans="1:1" x14ac:dyDescent="0.25">
      <c r="A7" t="s">
        <v>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AP4</vt:lpstr>
      <vt:lpstr>Monthly Cost Tracker AP5</vt:lpstr>
      <vt:lpstr>Monthly Cost Tracker AP6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Pfaff, Maria</cp:lastModifiedBy>
  <dcterms:created xsi:type="dcterms:W3CDTF">2019-08-15T19:17:26Z</dcterms:created>
  <dcterms:modified xsi:type="dcterms:W3CDTF">2023-11-29T20:37:40Z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