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OBINETT\TESTIMONY\EF-2024-0021 Ameren\Rebuttal\"/>
    </mc:Choice>
  </mc:AlternateContent>
  <xr:revisionPtr revIDLastSave="0" documentId="13_ncr:1_{FEEA8C76-64D1-4AFB-8C6A-793253651CDA}" xr6:coauthVersionLast="47" xr6:coauthVersionMax="47" xr10:uidLastSave="{00000000-0000-0000-0000-000000000000}"/>
  <bookViews>
    <workbookView xWindow="30" yWindow="180" windowWidth="23385" windowHeight="15420" activeTab="3" xr2:uid="{2FE616B1-9BFB-4905-98F0-7E362550EF16}"/>
  </bookViews>
  <sheets>
    <sheet name="22 Staff rebut true-up acc" sheetId="1" r:id="rId1"/>
    <sheet name="21 Depreciation study" sheetId="2" r:id="rId2"/>
    <sheet name="MJL-D2 forward" sheetId="3" r:id="rId3"/>
    <sheet name="Depr expense post transfer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5" i="4"/>
  <c r="E6" i="4"/>
  <c r="E7" i="4"/>
  <c r="E8" i="4"/>
  <c r="E9" i="4"/>
  <c r="E10" i="4"/>
  <c r="E11" i="4"/>
  <c r="E12" i="4"/>
  <c r="E4" i="4"/>
  <c r="C12" i="4"/>
  <c r="C8" i="4"/>
  <c r="C7" i="4"/>
  <c r="C6" i="4"/>
  <c r="C5" i="4"/>
  <c r="R68" i="1"/>
  <c r="R67" i="1"/>
  <c r="R66" i="1"/>
  <c r="R65" i="1"/>
  <c r="S68" i="1"/>
  <c r="S67" i="1"/>
  <c r="S66" i="1"/>
  <c r="S65" i="1"/>
  <c r="N68" i="1"/>
  <c r="N67" i="1"/>
  <c r="N66" i="1"/>
  <c r="N65" i="1"/>
  <c r="M68" i="1"/>
  <c r="M67" i="1"/>
  <c r="M66" i="1"/>
  <c r="M65" i="1"/>
  <c r="I68" i="1"/>
  <c r="I67" i="1"/>
  <c r="I66" i="1"/>
  <c r="I65" i="1"/>
  <c r="H68" i="1"/>
  <c r="H67" i="1"/>
  <c r="H66" i="1"/>
  <c r="H65" i="1"/>
  <c r="D68" i="1"/>
  <c r="D67" i="1"/>
  <c r="D66" i="1"/>
  <c r="D65" i="1"/>
  <c r="C68" i="1"/>
  <c r="C67" i="1"/>
  <c r="C66" i="1"/>
  <c r="C65" i="1"/>
  <c r="C72" i="1" s="1"/>
  <c r="S58" i="3"/>
  <c r="R58" i="3"/>
  <c r="N58" i="3"/>
  <c r="M58" i="3"/>
  <c r="I58" i="3"/>
  <c r="H58" i="3"/>
  <c r="D58" i="3"/>
  <c r="C58" i="3"/>
  <c r="I90" i="2"/>
  <c r="I89" i="2"/>
  <c r="I88" i="2"/>
  <c r="I87" i="2"/>
  <c r="I91" i="2"/>
  <c r="I92" i="2"/>
  <c r="I93" i="2"/>
  <c r="I86" i="2"/>
  <c r="S94" i="2"/>
  <c r="S90" i="2"/>
  <c r="S89" i="2"/>
  <c r="S88" i="2"/>
  <c r="S87" i="2"/>
  <c r="S91" i="2"/>
  <c r="S92" i="2"/>
  <c r="S93" i="2"/>
  <c r="S86" i="2"/>
  <c r="M90" i="2"/>
  <c r="M89" i="2"/>
  <c r="M88" i="2"/>
  <c r="M87" i="2"/>
  <c r="N90" i="2"/>
  <c r="N89" i="2"/>
  <c r="N88" i="2"/>
  <c r="N87" i="2"/>
  <c r="D90" i="2"/>
  <c r="D89" i="2"/>
  <c r="D88" i="2"/>
  <c r="D87" i="2"/>
  <c r="C90" i="2"/>
  <c r="C89" i="2"/>
  <c r="C88" i="2"/>
  <c r="C87" i="2"/>
  <c r="S54" i="3"/>
  <c r="S53" i="3"/>
  <c r="S52" i="3"/>
  <c r="S51" i="3"/>
  <c r="R54" i="3"/>
  <c r="R53" i="3"/>
  <c r="R52" i="3"/>
  <c r="R51" i="3"/>
  <c r="N54" i="3"/>
  <c r="N53" i="3"/>
  <c r="N52" i="3"/>
  <c r="N51" i="3"/>
  <c r="M54" i="3"/>
  <c r="M53" i="3"/>
  <c r="M52" i="3"/>
  <c r="M51" i="3"/>
  <c r="I54" i="3"/>
  <c r="I53" i="3"/>
  <c r="I52" i="3"/>
  <c r="I51" i="3"/>
  <c r="H54" i="3"/>
  <c r="H53" i="3"/>
  <c r="H52" i="3"/>
  <c r="H51" i="3"/>
  <c r="D54" i="3"/>
  <c r="D53" i="3"/>
  <c r="D52" i="3"/>
  <c r="D51" i="3"/>
  <c r="C54" i="3"/>
  <c r="C53" i="3"/>
  <c r="C52" i="3"/>
  <c r="C51" i="3"/>
  <c r="H94" i="2"/>
  <c r="N91" i="2"/>
  <c r="N92" i="2"/>
  <c r="N93" i="2"/>
  <c r="N86" i="2"/>
  <c r="N94" i="2" s="1"/>
  <c r="M94" i="2"/>
  <c r="D91" i="2"/>
  <c r="D92" i="2"/>
  <c r="D93" i="2"/>
  <c r="D86" i="2"/>
  <c r="C94" i="2"/>
  <c r="S72" i="1"/>
  <c r="S71" i="1"/>
  <c r="S69" i="1"/>
  <c r="S70" i="1"/>
  <c r="S64" i="1"/>
  <c r="M69" i="1"/>
  <c r="R69" i="1" s="1"/>
  <c r="M70" i="1"/>
  <c r="R70" i="1" s="1"/>
  <c r="M71" i="1"/>
  <c r="R71" i="1" s="1"/>
  <c r="M64" i="1"/>
  <c r="M72" i="1" s="1"/>
  <c r="N69" i="1"/>
  <c r="N70" i="1"/>
  <c r="N71" i="1"/>
  <c r="N64" i="1"/>
  <c r="I69" i="1"/>
  <c r="I70" i="1"/>
  <c r="I71" i="1"/>
  <c r="I64" i="1"/>
  <c r="I72" i="1" s="1"/>
  <c r="I50" i="1"/>
  <c r="I51" i="1"/>
  <c r="I52" i="1"/>
  <c r="I53" i="1"/>
  <c r="I54" i="1"/>
  <c r="I55" i="1"/>
  <c r="I56" i="1"/>
  <c r="I49" i="1"/>
  <c r="I57" i="1" s="1"/>
  <c r="D50" i="1"/>
  <c r="D51" i="1"/>
  <c r="D52" i="1"/>
  <c r="D53" i="1"/>
  <c r="D54" i="1"/>
  <c r="D55" i="1"/>
  <c r="D70" i="1" s="1"/>
  <c r="D56" i="1"/>
  <c r="D71" i="1" s="1"/>
  <c r="D49" i="1"/>
  <c r="D64" i="1"/>
  <c r="D69" i="1"/>
  <c r="H72" i="1"/>
  <c r="H57" i="1"/>
  <c r="C57" i="1"/>
  <c r="N72" i="2"/>
  <c r="N73" i="2"/>
  <c r="N74" i="2"/>
  <c r="N75" i="2"/>
  <c r="N76" i="2"/>
  <c r="N77" i="2"/>
  <c r="N78" i="2"/>
  <c r="N71" i="2"/>
  <c r="N79" i="2" s="1"/>
  <c r="I71" i="2"/>
  <c r="I72" i="2"/>
  <c r="I73" i="2"/>
  <c r="I74" i="2"/>
  <c r="I75" i="2"/>
  <c r="I76" i="2"/>
  <c r="I77" i="2"/>
  <c r="I78" i="2"/>
  <c r="D72" i="2"/>
  <c r="D73" i="2"/>
  <c r="D74" i="2"/>
  <c r="D75" i="2"/>
  <c r="D76" i="2"/>
  <c r="D77" i="2"/>
  <c r="D78" i="2"/>
  <c r="D71" i="2"/>
  <c r="D79" i="2" s="1"/>
  <c r="M79" i="2"/>
  <c r="C79" i="2"/>
  <c r="I59" i="3"/>
  <c r="H59" i="3"/>
  <c r="I40" i="3"/>
  <c r="H44" i="3"/>
  <c r="N59" i="3"/>
  <c r="S59" i="3"/>
  <c r="R59" i="3"/>
  <c r="M59" i="3"/>
  <c r="D59" i="3"/>
  <c r="R47" i="3"/>
  <c r="S47" i="3" s="1"/>
  <c r="M47" i="3"/>
  <c r="N47" i="3" s="1"/>
  <c r="C47" i="3"/>
  <c r="D47" i="3" s="1"/>
  <c r="C44" i="3"/>
  <c r="R44" i="3"/>
  <c r="M44" i="3"/>
  <c r="D20" i="3"/>
  <c r="D35" i="3" s="1"/>
  <c r="D21" i="3"/>
  <c r="N36" i="3" s="1"/>
  <c r="D22" i="3"/>
  <c r="N37" i="3" s="1"/>
  <c r="D23" i="3"/>
  <c r="S38" i="3" s="1"/>
  <c r="D24" i="3"/>
  <c r="S39" i="3" s="1"/>
  <c r="D25" i="3"/>
  <c r="N40" i="3" s="1"/>
  <c r="D26" i="3"/>
  <c r="S41" i="3" s="1"/>
  <c r="D27" i="3"/>
  <c r="N42" i="3" s="1"/>
  <c r="D28" i="3"/>
  <c r="D43" i="3" s="1"/>
  <c r="D19" i="3"/>
  <c r="N34" i="3" s="1"/>
  <c r="C29" i="3"/>
  <c r="H90" i="2"/>
  <c r="H89" i="2"/>
  <c r="R89" i="2" s="1"/>
  <c r="H88" i="2"/>
  <c r="H87" i="2"/>
  <c r="R87" i="2" s="1"/>
  <c r="R88" i="2"/>
  <c r="R91" i="2"/>
  <c r="R92" i="2"/>
  <c r="R93" i="2"/>
  <c r="R86" i="2"/>
  <c r="R64" i="1"/>
  <c r="C59" i="3" l="1"/>
  <c r="D61" i="3" s="1"/>
  <c r="S61" i="3"/>
  <c r="N61" i="3"/>
  <c r="I61" i="3"/>
  <c r="D94" i="2"/>
  <c r="D96" i="2" s="1"/>
  <c r="N96" i="2"/>
  <c r="D72" i="1"/>
  <c r="D74" i="1" s="1"/>
  <c r="I74" i="1"/>
  <c r="D57" i="1"/>
  <c r="D59" i="1" s="1"/>
  <c r="I59" i="1"/>
  <c r="R72" i="1"/>
  <c r="N81" i="2"/>
  <c r="D81" i="2"/>
  <c r="R90" i="2"/>
  <c r="I39" i="3"/>
  <c r="I38" i="3"/>
  <c r="D34" i="3"/>
  <c r="I37" i="3"/>
  <c r="I34" i="3"/>
  <c r="I44" i="3" s="1"/>
  <c r="I36" i="3"/>
  <c r="I43" i="3"/>
  <c r="I35" i="3"/>
  <c r="I42" i="3"/>
  <c r="D42" i="3"/>
  <c r="I41" i="3"/>
  <c r="S43" i="3"/>
  <c r="S42" i="3"/>
  <c r="N43" i="3"/>
  <c r="D41" i="3"/>
  <c r="S40" i="3"/>
  <c r="N41" i="3"/>
  <c r="D40" i="3"/>
  <c r="S37" i="3"/>
  <c r="D39" i="3"/>
  <c r="S36" i="3"/>
  <c r="N39" i="3"/>
  <c r="S35" i="3"/>
  <c r="N35" i="3"/>
  <c r="S34" i="3"/>
  <c r="D37" i="3"/>
  <c r="N38" i="3"/>
  <c r="D36" i="3"/>
  <c r="D38" i="3"/>
  <c r="D29" i="3"/>
  <c r="I94" i="2"/>
  <c r="I96" i="2" s="1"/>
  <c r="R94" i="2"/>
  <c r="S96" i="2" s="1"/>
  <c r="N72" i="1"/>
  <c r="N74" i="1" l="1"/>
  <c r="N44" i="3"/>
  <c r="S44" i="3"/>
  <c r="D44" i="3"/>
  <c r="D14" i="3"/>
  <c r="C14" i="3"/>
  <c r="C45" i="1"/>
  <c r="D26" i="1"/>
  <c r="D38" i="1" s="1"/>
  <c r="S50" i="1" s="1"/>
  <c r="D27" i="1"/>
  <c r="D39" i="1" s="1"/>
  <c r="S51" i="1" s="1"/>
  <c r="D28" i="1"/>
  <c r="D40" i="1" s="1"/>
  <c r="S52" i="1" s="1"/>
  <c r="D29" i="1"/>
  <c r="D41" i="1" s="1"/>
  <c r="S53" i="1" s="1"/>
  <c r="D30" i="1"/>
  <c r="D42" i="1" s="1"/>
  <c r="S54" i="1" s="1"/>
  <c r="D31" i="1"/>
  <c r="D43" i="1" s="1"/>
  <c r="S55" i="1" s="1"/>
  <c r="D32" i="1"/>
  <c r="D44" i="1" s="1"/>
  <c r="S56" i="1" s="1"/>
  <c r="D25" i="1"/>
  <c r="D37" i="1" s="1"/>
  <c r="S49" i="1" s="1"/>
  <c r="S74" i="1" s="1"/>
  <c r="C33" i="1"/>
  <c r="R79" i="2"/>
  <c r="H79" i="2"/>
  <c r="C66" i="2"/>
  <c r="C54" i="2"/>
  <c r="C42" i="2"/>
  <c r="D26" i="2"/>
  <c r="D38" i="2" s="1"/>
  <c r="D50" i="2" s="1"/>
  <c r="D62" i="2" s="1"/>
  <c r="D27" i="2"/>
  <c r="D39" i="2" s="1"/>
  <c r="D51" i="2" s="1"/>
  <c r="D63" i="2" s="1"/>
  <c r="D28" i="2"/>
  <c r="D40" i="2" s="1"/>
  <c r="D29" i="2"/>
  <c r="D41" i="2" s="1"/>
  <c r="D53" i="2" s="1"/>
  <c r="D23" i="2"/>
  <c r="D35" i="2" s="1"/>
  <c r="D47" i="2" s="1"/>
  <c r="D59" i="2" s="1"/>
  <c r="D24" i="2"/>
  <c r="D36" i="2" s="1"/>
  <c r="D48" i="2" s="1"/>
  <c r="D60" i="2" s="1"/>
  <c r="D25" i="2"/>
  <c r="D37" i="2" s="1"/>
  <c r="D49" i="2" s="1"/>
  <c r="D61" i="2" s="1"/>
  <c r="D22" i="2"/>
  <c r="D34" i="2" s="1"/>
  <c r="D46" i="2" s="1"/>
  <c r="D58" i="2" s="1"/>
  <c r="C30" i="2"/>
  <c r="R57" i="1"/>
  <c r="M57" i="1"/>
  <c r="H5" i="1"/>
  <c r="H6" i="1"/>
  <c r="H7" i="1"/>
  <c r="H8" i="1"/>
  <c r="H9" i="1"/>
  <c r="H10" i="1"/>
  <c r="H11" i="1"/>
  <c r="H4" i="1"/>
  <c r="D12" i="2"/>
  <c r="C12" i="2"/>
  <c r="D12" i="1"/>
  <c r="C12" i="1"/>
  <c r="N49" i="1" l="1"/>
  <c r="S73" i="2"/>
  <c r="D65" i="2"/>
  <c r="D42" i="2"/>
  <c r="D52" i="2"/>
  <c r="D64" i="2" s="1"/>
  <c r="S74" i="2"/>
  <c r="S76" i="2"/>
  <c r="S71" i="2"/>
  <c r="S72" i="2"/>
  <c r="S75" i="2"/>
  <c r="N56" i="1"/>
  <c r="N55" i="1"/>
  <c r="N54" i="1"/>
  <c r="N53" i="1"/>
  <c r="N52" i="1"/>
  <c r="N51" i="1"/>
  <c r="N50" i="1"/>
  <c r="D45" i="1"/>
  <c r="D33" i="1"/>
  <c r="H12" i="1"/>
  <c r="D30" i="2"/>
  <c r="S77" i="2" l="1"/>
  <c r="D66" i="2"/>
  <c r="S78" i="2"/>
  <c r="D54" i="2"/>
  <c r="S79" i="2"/>
  <c r="S81" i="2" s="1"/>
  <c r="N57" i="1"/>
  <c r="N59" i="1" s="1"/>
  <c r="S57" i="1"/>
  <c r="S59" i="1" s="1"/>
  <c r="I79" i="2" l="1"/>
  <c r="I81" i="2" s="1"/>
</calcChain>
</file>

<file path=xl/sharedStrings.xml><?xml version="1.0" encoding="utf-8"?>
<sst xmlns="http://schemas.openxmlformats.org/spreadsheetml/2006/main" count="500" uniqueCount="32">
  <si>
    <t>Rush Island</t>
  </si>
  <si>
    <t xml:space="preserve">Plant in service </t>
  </si>
  <si>
    <t>Accounrt Number</t>
  </si>
  <si>
    <t>Sctructures</t>
  </si>
  <si>
    <t>Source is the Staff Rebuttal True-up Accounting Schedules in Case Number ER-2022-0337</t>
  </si>
  <si>
    <t>Boiler Plant Equipment</t>
  </si>
  <si>
    <t>Turbogenerator Unit</t>
  </si>
  <si>
    <t>Acessorsy Electric Equipment</t>
  </si>
  <si>
    <t>Misc. Power Plant Equipment</t>
  </si>
  <si>
    <t>Office Equipment Amort</t>
  </si>
  <si>
    <t>Office Furniture Amort</t>
  </si>
  <si>
    <t>Computers Amort</t>
  </si>
  <si>
    <t>Account Description</t>
  </si>
  <si>
    <t>Accumulated Depreciation Reserves</t>
  </si>
  <si>
    <t>Stipulated Depreciation or Amortization rates</t>
  </si>
  <si>
    <t>Totals</t>
  </si>
  <si>
    <t>Depreciation rates from ER-2022-0337</t>
  </si>
  <si>
    <t>Reserve taken from Column C total reserve before Staff's adjustments based on their position in rate case</t>
  </si>
  <si>
    <t>No Additions</t>
  </si>
  <si>
    <t>No Retirements</t>
  </si>
  <si>
    <t>Assumptions made for the following Calculations:</t>
  </si>
  <si>
    <t xml:space="preserve">Closure date will be based on 2 months provide September 24 or October24 </t>
  </si>
  <si>
    <t>Annual Depreciation expense</t>
  </si>
  <si>
    <t>effective</t>
  </si>
  <si>
    <t>Depreciation rates from ER-2021-0240</t>
  </si>
  <si>
    <t>Depreciation rates from ER-2019-0335</t>
  </si>
  <si>
    <t>Transportation Equipment</t>
  </si>
  <si>
    <t>Includes Ameren Missouri's Transfers from Schedule MJL-D2</t>
  </si>
  <si>
    <t>Source is the Ameren Missouri Depreciation Study Case Number ER-2022-0337</t>
  </si>
  <si>
    <t>Annual Expense</t>
  </si>
  <si>
    <t>Plant-in-service</t>
  </si>
  <si>
    <t>JAR-R-3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</si>
</sst>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42" fontId="0" fillId="0" borderId="0" xfId="0" applyNumberFormat="1"/>
    <xf numFmtId="0" fontId="0" fillId="0" borderId="0" xfId="0" applyAlignment="1">
      <alignment horizontal="center" wrapText="1"/>
    </xf>
    <xf numFmtId="10" fontId="0" fillId="0" borderId="0" xfId="0" applyNumberFormat="1"/>
    <xf numFmtId="0" fontId="1" fillId="0" borderId="0" xfId="0" applyFont="1"/>
    <xf numFmtId="42" fontId="1" fillId="0" borderId="0" xfId="0" applyNumberFormat="1" applyFont="1"/>
    <xf numFmtId="0" fontId="1" fillId="0" borderId="0" xfId="0" applyFont="1" applyAlignment="1">
      <alignment horizontal="right"/>
    </xf>
    <xf numFmtId="44" fontId="0" fillId="0" borderId="0" xfId="0" applyNumberFormat="1"/>
    <xf numFmtId="44" fontId="1" fillId="0" borderId="0" xfId="0" applyNumberFormat="1" applyFont="1"/>
    <xf numFmtId="42" fontId="1" fillId="0" borderId="0" xfId="0" applyNumberFormat="1" applyFont="1" applyAlignment="1">
      <alignment horizontal="right"/>
    </xf>
    <xf numFmtId="42" fontId="0" fillId="0" borderId="0" xfId="0" applyNumberFormat="1" applyAlignment="1">
      <alignment horizontal="center" wrapText="1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2AF2-BE71-4A3A-ADB0-AA0EB2532967}">
  <dimension ref="A1:T74"/>
  <sheetViews>
    <sheetView workbookViewId="0">
      <selection activeCell="M1" sqref="M1"/>
    </sheetView>
  </sheetViews>
  <sheetFormatPr defaultRowHeight="15" x14ac:dyDescent="0.25"/>
  <cols>
    <col min="1" max="1" width="10.140625" customWidth="1"/>
    <col min="2" max="2" width="25" bestFit="1" customWidth="1"/>
    <col min="3" max="3" width="13.7109375" bestFit="1" customWidth="1"/>
    <col min="4" max="4" width="19.140625" customWidth="1"/>
    <col min="6" max="6" width="17.140625" customWidth="1"/>
    <col min="7" max="7" width="26.7109375" bestFit="1" customWidth="1"/>
    <col min="8" max="8" width="17.7109375" bestFit="1" customWidth="1"/>
    <col min="9" max="9" width="17.7109375" customWidth="1"/>
    <col min="10" max="10" width="13.42578125" customWidth="1"/>
    <col min="13" max="14" width="13.5703125" bestFit="1" customWidth="1"/>
    <col min="18" max="19" width="13.5703125" bestFit="1" customWidth="1"/>
  </cols>
  <sheetData>
    <row r="1" spans="1:13" x14ac:dyDescent="0.25">
      <c r="A1" t="s">
        <v>0</v>
      </c>
      <c r="C1" t="s">
        <v>4</v>
      </c>
      <c r="M1" s="6" t="s">
        <v>31</v>
      </c>
    </row>
    <row r="2" spans="1:13" x14ac:dyDescent="0.25">
      <c r="C2" s="1">
        <v>44926</v>
      </c>
      <c r="D2" s="1">
        <v>44926</v>
      </c>
      <c r="J2" s="1">
        <v>44620</v>
      </c>
      <c r="K2" s="1">
        <v>45116</v>
      </c>
    </row>
    <row r="3" spans="1:13" s="2" customFormat="1" ht="40.15" customHeight="1" x14ac:dyDescent="0.25">
      <c r="A3" s="2" t="s">
        <v>2</v>
      </c>
      <c r="B3" s="2" t="s">
        <v>12</v>
      </c>
      <c r="C3" s="4" t="s">
        <v>1</v>
      </c>
      <c r="D3" s="4" t="s">
        <v>13</v>
      </c>
      <c r="F3" s="4" t="s">
        <v>14</v>
      </c>
      <c r="H3" s="2" t="s">
        <v>22</v>
      </c>
      <c r="J3" s="2" t="s">
        <v>24</v>
      </c>
      <c r="K3" s="4" t="s">
        <v>16</v>
      </c>
    </row>
    <row r="4" spans="1:13" x14ac:dyDescent="0.25">
      <c r="A4">
        <v>311</v>
      </c>
      <c r="B4" t="s">
        <v>3</v>
      </c>
      <c r="C4" s="3">
        <v>112372053</v>
      </c>
      <c r="D4" s="3">
        <v>41085289</v>
      </c>
      <c r="F4" s="5">
        <v>3.56E-2</v>
      </c>
      <c r="H4" s="9">
        <f>C4*F4</f>
        <v>4000445.0868000002</v>
      </c>
      <c r="I4" s="9"/>
      <c r="J4" s="5">
        <v>3.44E-2</v>
      </c>
      <c r="K4" s="5">
        <v>3.56E-2</v>
      </c>
    </row>
    <row r="5" spans="1:13" x14ac:dyDescent="0.25">
      <c r="A5">
        <v>312</v>
      </c>
      <c r="B5" t="s">
        <v>5</v>
      </c>
      <c r="C5" s="3">
        <v>548927042</v>
      </c>
      <c r="D5" s="3">
        <v>218084062</v>
      </c>
      <c r="F5" s="5">
        <v>4.1200000000000001E-2</v>
      </c>
      <c r="H5" s="9">
        <f t="shared" ref="H5:H11" si="0">C5*F5</f>
        <v>22615794.130400002</v>
      </c>
      <c r="I5" s="9"/>
      <c r="J5" s="5">
        <v>4.1099999999999998E-2</v>
      </c>
      <c r="K5" s="5">
        <v>4.1200000000000001E-2</v>
      </c>
    </row>
    <row r="6" spans="1:13" x14ac:dyDescent="0.25">
      <c r="A6">
        <v>314</v>
      </c>
      <c r="B6" t="s">
        <v>6</v>
      </c>
      <c r="C6" s="3">
        <v>175284622</v>
      </c>
      <c r="D6" s="3">
        <v>82348493</v>
      </c>
      <c r="F6" s="5">
        <v>3.4599999999999999E-2</v>
      </c>
      <c r="H6" s="9">
        <f t="shared" si="0"/>
        <v>6064847.9211999997</v>
      </c>
      <c r="I6" s="9"/>
      <c r="J6" s="5">
        <v>3.3799999999999997E-2</v>
      </c>
      <c r="K6" s="5">
        <v>3.4599999999999999E-2</v>
      </c>
    </row>
    <row r="7" spans="1:13" x14ac:dyDescent="0.25">
      <c r="A7">
        <v>315</v>
      </c>
      <c r="B7" t="s">
        <v>7</v>
      </c>
      <c r="C7" s="3">
        <v>76263884</v>
      </c>
      <c r="D7" s="3">
        <v>29506593</v>
      </c>
      <c r="F7" s="5">
        <v>3.5799999999999998E-2</v>
      </c>
      <c r="H7" s="9">
        <f t="shared" si="0"/>
        <v>2730247.0471999999</v>
      </c>
      <c r="I7" s="9"/>
      <c r="J7" s="5">
        <v>3.39E-2</v>
      </c>
      <c r="K7" s="5">
        <v>3.5799999999999998E-2</v>
      </c>
    </row>
    <row r="8" spans="1:13" x14ac:dyDescent="0.25">
      <c r="A8">
        <v>316</v>
      </c>
      <c r="B8" t="s">
        <v>8</v>
      </c>
      <c r="C8" s="3">
        <v>21163845</v>
      </c>
      <c r="D8" s="3">
        <v>4635398</v>
      </c>
      <c r="F8" s="5">
        <v>5.6099999999999997E-2</v>
      </c>
      <c r="H8" s="9">
        <f t="shared" si="0"/>
        <v>1187291.7045</v>
      </c>
      <c r="I8" s="9"/>
      <c r="J8" s="5">
        <v>5.0500000000000003E-2</v>
      </c>
      <c r="K8" s="5">
        <v>5.6099999999999997E-2</v>
      </c>
    </row>
    <row r="9" spans="1:13" x14ac:dyDescent="0.25">
      <c r="A9">
        <v>316.20999999999998</v>
      </c>
      <c r="B9" t="s">
        <v>10</v>
      </c>
      <c r="C9" s="3">
        <v>584998</v>
      </c>
      <c r="D9" s="3">
        <v>261071</v>
      </c>
      <c r="F9" s="5">
        <v>0.05</v>
      </c>
      <c r="H9" s="9">
        <f t="shared" si="0"/>
        <v>29249.9</v>
      </c>
      <c r="I9" s="9"/>
      <c r="J9" s="5">
        <v>0.05</v>
      </c>
      <c r="K9" s="5">
        <v>0.05</v>
      </c>
    </row>
    <row r="10" spans="1:13" x14ac:dyDescent="0.25">
      <c r="A10">
        <v>316.22000000000003</v>
      </c>
      <c r="B10" t="s">
        <v>9</v>
      </c>
      <c r="C10" s="3">
        <v>498969</v>
      </c>
      <c r="D10" s="3">
        <v>345764</v>
      </c>
      <c r="F10" s="5">
        <v>6.6699999999999995E-2</v>
      </c>
      <c r="H10" s="9">
        <f t="shared" si="0"/>
        <v>33281.232299999996</v>
      </c>
      <c r="I10" s="9"/>
      <c r="J10" s="5">
        <v>6.6699999999999995E-2</v>
      </c>
      <c r="K10" s="5">
        <v>6.6699999999999995E-2</v>
      </c>
    </row>
    <row r="11" spans="1:13" x14ac:dyDescent="0.25">
      <c r="A11">
        <v>316.23</v>
      </c>
      <c r="B11" t="s">
        <v>11</v>
      </c>
      <c r="C11" s="3">
        <v>1347910</v>
      </c>
      <c r="D11" s="3">
        <v>1046884</v>
      </c>
      <c r="F11" s="5">
        <v>0.2</v>
      </c>
      <c r="H11" s="9">
        <f t="shared" si="0"/>
        <v>269582</v>
      </c>
      <c r="I11" s="9"/>
      <c r="J11" s="5">
        <v>0.2</v>
      </c>
      <c r="K11" s="5">
        <v>0.2</v>
      </c>
    </row>
    <row r="12" spans="1:13" x14ac:dyDescent="0.25">
      <c r="B12" s="8" t="s">
        <v>15</v>
      </c>
      <c r="C12" s="7">
        <f>SUM(C4:C11)</f>
        <v>936443323</v>
      </c>
      <c r="D12" s="7">
        <f>SUM(D4:D11)</f>
        <v>377313554</v>
      </c>
      <c r="H12" s="10">
        <f>SUM(H4:H11)</f>
        <v>36930739.022399999</v>
      </c>
      <c r="I12" s="10"/>
    </row>
    <row r="14" spans="1:13" x14ac:dyDescent="0.25">
      <c r="D14" t="s">
        <v>17</v>
      </c>
    </row>
    <row r="17" spans="1:4" x14ac:dyDescent="0.25">
      <c r="A17" t="s">
        <v>20</v>
      </c>
    </row>
    <row r="18" spans="1:4" x14ac:dyDescent="0.25">
      <c r="A18" t="s">
        <v>18</v>
      </c>
    </row>
    <row r="19" spans="1:4" x14ac:dyDescent="0.25">
      <c r="A19" t="s">
        <v>19</v>
      </c>
    </row>
    <row r="20" spans="1:4" x14ac:dyDescent="0.25">
      <c r="A20" t="s">
        <v>21</v>
      </c>
    </row>
    <row r="23" spans="1:4" x14ac:dyDescent="0.25">
      <c r="C23" s="1">
        <v>45107</v>
      </c>
      <c r="D23" s="1">
        <v>45107</v>
      </c>
    </row>
    <row r="24" spans="1:4" ht="45" x14ac:dyDescent="0.25">
      <c r="A24" s="2" t="s">
        <v>2</v>
      </c>
      <c r="B24" s="2" t="s">
        <v>12</v>
      </c>
      <c r="C24" s="4" t="s">
        <v>1</v>
      </c>
      <c r="D24" s="4" t="s">
        <v>13</v>
      </c>
    </row>
    <row r="25" spans="1:4" x14ac:dyDescent="0.25">
      <c r="A25">
        <v>311</v>
      </c>
      <c r="B25" t="s">
        <v>3</v>
      </c>
      <c r="C25" s="3">
        <v>112372053</v>
      </c>
      <c r="D25" s="3">
        <f>D4+((C4*J4)*(6/12))</f>
        <v>43018088.3116</v>
      </c>
    </row>
    <row r="26" spans="1:4" x14ac:dyDescent="0.25">
      <c r="A26">
        <v>312</v>
      </c>
      <c r="B26" t="s">
        <v>5</v>
      </c>
      <c r="C26" s="3">
        <v>548927042</v>
      </c>
      <c r="D26" s="3">
        <f t="shared" ref="D26:D32" si="1">D5+((C5*J5)*(6/12))</f>
        <v>229364512.71309999</v>
      </c>
    </row>
    <row r="27" spans="1:4" x14ac:dyDescent="0.25">
      <c r="A27">
        <v>314</v>
      </c>
      <c r="B27" t="s">
        <v>6</v>
      </c>
      <c r="C27" s="3">
        <v>175284622</v>
      </c>
      <c r="D27" s="3">
        <f t="shared" si="1"/>
        <v>85310803.1118</v>
      </c>
    </row>
    <row r="28" spans="1:4" x14ac:dyDescent="0.25">
      <c r="A28">
        <v>315</v>
      </c>
      <c r="B28" t="s">
        <v>7</v>
      </c>
      <c r="C28" s="3">
        <v>76263884</v>
      </c>
      <c r="D28" s="3">
        <f t="shared" si="1"/>
        <v>30799265.833799999</v>
      </c>
    </row>
    <row r="29" spans="1:4" x14ac:dyDescent="0.25">
      <c r="A29">
        <v>316</v>
      </c>
      <c r="B29" t="s">
        <v>8</v>
      </c>
      <c r="C29" s="3">
        <v>21163845</v>
      </c>
      <c r="D29" s="3">
        <f t="shared" si="1"/>
        <v>5169785.0862499997</v>
      </c>
    </row>
    <row r="30" spans="1:4" x14ac:dyDescent="0.25">
      <c r="A30">
        <v>316.20999999999998</v>
      </c>
      <c r="B30" t="s">
        <v>10</v>
      </c>
      <c r="C30" s="3">
        <v>584998</v>
      </c>
      <c r="D30" s="3">
        <f t="shared" si="1"/>
        <v>275695.95</v>
      </c>
    </row>
    <row r="31" spans="1:4" x14ac:dyDescent="0.25">
      <c r="A31">
        <v>316.22000000000003</v>
      </c>
      <c r="B31" t="s">
        <v>9</v>
      </c>
      <c r="C31" s="3">
        <v>498969</v>
      </c>
      <c r="D31" s="3">
        <f t="shared" si="1"/>
        <v>362404.61615000002</v>
      </c>
    </row>
    <row r="32" spans="1:4" x14ac:dyDescent="0.25">
      <c r="A32">
        <v>316.23</v>
      </c>
      <c r="B32" t="s">
        <v>11</v>
      </c>
      <c r="C32" s="3">
        <v>1347910</v>
      </c>
      <c r="D32" s="3">
        <f t="shared" si="1"/>
        <v>1181675</v>
      </c>
    </row>
    <row r="33" spans="1:19" x14ac:dyDescent="0.25">
      <c r="B33" s="8" t="s">
        <v>15</v>
      </c>
      <c r="C33" s="7">
        <f>SUM(C25:C32)</f>
        <v>936443323</v>
      </c>
      <c r="D33" s="7">
        <f>SUM(D25:D32)</f>
        <v>395482230.62270004</v>
      </c>
    </row>
    <row r="35" spans="1:19" x14ac:dyDescent="0.25">
      <c r="C35" s="1">
        <v>45291</v>
      </c>
      <c r="D35" s="1">
        <v>45291</v>
      </c>
    </row>
    <row r="36" spans="1:19" ht="45" x14ac:dyDescent="0.25">
      <c r="A36" s="2" t="s">
        <v>2</v>
      </c>
      <c r="B36" s="2" t="s">
        <v>12</v>
      </c>
      <c r="C36" s="4" t="s">
        <v>1</v>
      </c>
      <c r="D36" s="4" t="s">
        <v>13</v>
      </c>
    </row>
    <row r="37" spans="1:19" x14ac:dyDescent="0.25">
      <c r="A37">
        <v>311</v>
      </c>
      <c r="B37" t="s">
        <v>3</v>
      </c>
      <c r="C37" s="3">
        <v>112372053</v>
      </c>
      <c r="D37" s="3">
        <f>D25+((C4*K4)*(6/12))</f>
        <v>45018310.854999997</v>
      </c>
    </row>
    <row r="38" spans="1:19" x14ac:dyDescent="0.25">
      <c r="A38">
        <v>312</v>
      </c>
      <c r="B38" t="s">
        <v>5</v>
      </c>
      <c r="C38" s="3">
        <v>548927042</v>
      </c>
      <c r="D38" s="3">
        <f t="shared" ref="D38:D44" si="2">D26+((C5*K5)*(6/12))</f>
        <v>240672409.77829999</v>
      </c>
    </row>
    <row r="39" spans="1:19" x14ac:dyDescent="0.25">
      <c r="A39">
        <v>314</v>
      </c>
      <c r="B39" t="s">
        <v>6</v>
      </c>
      <c r="C39" s="3">
        <v>175284622</v>
      </c>
      <c r="D39" s="3">
        <f t="shared" si="2"/>
        <v>88343227.072400004</v>
      </c>
    </row>
    <row r="40" spans="1:19" x14ac:dyDescent="0.25">
      <c r="A40">
        <v>315</v>
      </c>
      <c r="B40" t="s">
        <v>7</v>
      </c>
      <c r="C40" s="3">
        <v>76263884</v>
      </c>
      <c r="D40" s="3">
        <f t="shared" si="2"/>
        <v>32164389.3574</v>
      </c>
    </row>
    <row r="41" spans="1:19" x14ac:dyDescent="0.25">
      <c r="A41">
        <v>316</v>
      </c>
      <c r="B41" t="s">
        <v>8</v>
      </c>
      <c r="C41" s="3">
        <v>21163845</v>
      </c>
      <c r="D41" s="3">
        <f t="shared" si="2"/>
        <v>5763430.9385000002</v>
      </c>
    </row>
    <row r="42" spans="1:19" x14ac:dyDescent="0.25">
      <c r="A42">
        <v>316.20999999999998</v>
      </c>
      <c r="B42" t="s">
        <v>10</v>
      </c>
      <c r="C42" s="3">
        <v>584998</v>
      </c>
      <c r="D42" s="3">
        <f t="shared" si="2"/>
        <v>290320.90000000002</v>
      </c>
    </row>
    <row r="43" spans="1:19" x14ac:dyDescent="0.25">
      <c r="A43">
        <v>316.22000000000003</v>
      </c>
      <c r="B43" t="s">
        <v>9</v>
      </c>
      <c r="C43" s="3">
        <v>498969</v>
      </c>
      <c r="D43" s="3">
        <f t="shared" si="2"/>
        <v>379045.23230000003</v>
      </c>
    </row>
    <row r="44" spans="1:19" x14ac:dyDescent="0.25">
      <c r="A44">
        <v>316.23</v>
      </c>
      <c r="B44" t="s">
        <v>11</v>
      </c>
      <c r="C44" s="3">
        <v>1347910</v>
      </c>
      <c r="D44" s="3">
        <f t="shared" si="2"/>
        <v>1316466</v>
      </c>
    </row>
    <row r="45" spans="1:19" x14ac:dyDescent="0.25">
      <c r="B45" s="8" t="s">
        <v>15</v>
      </c>
      <c r="C45" s="7">
        <f>SUM(C37:C44)</f>
        <v>936443323</v>
      </c>
      <c r="D45" s="7">
        <f>SUM(D37:D44)</f>
        <v>413947600.13389999</v>
      </c>
    </row>
    <row r="47" spans="1:19" x14ac:dyDescent="0.25">
      <c r="C47" s="1">
        <v>45535</v>
      </c>
      <c r="D47" s="1">
        <v>45535</v>
      </c>
      <c r="H47" s="1">
        <v>45550</v>
      </c>
      <c r="I47" s="1">
        <v>45550</v>
      </c>
      <c r="M47" s="1">
        <v>45565</v>
      </c>
      <c r="N47" s="1">
        <v>45565</v>
      </c>
      <c r="R47" s="1">
        <v>45580</v>
      </c>
      <c r="S47" s="1">
        <v>45580</v>
      </c>
    </row>
    <row r="48" spans="1:19" ht="45" x14ac:dyDescent="0.25">
      <c r="A48" s="2" t="s">
        <v>2</v>
      </c>
      <c r="B48" s="2" t="s">
        <v>12</v>
      </c>
      <c r="C48" s="4" t="s">
        <v>1</v>
      </c>
      <c r="D48" s="4" t="s">
        <v>13</v>
      </c>
      <c r="F48" s="2" t="s">
        <v>2</v>
      </c>
      <c r="G48" s="2" t="s">
        <v>12</v>
      </c>
      <c r="H48" s="4" t="s">
        <v>1</v>
      </c>
      <c r="I48" s="4" t="s">
        <v>13</v>
      </c>
      <c r="K48" s="2" t="s">
        <v>2</v>
      </c>
      <c r="L48" s="2" t="s">
        <v>12</v>
      </c>
      <c r="M48" s="4" t="s">
        <v>1</v>
      </c>
      <c r="N48" s="4" t="s">
        <v>13</v>
      </c>
      <c r="P48" s="2" t="s">
        <v>2</v>
      </c>
      <c r="Q48" s="2" t="s">
        <v>12</v>
      </c>
      <c r="R48" s="4" t="s">
        <v>1</v>
      </c>
      <c r="S48" s="4" t="s">
        <v>13</v>
      </c>
    </row>
    <row r="49" spans="1:20" x14ac:dyDescent="0.25">
      <c r="A49">
        <v>311</v>
      </c>
      <c r="B49" t="s">
        <v>3</v>
      </c>
      <c r="C49" s="3">
        <v>112372053</v>
      </c>
      <c r="D49" s="3">
        <f>D37+((K4*C49)*(8/12))</f>
        <v>47685274.246199995</v>
      </c>
      <c r="F49">
        <v>311</v>
      </c>
      <c r="G49" t="s">
        <v>3</v>
      </c>
      <c r="H49" s="3">
        <v>112372053</v>
      </c>
      <c r="I49" s="3">
        <f>D37+((K4*H49)*(8.5/12))</f>
        <v>47851959.458149999</v>
      </c>
      <c r="K49">
        <v>311</v>
      </c>
      <c r="L49" t="s">
        <v>3</v>
      </c>
      <c r="M49" s="3">
        <v>112372053</v>
      </c>
      <c r="N49" s="3">
        <f t="shared" ref="N49:N56" si="3">D37+((C4*K4)*(9/12))</f>
        <v>48018644.670099996</v>
      </c>
      <c r="P49">
        <v>311</v>
      </c>
      <c r="Q49" t="s">
        <v>3</v>
      </c>
      <c r="R49" s="3">
        <v>112372053</v>
      </c>
      <c r="S49" s="3">
        <f t="shared" ref="S49:S56" si="4">D37+((C4*K4)*(9.5/12))</f>
        <v>48185329.88205</v>
      </c>
    </row>
    <row r="50" spans="1:20" x14ac:dyDescent="0.25">
      <c r="A50">
        <v>312</v>
      </c>
      <c r="B50" t="s">
        <v>5</v>
      </c>
      <c r="C50" s="3">
        <v>548927042</v>
      </c>
      <c r="D50" s="3">
        <f t="shared" ref="D50:D56" si="5">D38+((K5*C50)*(8/12))</f>
        <v>255749605.86523333</v>
      </c>
      <c r="F50">
        <v>312</v>
      </c>
      <c r="G50" t="s">
        <v>5</v>
      </c>
      <c r="H50" s="3">
        <v>548927042</v>
      </c>
      <c r="I50" s="3">
        <f t="shared" ref="I50:I56" si="6">D38+((K5*H50)*(8.5/12))</f>
        <v>256691930.62066665</v>
      </c>
      <c r="K50">
        <v>312</v>
      </c>
      <c r="L50" t="s">
        <v>5</v>
      </c>
      <c r="M50" s="3">
        <v>548927042</v>
      </c>
      <c r="N50" s="3">
        <f t="shared" si="3"/>
        <v>257634255.3761</v>
      </c>
      <c r="P50">
        <v>312</v>
      </c>
      <c r="Q50" t="s">
        <v>5</v>
      </c>
      <c r="R50" s="3">
        <v>548927042</v>
      </c>
      <c r="S50" s="3">
        <f t="shared" si="4"/>
        <v>258576580.13153332</v>
      </c>
    </row>
    <row r="51" spans="1:20" x14ac:dyDescent="0.25">
      <c r="A51">
        <v>314</v>
      </c>
      <c r="B51" t="s">
        <v>6</v>
      </c>
      <c r="C51" s="3">
        <v>175284622</v>
      </c>
      <c r="D51" s="3">
        <f t="shared" si="5"/>
        <v>92386459.019866675</v>
      </c>
      <c r="F51">
        <v>314</v>
      </c>
      <c r="G51" t="s">
        <v>6</v>
      </c>
      <c r="H51" s="3">
        <v>175284622</v>
      </c>
      <c r="I51" s="3">
        <f t="shared" si="6"/>
        <v>92639161.016583338</v>
      </c>
      <c r="K51">
        <v>314</v>
      </c>
      <c r="L51" t="s">
        <v>6</v>
      </c>
      <c r="M51" s="3">
        <v>175284622</v>
      </c>
      <c r="N51" s="3">
        <f t="shared" si="3"/>
        <v>92891863.013300002</v>
      </c>
      <c r="P51">
        <v>314</v>
      </c>
      <c r="Q51" t="s">
        <v>6</v>
      </c>
      <c r="R51" s="3">
        <v>175284622</v>
      </c>
      <c r="S51" s="3">
        <f t="shared" si="4"/>
        <v>93144565.010016665</v>
      </c>
    </row>
    <row r="52" spans="1:20" x14ac:dyDescent="0.25">
      <c r="A52">
        <v>315</v>
      </c>
      <c r="B52" t="s">
        <v>7</v>
      </c>
      <c r="C52" s="3">
        <v>76263884</v>
      </c>
      <c r="D52" s="3">
        <f t="shared" si="5"/>
        <v>33984554.055533335</v>
      </c>
      <c r="F52">
        <v>315</v>
      </c>
      <c r="G52" t="s">
        <v>7</v>
      </c>
      <c r="H52" s="3">
        <v>76263884</v>
      </c>
      <c r="I52" s="3">
        <f t="shared" si="6"/>
        <v>34098314.349166669</v>
      </c>
      <c r="K52">
        <v>315</v>
      </c>
      <c r="L52" t="s">
        <v>7</v>
      </c>
      <c r="M52" s="3">
        <v>76263884</v>
      </c>
      <c r="N52" s="3">
        <f t="shared" si="3"/>
        <v>34212074.642800003</v>
      </c>
      <c r="P52">
        <v>315</v>
      </c>
      <c r="Q52" t="s">
        <v>7</v>
      </c>
      <c r="R52" s="3">
        <v>76263884</v>
      </c>
      <c r="S52" s="3">
        <f t="shared" si="4"/>
        <v>34325834.93643333</v>
      </c>
    </row>
    <row r="53" spans="1:20" x14ac:dyDescent="0.25">
      <c r="A53">
        <v>316</v>
      </c>
      <c r="B53" t="s">
        <v>8</v>
      </c>
      <c r="C53" s="3">
        <v>21163845</v>
      </c>
      <c r="D53" s="3">
        <f t="shared" si="5"/>
        <v>6554958.7415000005</v>
      </c>
      <c r="F53">
        <v>316</v>
      </c>
      <c r="G53" t="s">
        <v>8</v>
      </c>
      <c r="H53" s="3">
        <v>21163845</v>
      </c>
      <c r="I53" s="3">
        <f t="shared" si="6"/>
        <v>6604429.2291874997</v>
      </c>
      <c r="K53">
        <v>316</v>
      </c>
      <c r="L53" t="s">
        <v>8</v>
      </c>
      <c r="M53" s="3">
        <v>21163845</v>
      </c>
      <c r="N53" s="3">
        <f t="shared" si="3"/>
        <v>6653899.7168749999</v>
      </c>
      <c r="P53">
        <v>316</v>
      </c>
      <c r="Q53" t="s">
        <v>8</v>
      </c>
      <c r="R53" s="3">
        <v>21163845</v>
      </c>
      <c r="S53" s="3">
        <f t="shared" si="4"/>
        <v>6703370.2045625001</v>
      </c>
    </row>
    <row r="54" spans="1:20" x14ac:dyDescent="0.25">
      <c r="A54">
        <v>316.20999999999998</v>
      </c>
      <c r="B54" t="s">
        <v>10</v>
      </c>
      <c r="C54" s="3">
        <v>584998</v>
      </c>
      <c r="D54" s="3">
        <f t="shared" si="5"/>
        <v>309820.83333333337</v>
      </c>
      <c r="F54">
        <v>316.20999999999998</v>
      </c>
      <c r="G54" t="s">
        <v>10</v>
      </c>
      <c r="H54" s="3">
        <v>584998</v>
      </c>
      <c r="I54" s="3">
        <f t="shared" si="6"/>
        <v>311039.57916666672</v>
      </c>
      <c r="K54">
        <v>316.20999999999998</v>
      </c>
      <c r="L54" t="s">
        <v>10</v>
      </c>
      <c r="M54" s="3">
        <v>584998</v>
      </c>
      <c r="N54" s="3">
        <f t="shared" si="3"/>
        <v>312258.32500000001</v>
      </c>
      <c r="P54">
        <v>316.20999999999998</v>
      </c>
      <c r="Q54" t="s">
        <v>10</v>
      </c>
      <c r="R54" s="3">
        <v>584998</v>
      </c>
      <c r="S54" s="3">
        <f t="shared" si="4"/>
        <v>313477.07083333336</v>
      </c>
    </row>
    <row r="55" spans="1:20" x14ac:dyDescent="0.25">
      <c r="A55">
        <v>316.22000000000003</v>
      </c>
      <c r="B55" t="s">
        <v>9</v>
      </c>
      <c r="C55" s="3">
        <v>498969</v>
      </c>
      <c r="D55" s="3">
        <f t="shared" si="5"/>
        <v>401232.72050000005</v>
      </c>
      <c r="F55">
        <v>316.22000000000003</v>
      </c>
      <c r="G55" t="s">
        <v>9</v>
      </c>
      <c r="H55" s="3">
        <v>498969</v>
      </c>
      <c r="I55" s="3">
        <f t="shared" si="6"/>
        <v>402619.43851250003</v>
      </c>
      <c r="K55">
        <v>316.22000000000003</v>
      </c>
      <c r="L55" t="s">
        <v>9</v>
      </c>
      <c r="M55" s="3">
        <v>498969</v>
      </c>
      <c r="N55" s="3">
        <f t="shared" si="3"/>
        <v>404006.156525</v>
      </c>
      <c r="P55">
        <v>316.22000000000003</v>
      </c>
      <c r="Q55" t="s">
        <v>9</v>
      </c>
      <c r="R55" s="3">
        <v>498969</v>
      </c>
      <c r="S55" s="3">
        <f t="shared" si="4"/>
        <v>405392.87453750003</v>
      </c>
    </row>
    <row r="56" spans="1:20" x14ac:dyDescent="0.25">
      <c r="A56">
        <v>316.23</v>
      </c>
      <c r="B56" t="s">
        <v>11</v>
      </c>
      <c r="C56" s="3">
        <v>1347910</v>
      </c>
      <c r="D56" s="3">
        <f t="shared" si="5"/>
        <v>1496187.3333333333</v>
      </c>
      <c r="F56">
        <v>316.23</v>
      </c>
      <c r="G56" t="s">
        <v>11</v>
      </c>
      <c r="H56" s="3">
        <v>1347910</v>
      </c>
      <c r="I56" s="3">
        <f t="shared" si="6"/>
        <v>1507419.9166666667</v>
      </c>
      <c r="K56">
        <v>316.23</v>
      </c>
      <c r="L56" t="s">
        <v>11</v>
      </c>
      <c r="M56" s="3">
        <v>1347910</v>
      </c>
      <c r="N56" s="3">
        <f t="shared" si="3"/>
        <v>1518652.5</v>
      </c>
      <c r="P56">
        <v>316.23</v>
      </c>
      <c r="Q56" t="s">
        <v>11</v>
      </c>
      <c r="R56" s="3">
        <v>1347910</v>
      </c>
      <c r="S56" s="3">
        <f t="shared" si="4"/>
        <v>1529885.0833333333</v>
      </c>
    </row>
    <row r="57" spans="1:20" x14ac:dyDescent="0.25">
      <c r="B57" s="8" t="s">
        <v>15</v>
      </c>
      <c r="C57" s="7">
        <f>SUM(C49:C56)</f>
        <v>936443323</v>
      </c>
      <c r="D57" s="7">
        <f>SUM(D49:D56)</f>
        <v>438568092.81549996</v>
      </c>
      <c r="G57" s="8" t="s">
        <v>15</v>
      </c>
      <c r="H57" s="7">
        <f>SUM(H49:H56)</f>
        <v>936443323</v>
      </c>
      <c r="I57" s="7">
        <f>SUM(I49:I56)</f>
        <v>440106873.6081</v>
      </c>
      <c r="L57" s="8" t="s">
        <v>15</v>
      </c>
      <c r="M57" s="7">
        <f>SUM(M49:M56)</f>
        <v>936443323</v>
      </c>
      <c r="N57" s="7">
        <f>SUM(N49:N56)</f>
        <v>441645654.40069997</v>
      </c>
      <c r="Q57" s="8" t="s">
        <v>15</v>
      </c>
      <c r="R57" s="7">
        <f>SUM(R49:R56)</f>
        <v>936443323</v>
      </c>
      <c r="S57" s="7">
        <f>SUM(S49:S56)</f>
        <v>443184435.19329995</v>
      </c>
    </row>
    <row r="59" spans="1:20" x14ac:dyDescent="0.25">
      <c r="D59" s="3">
        <f>C57-D57</f>
        <v>497875230.18450004</v>
      </c>
      <c r="I59" s="3">
        <f>H57-I57</f>
        <v>496336449.3919</v>
      </c>
      <c r="N59" s="3">
        <f>M57-N57</f>
        <v>494797668.59930003</v>
      </c>
      <c r="S59" s="3">
        <f>R57-S57</f>
        <v>493258887.80670005</v>
      </c>
    </row>
    <row r="61" spans="1:20" s="13" customFormat="1" x14ac:dyDescent="0.25">
      <c r="A61" s="13" t="s">
        <v>27</v>
      </c>
      <c r="F61" s="13" t="s">
        <v>27</v>
      </c>
      <c r="K61" s="13" t="s">
        <v>27</v>
      </c>
    </row>
    <row r="62" spans="1:20" x14ac:dyDescent="0.25">
      <c r="C62" s="1">
        <v>45535</v>
      </c>
      <c r="D62" s="1">
        <v>45535</v>
      </c>
      <c r="H62" s="1">
        <v>45550</v>
      </c>
      <c r="I62" s="1">
        <v>45550</v>
      </c>
      <c r="M62" s="1">
        <v>45565</v>
      </c>
      <c r="N62" s="1">
        <v>45565</v>
      </c>
      <c r="R62" s="1">
        <v>45596</v>
      </c>
      <c r="S62" s="1">
        <v>45596</v>
      </c>
    </row>
    <row r="63" spans="1:20" ht="45" x14ac:dyDescent="0.25">
      <c r="A63" s="2" t="s">
        <v>2</v>
      </c>
      <c r="B63" s="2" t="s">
        <v>12</v>
      </c>
      <c r="C63" s="4" t="s">
        <v>1</v>
      </c>
      <c r="D63" s="4" t="s">
        <v>13</v>
      </c>
      <c r="F63" s="2" t="s">
        <v>2</v>
      </c>
      <c r="G63" s="2" t="s">
        <v>12</v>
      </c>
      <c r="H63" s="4" t="s">
        <v>1</v>
      </c>
      <c r="I63" s="4" t="s">
        <v>13</v>
      </c>
      <c r="K63" s="2" t="s">
        <v>2</v>
      </c>
      <c r="L63" s="2" t="s">
        <v>12</v>
      </c>
      <c r="M63" s="4" t="s">
        <v>1</v>
      </c>
      <c r="N63" s="4" t="s">
        <v>13</v>
      </c>
      <c r="P63" s="2" t="s">
        <v>2</v>
      </c>
      <c r="Q63" s="2" t="s">
        <v>12</v>
      </c>
      <c r="R63" s="4" t="s">
        <v>1</v>
      </c>
      <c r="S63" s="4" t="s">
        <v>13</v>
      </c>
    </row>
    <row r="64" spans="1:20" x14ac:dyDescent="0.25">
      <c r="A64">
        <v>311</v>
      </c>
      <c r="B64" t="s">
        <v>3</v>
      </c>
      <c r="C64" s="3">
        <v>112372053</v>
      </c>
      <c r="D64" s="3">
        <f>D49</f>
        <v>47685274.246199995</v>
      </c>
      <c r="F64">
        <v>311</v>
      </c>
      <c r="G64" t="s">
        <v>3</v>
      </c>
      <c r="H64" s="3">
        <v>112372053</v>
      </c>
      <c r="I64" s="3">
        <f>I49</f>
        <v>47851959.458149999</v>
      </c>
      <c r="K64">
        <v>311</v>
      </c>
      <c r="L64" t="s">
        <v>3</v>
      </c>
      <c r="M64" s="3">
        <f>M49</f>
        <v>112372053</v>
      </c>
      <c r="N64" s="3">
        <f>N49</f>
        <v>48018644.670099996</v>
      </c>
      <c r="P64">
        <v>311</v>
      </c>
      <c r="Q64" t="s">
        <v>3</v>
      </c>
      <c r="R64" s="3">
        <f>M64</f>
        <v>112372053</v>
      </c>
      <c r="S64" s="3">
        <f>S49</f>
        <v>48185329.88205</v>
      </c>
      <c r="T64" s="3"/>
    </row>
    <row r="65" spans="1:20" x14ac:dyDescent="0.25">
      <c r="A65">
        <v>312</v>
      </c>
      <c r="B65" t="s">
        <v>5</v>
      </c>
      <c r="C65" s="3">
        <f>548927042-10433038</f>
        <v>538494004</v>
      </c>
      <c r="D65" s="3">
        <f>D50-3867039</f>
        <v>251882566.86523333</v>
      </c>
      <c r="F65">
        <v>312</v>
      </c>
      <c r="G65" t="s">
        <v>5</v>
      </c>
      <c r="H65" s="3">
        <f>548927042-10433038</f>
        <v>538494004</v>
      </c>
      <c r="I65" s="3">
        <f>I50-3867039</f>
        <v>252824891.62066665</v>
      </c>
      <c r="K65">
        <v>312</v>
      </c>
      <c r="L65" t="s">
        <v>5</v>
      </c>
      <c r="M65" s="3">
        <f>M50-10433038</f>
        <v>538494004</v>
      </c>
      <c r="N65" s="3">
        <f>N50-3867039</f>
        <v>253767216.3761</v>
      </c>
      <c r="P65">
        <v>312</v>
      </c>
      <c r="Q65" t="s">
        <v>5</v>
      </c>
      <c r="R65" s="3">
        <f>R50-10433038</f>
        <v>538494004</v>
      </c>
      <c r="S65" s="3">
        <f>S50-3867039</f>
        <v>254709541.13153332</v>
      </c>
      <c r="T65" s="3"/>
    </row>
    <row r="66" spans="1:20" x14ac:dyDescent="0.25">
      <c r="A66">
        <v>314</v>
      </c>
      <c r="B66" t="s">
        <v>6</v>
      </c>
      <c r="C66" s="3">
        <f>175284622-23448008</f>
        <v>151836614</v>
      </c>
      <c r="D66" s="3">
        <f>D51-10849930</f>
        <v>81536529.019866675</v>
      </c>
      <c r="F66">
        <v>314</v>
      </c>
      <c r="G66" t="s">
        <v>6</v>
      </c>
      <c r="H66" s="3">
        <f>175284622-23448008</f>
        <v>151836614</v>
      </c>
      <c r="I66" s="3">
        <f>I51-10849930</f>
        <v>81789231.016583338</v>
      </c>
      <c r="K66">
        <v>314</v>
      </c>
      <c r="L66" t="s">
        <v>6</v>
      </c>
      <c r="M66" s="3">
        <f>M51-23448008</f>
        <v>151836614</v>
      </c>
      <c r="N66" s="3">
        <f>N51-10849930</f>
        <v>82041933.013300002</v>
      </c>
      <c r="P66">
        <v>314</v>
      </c>
      <c r="Q66" t="s">
        <v>6</v>
      </c>
      <c r="R66" s="3">
        <f>R51-23448008</f>
        <v>151836614</v>
      </c>
      <c r="S66" s="3">
        <f>S51-10849930</f>
        <v>82294635.010016665</v>
      </c>
      <c r="T66" s="3"/>
    </row>
    <row r="67" spans="1:20" x14ac:dyDescent="0.25">
      <c r="A67">
        <v>315</v>
      </c>
      <c r="B67" t="s">
        <v>7</v>
      </c>
      <c r="C67" s="3">
        <f>76263884-6506369</f>
        <v>69757515</v>
      </c>
      <c r="D67" s="3">
        <f>D52-1469865</f>
        <v>32514689.055533335</v>
      </c>
      <c r="F67">
        <v>315</v>
      </c>
      <c r="G67" t="s">
        <v>7</v>
      </c>
      <c r="H67" s="3">
        <f>76263884-6506369</f>
        <v>69757515</v>
      </c>
      <c r="I67" s="3">
        <f>I52-1469865</f>
        <v>32628449.349166669</v>
      </c>
      <c r="K67">
        <v>315</v>
      </c>
      <c r="L67" t="s">
        <v>7</v>
      </c>
      <c r="M67" s="3">
        <f>M52-6506369</f>
        <v>69757515</v>
      </c>
      <c r="N67" s="3">
        <f>N52-1469865</f>
        <v>32742209.642800003</v>
      </c>
      <c r="P67">
        <v>315</v>
      </c>
      <c r="Q67" t="s">
        <v>7</v>
      </c>
      <c r="R67" s="3">
        <f>R52-6506369</f>
        <v>69757515</v>
      </c>
      <c r="S67" s="3">
        <f>S52-1469865</f>
        <v>32855969.93643333</v>
      </c>
      <c r="T67" s="3"/>
    </row>
    <row r="68" spans="1:20" x14ac:dyDescent="0.25">
      <c r="A68">
        <v>316</v>
      </c>
      <c r="B68" t="s">
        <v>8</v>
      </c>
      <c r="C68" s="3">
        <f>21163845-4959409</f>
        <v>16204436</v>
      </c>
      <c r="D68" s="3">
        <f>D53-1391070</f>
        <v>5163888.7415000005</v>
      </c>
      <c r="F68">
        <v>316</v>
      </c>
      <c r="G68" t="s">
        <v>8</v>
      </c>
      <c r="H68" s="3">
        <f>21163845-4959409</f>
        <v>16204436</v>
      </c>
      <c r="I68" s="3">
        <f>I53-1391070</f>
        <v>5213359.2291874997</v>
      </c>
      <c r="K68">
        <v>316</v>
      </c>
      <c r="L68" t="s">
        <v>8</v>
      </c>
      <c r="M68" s="3">
        <f>M53-4959409</f>
        <v>16204436</v>
      </c>
      <c r="N68" s="3">
        <f>N53-1391070</f>
        <v>5262829.7168749999</v>
      </c>
      <c r="P68">
        <v>316</v>
      </c>
      <c r="Q68" t="s">
        <v>8</v>
      </c>
      <c r="R68" s="3">
        <f>R53-4959409</f>
        <v>16204436</v>
      </c>
      <c r="S68" s="3">
        <f>S53-1391070</f>
        <v>5312300.2045625001</v>
      </c>
      <c r="T68" s="3"/>
    </row>
    <row r="69" spans="1:20" x14ac:dyDescent="0.25">
      <c r="A69">
        <v>316.20999999999998</v>
      </c>
      <c r="B69" t="s">
        <v>10</v>
      </c>
      <c r="C69" s="3">
        <v>584998</v>
      </c>
      <c r="D69" s="3">
        <f t="shared" ref="D69:D71" si="7">D54</f>
        <v>309820.83333333337</v>
      </c>
      <c r="F69">
        <v>316.20999999999998</v>
      </c>
      <c r="G69" t="s">
        <v>10</v>
      </c>
      <c r="H69" s="3">
        <v>584998</v>
      </c>
      <c r="I69" s="3">
        <f t="shared" ref="I69:I71" si="8">I54</f>
        <v>311039.57916666672</v>
      </c>
      <c r="K69">
        <v>316.20999999999998</v>
      </c>
      <c r="L69" t="s">
        <v>10</v>
      </c>
      <c r="M69" s="3">
        <f t="shared" ref="M69:M71" si="9">M54</f>
        <v>584998</v>
      </c>
      <c r="N69" s="3">
        <f t="shared" ref="N69:N71" si="10">N54</f>
        <v>312258.32500000001</v>
      </c>
      <c r="P69">
        <v>316.20999999999998</v>
      </c>
      <c r="Q69" t="s">
        <v>10</v>
      </c>
      <c r="R69" s="3">
        <f t="shared" ref="R69:R71" si="11">M69</f>
        <v>584998</v>
      </c>
      <c r="S69" s="3">
        <f t="shared" ref="S69:S71" si="12">S54</f>
        <v>313477.07083333336</v>
      </c>
      <c r="T69" s="3"/>
    </row>
    <row r="70" spans="1:20" x14ac:dyDescent="0.25">
      <c r="A70">
        <v>316.22000000000003</v>
      </c>
      <c r="B70" t="s">
        <v>9</v>
      </c>
      <c r="C70" s="3">
        <v>498969</v>
      </c>
      <c r="D70" s="3">
        <f t="shared" si="7"/>
        <v>401232.72050000005</v>
      </c>
      <c r="F70">
        <v>316.22000000000003</v>
      </c>
      <c r="G70" t="s">
        <v>9</v>
      </c>
      <c r="H70" s="3">
        <v>498969</v>
      </c>
      <c r="I70" s="3">
        <f t="shared" si="8"/>
        <v>402619.43851250003</v>
      </c>
      <c r="K70">
        <v>316.22000000000003</v>
      </c>
      <c r="L70" t="s">
        <v>9</v>
      </c>
      <c r="M70" s="3">
        <f t="shared" si="9"/>
        <v>498969</v>
      </c>
      <c r="N70" s="3">
        <f t="shared" si="10"/>
        <v>404006.156525</v>
      </c>
      <c r="P70">
        <v>316.22000000000003</v>
      </c>
      <c r="Q70" t="s">
        <v>9</v>
      </c>
      <c r="R70" s="3">
        <f t="shared" si="11"/>
        <v>498969</v>
      </c>
      <c r="S70" s="3">
        <f t="shared" si="12"/>
        <v>405392.87453750003</v>
      </c>
      <c r="T70" s="3"/>
    </row>
    <row r="71" spans="1:20" x14ac:dyDescent="0.25">
      <c r="A71">
        <v>316.23</v>
      </c>
      <c r="B71" t="s">
        <v>11</v>
      </c>
      <c r="C71" s="3">
        <v>1347910</v>
      </c>
      <c r="D71" s="3">
        <f t="shared" si="7"/>
        <v>1496187.3333333333</v>
      </c>
      <c r="F71">
        <v>316.23</v>
      </c>
      <c r="G71" t="s">
        <v>11</v>
      </c>
      <c r="H71" s="3">
        <v>1347910</v>
      </c>
      <c r="I71" s="3">
        <f t="shared" si="8"/>
        <v>1507419.9166666667</v>
      </c>
      <c r="K71">
        <v>316.23</v>
      </c>
      <c r="L71" t="s">
        <v>11</v>
      </c>
      <c r="M71" s="3">
        <f t="shared" si="9"/>
        <v>1347910</v>
      </c>
      <c r="N71" s="3">
        <f t="shared" si="10"/>
        <v>1518652.5</v>
      </c>
      <c r="P71">
        <v>316.23</v>
      </c>
      <c r="Q71" t="s">
        <v>11</v>
      </c>
      <c r="R71" s="3">
        <f t="shared" si="11"/>
        <v>1347910</v>
      </c>
      <c r="S71" s="3">
        <f t="shared" si="12"/>
        <v>1529885.0833333333</v>
      </c>
      <c r="T71" s="3"/>
    </row>
    <row r="72" spans="1:20" x14ac:dyDescent="0.25">
      <c r="B72" s="8" t="s">
        <v>15</v>
      </c>
      <c r="C72" s="7">
        <f>SUM(C64:C71)</f>
        <v>891096499</v>
      </c>
      <c r="D72" s="7">
        <f>SUM(D64:D71)</f>
        <v>420990188.81549996</v>
      </c>
      <c r="G72" s="8" t="s">
        <v>15</v>
      </c>
      <c r="H72" s="7">
        <f>SUM(H64:H71)</f>
        <v>891096499</v>
      </c>
      <c r="I72" s="7">
        <f>SUM(I64:I71)</f>
        <v>422528969.6081</v>
      </c>
      <c r="L72" s="8" t="s">
        <v>15</v>
      </c>
      <c r="M72" s="7">
        <f>SUM(M64:M71)</f>
        <v>891096499</v>
      </c>
      <c r="N72" s="7">
        <f t="shared" ref="N72" si="13">SUM(N64:N71)</f>
        <v>424067750.40069997</v>
      </c>
      <c r="O72" s="7"/>
      <c r="P72" s="7"/>
      <c r="Q72" s="11" t="s">
        <v>15</v>
      </c>
      <c r="R72" s="7">
        <f>SUM(R64:R71)</f>
        <v>891096499</v>
      </c>
      <c r="S72" s="7">
        <f>SUM(S64:S71)</f>
        <v>425606531.19329995</v>
      </c>
    </row>
    <row r="74" spans="1:20" x14ac:dyDescent="0.25">
      <c r="D74" s="3">
        <f>C72-D72</f>
        <v>470106310.18450004</v>
      </c>
      <c r="I74" s="3">
        <f>H72-I72</f>
        <v>468567529.3919</v>
      </c>
      <c r="N74" s="3">
        <f>M72-N72</f>
        <v>467028748.59930003</v>
      </c>
      <c r="S74" s="3">
        <f>R72-S72</f>
        <v>465489967.80670005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0B3A-9191-4A65-8D75-0BC2BB36F3C3}">
  <dimension ref="A1:S96"/>
  <sheetViews>
    <sheetView workbookViewId="0">
      <selection activeCell="K1" sqref="K1"/>
    </sheetView>
  </sheetViews>
  <sheetFormatPr defaultRowHeight="15" x14ac:dyDescent="0.25"/>
  <cols>
    <col min="1" max="1" width="10.140625" customWidth="1"/>
    <col min="2" max="2" width="25" bestFit="1" customWidth="1"/>
    <col min="3" max="3" width="13.7109375" bestFit="1" customWidth="1"/>
    <col min="4" max="4" width="16.5703125" customWidth="1"/>
    <col min="8" max="8" width="13.5703125" bestFit="1" customWidth="1"/>
    <col min="9" max="9" width="13.5703125" customWidth="1"/>
    <col min="10" max="10" width="13.5703125" bestFit="1" customWidth="1"/>
    <col min="13" max="13" width="13.5703125" bestFit="1" customWidth="1"/>
    <col min="14" max="14" width="13.28515625" bestFit="1" customWidth="1"/>
    <col min="18" max="20" width="13.5703125" bestFit="1" customWidth="1"/>
  </cols>
  <sheetData>
    <row r="1" spans="1:11" x14ac:dyDescent="0.25">
      <c r="A1" t="s">
        <v>0</v>
      </c>
      <c r="C1" t="s">
        <v>28</v>
      </c>
      <c r="K1" s="6" t="s">
        <v>31</v>
      </c>
    </row>
    <row r="2" spans="1:11" x14ac:dyDescent="0.25">
      <c r="C2" s="1">
        <v>44561</v>
      </c>
      <c r="D2" s="1">
        <v>44561</v>
      </c>
      <c r="F2" t="s">
        <v>23</v>
      </c>
      <c r="H2" s="1">
        <v>44620</v>
      </c>
      <c r="I2" s="1">
        <v>45116</v>
      </c>
    </row>
    <row r="3" spans="1:11" s="2" customFormat="1" ht="90" x14ac:dyDescent="0.25">
      <c r="A3" s="2" t="s">
        <v>2</v>
      </c>
      <c r="B3" s="2" t="s">
        <v>12</v>
      </c>
      <c r="C3" s="4" t="s">
        <v>1</v>
      </c>
      <c r="D3" s="4" t="s">
        <v>13</v>
      </c>
      <c r="G3" s="2" t="s">
        <v>25</v>
      </c>
      <c r="H3" s="2" t="s">
        <v>24</v>
      </c>
      <c r="I3" s="4" t="s">
        <v>16</v>
      </c>
    </row>
    <row r="4" spans="1:11" x14ac:dyDescent="0.25">
      <c r="A4">
        <v>311</v>
      </c>
      <c r="B4" t="s">
        <v>3</v>
      </c>
      <c r="C4" s="3">
        <v>104422972.12</v>
      </c>
      <c r="D4" s="3">
        <v>40328759</v>
      </c>
      <c r="G4" s="5">
        <v>1.5900000000000001E-2</v>
      </c>
      <c r="H4" s="5">
        <v>3.44E-2</v>
      </c>
      <c r="I4" s="5">
        <v>3.56E-2</v>
      </c>
    </row>
    <row r="5" spans="1:11" x14ac:dyDescent="0.25">
      <c r="A5">
        <v>312</v>
      </c>
      <c r="B5" t="s">
        <v>5</v>
      </c>
      <c r="C5" s="3">
        <v>551682868.67999995</v>
      </c>
      <c r="D5" s="3">
        <v>198387865</v>
      </c>
      <c r="G5" s="5">
        <v>2.0899999999999998E-2</v>
      </c>
      <c r="H5" s="5">
        <v>4.1099999999999998E-2</v>
      </c>
      <c r="I5" s="5">
        <v>4.1200000000000001E-2</v>
      </c>
    </row>
    <row r="6" spans="1:11" x14ac:dyDescent="0.25">
      <c r="A6">
        <v>314</v>
      </c>
      <c r="B6" t="s">
        <v>6</v>
      </c>
      <c r="C6" s="3">
        <v>173844704.86000001</v>
      </c>
      <c r="D6" s="3">
        <v>77636026</v>
      </c>
      <c r="G6" s="5">
        <v>2.5700000000000001E-2</v>
      </c>
      <c r="H6" s="5">
        <v>3.3799999999999997E-2</v>
      </c>
      <c r="I6" s="5">
        <v>3.4599999999999999E-2</v>
      </c>
    </row>
    <row r="7" spans="1:11" x14ac:dyDescent="0.25">
      <c r="A7">
        <v>315</v>
      </c>
      <c r="B7" t="s">
        <v>7</v>
      </c>
      <c r="C7" s="3">
        <v>67576512.030000001</v>
      </c>
      <c r="D7" s="3">
        <v>27565264</v>
      </c>
      <c r="G7" s="5">
        <v>2.1100000000000001E-2</v>
      </c>
      <c r="H7" s="5">
        <v>3.39E-2</v>
      </c>
      <c r="I7" s="5">
        <v>3.5799999999999998E-2</v>
      </c>
    </row>
    <row r="8" spans="1:11" x14ac:dyDescent="0.25">
      <c r="A8">
        <v>316</v>
      </c>
      <c r="B8" t="s">
        <v>8</v>
      </c>
      <c r="C8" s="3">
        <v>17459371.760000002</v>
      </c>
      <c r="D8" s="3">
        <v>3809842</v>
      </c>
      <c r="G8" s="5">
        <v>3.6900000000000002E-2</v>
      </c>
      <c r="H8" s="5">
        <v>5.0500000000000003E-2</v>
      </c>
      <c r="I8" s="5">
        <v>5.6099999999999997E-2</v>
      </c>
    </row>
    <row r="9" spans="1:11" x14ac:dyDescent="0.25">
      <c r="A9">
        <v>316.20999999999998</v>
      </c>
      <c r="B9" t="s">
        <v>10</v>
      </c>
      <c r="C9" s="3">
        <v>707122.77</v>
      </c>
      <c r="D9" s="3">
        <v>342554</v>
      </c>
      <c r="G9" s="5">
        <v>0.05</v>
      </c>
      <c r="H9" s="5">
        <v>0.05</v>
      </c>
      <c r="I9" s="5">
        <v>0.05</v>
      </c>
    </row>
    <row r="10" spans="1:11" x14ac:dyDescent="0.25">
      <c r="A10">
        <v>316.22000000000003</v>
      </c>
      <c r="B10" t="s">
        <v>9</v>
      </c>
      <c r="C10" s="3">
        <v>452098.11</v>
      </c>
      <c r="D10" s="3">
        <v>320582</v>
      </c>
      <c r="G10" s="5">
        <v>6.6699999999999995E-2</v>
      </c>
      <c r="H10" s="5">
        <v>6.6699999999999995E-2</v>
      </c>
      <c r="I10" s="5">
        <v>6.6699999999999995E-2</v>
      </c>
    </row>
    <row r="11" spans="1:11" x14ac:dyDescent="0.25">
      <c r="A11">
        <v>316.23</v>
      </c>
      <c r="B11" t="s">
        <v>11</v>
      </c>
      <c r="C11" s="3">
        <v>1488761.14</v>
      </c>
      <c r="D11" s="3">
        <v>895352</v>
      </c>
      <c r="G11" s="5">
        <v>0.2</v>
      </c>
      <c r="H11" s="5">
        <v>0.2</v>
      </c>
      <c r="I11" s="5">
        <v>0.2</v>
      </c>
    </row>
    <row r="12" spans="1:11" s="6" customFormat="1" x14ac:dyDescent="0.25">
      <c r="B12" s="8" t="s">
        <v>15</v>
      </c>
      <c r="C12" s="7">
        <f>SUM(C4:C11)</f>
        <v>917634411.46999991</v>
      </c>
      <c r="D12" s="7">
        <f>SUM(D4:D11)</f>
        <v>349286244</v>
      </c>
    </row>
    <row r="14" spans="1:11" x14ac:dyDescent="0.25">
      <c r="A14" t="s">
        <v>20</v>
      </c>
    </row>
    <row r="15" spans="1:11" x14ac:dyDescent="0.25">
      <c r="A15" t="s">
        <v>18</v>
      </c>
    </row>
    <row r="16" spans="1:11" x14ac:dyDescent="0.25">
      <c r="A16" t="s">
        <v>19</v>
      </c>
    </row>
    <row r="17" spans="1:4" x14ac:dyDescent="0.25">
      <c r="A17" t="s">
        <v>21</v>
      </c>
    </row>
    <row r="20" spans="1:4" x14ac:dyDescent="0.25">
      <c r="C20" s="1">
        <v>44620</v>
      </c>
      <c r="D20" s="1">
        <v>44620</v>
      </c>
    </row>
    <row r="21" spans="1:4" ht="45" x14ac:dyDescent="0.25">
      <c r="A21" s="2" t="s">
        <v>2</v>
      </c>
      <c r="B21" s="2" t="s">
        <v>12</v>
      </c>
      <c r="C21" s="4" t="s">
        <v>1</v>
      </c>
      <c r="D21" s="4" t="s">
        <v>13</v>
      </c>
    </row>
    <row r="22" spans="1:4" x14ac:dyDescent="0.25">
      <c r="A22">
        <v>311</v>
      </c>
      <c r="B22" t="s">
        <v>3</v>
      </c>
      <c r="C22" s="3">
        <v>104422972.12</v>
      </c>
      <c r="D22" s="3">
        <f>D4+((C4*G4)*(2/12))</f>
        <v>40605479.876117997</v>
      </c>
    </row>
    <row r="23" spans="1:4" x14ac:dyDescent="0.25">
      <c r="A23">
        <v>312</v>
      </c>
      <c r="B23" t="s">
        <v>5</v>
      </c>
      <c r="C23" s="3">
        <v>551682868.67999995</v>
      </c>
      <c r="D23" s="3">
        <f t="shared" ref="D23:D25" si="0">D5+((C5*G5)*(2/12))</f>
        <v>200309560.32590199</v>
      </c>
    </row>
    <row r="24" spans="1:4" x14ac:dyDescent="0.25">
      <c r="A24">
        <v>314</v>
      </c>
      <c r="B24" t="s">
        <v>6</v>
      </c>
      <c r="C24" s="3">
        <v>173844704.86000001</v>
      </c>
      <c r="D24" s="3">
        <f t="shared" si="0"/>
        <v>78380660.819150329</v>
      </c>
    </row>
    <row r="25" spans="1:4" x14ac:dyDescent="0.25">
      <c r="A25">
        <v>315</v>
      </c>
      <c r="B25" t="s">
        <v>7</v>
      </c>
      <c r="C25" s="3">
        <v>67576512.030000001</v>
      </c>
      <c r="D25" s="3">
        <f t="shared" si="0"/>
        <v>27802908.067305502</v>
      </c>
    </row>
    <row r="26" spans="1:4" x14ac:dyDescent="0.25">
      <c r="A26">
        <v>316</v>
      </c>
      <c r="B26" t="s">
        <v>8</v>
      </c>
      <c r="C26" s="3">
        <v>17459371.760000002</v>
      </c>
      <c r="D26" s="3">
        <f>D8+((C8*G8)*(2/12))</f>
        <v>3917217.1363240001</v>
      </c>
    </row>
    <row r="27" spans="1:4" x14ac:dyDescent="0.25">
      <c r="A27">
        <v>316.20999999999998</v>
      </c>
      <c r="B27" t="s">
        <v>10</v>
      </c>
      <c r="C27" s="3">
        <v>707122.77</v>
      </c>
      <c r="D27" s="3">
        <f>D9+((C9*G9)*(2/12))</f>
        <v>348446.68975000002</v>
      </c>
    </row>
    <row r="28" spans="1:4" x14ac:dyDescent="0.25">
      <c r="A28">
        <v>316.22000000000003</v>
      </c>
      <c r="B28" t="s">
        <v>9</v>
      </c>
      <c r="C28" s="3">
        <v>452098.11</v>
      </c>
      <c r="D28" s="3">
        <f>D10+((C10*G10)*(2/12))</f>
        <v>325607.8239895</v>
      </c>
    </row>
    <row r="29" spans="1:4" x14ac:dyDescent="0.25">
      <c r="A29">
        <v>316.23</v>
      </c>
      <c r="B29" t="s">
        <v>11</v>
      </c>
      <c r="C29" s="3">
        <v>1488761.14</v>
      </c>
      <c r="D29" s="3">
        <f>D11+((C11*G11)*(2/12))</f>
        <v>944977.37133333331</v>
      </c>
    </row>
    <row r="30" spans="1:4" x14ac:dyDescent="0.25">
      <c r="A30" s="6"/>
      <c r="B30" s="8" t="s">
        <v>15</v>
      </c>
      <c r="C30" s="7">
        <f>SUM(C22:C29)</f>
        <v>917634411.46999991</v>
      </c>
      <c r="D30" s="7">
        <f>SUM(D22:D29)</f>
        <v>352634858.1098727</v>
      </c>
    </row>
    <row r="32" spans="1:4" x14ac:dyDescent="0.25">
      <c r="C32" s="1">
        <v>44926</v>
      </c>
      <c r="D32" s="1">
        <v>44926</v>
      </c>
    </row>
    <row r="33" spans="1:4" ht="45" x14ac:dyDescent="0.25">
      <c r="A33" s="2" t="s">
        <v>2</v>
      </c>
      <c r="B33" s="2" t="s">
        <v>12</v>
      </c>
      <c r="C33" s="4" t="s">
        <v>1</v>
      </c>
      <c r="D33" s="4" t="s">
        <v>13</v>
      </c>
    </row>
    <row r="34" spans="1:4" x14ac:dyDescent="0.25">
      <c r="A34">
        <v>311</v>
      </c>
      <c r="B34" t="s">
        <v>3</v>
      </c>
      <c r="C34" s="3">
        <v>104422972.12</v>
      </c>
      <c r="D34" s="3">
        <f>D22+((C4*H4)*(10/12))</f>
        <v>43598938.410224661</v>
      </c>
    </row>
    <row r="35" spans="1:4" x14ac:dyDescent="0.25">
      <c r="A35">
        <v>312</v>
      </c>
      <c r="B35" t="s">
        <v>5</v>
      </c>
      <c r="C35" s="3">
        <v>551682868.67999995</v>
      </c>
      <c r="D35" s="3">
        <f t="shared" ref="D35:D41" si="1">D23+((C5*H5)*(10/12))</f>
        <v>219204698.578192</v>
      </c>
    </row>
    <row r="36" spans="1:4" x14ac:dyDescent="0.25">
      <c r="A36">
        <v>314</v>
      </c>
      <c r="B36" t="s">
        <v>6</v>
      </c>
      <c r="C36" s="3">
        <v>173844704.86000001</v>
      </c>
      <c r="D36" s="3">
        <f t="shared" si="1"/>
        <v>83277286.672706991</v>
      </c>
    </row>
    <row r="37" spans="1:4" x14ac:dyDescent="0.25">
      <c r="A37">
        <v>315</v>
      </c>
      <c r="B37" t="s">
        <v>7</v>
      </c>
      <c r="C37" s="3">
        <v>67576512.030000001</v>
      </c>
      <c r="D37" s="3">
        <f t="shared" si="1"/>
        <v>29711944.532153003</v>
      </c>
    </row>
    <row r="38" spans="1:4" x14ac:dyDescent="0.25">
      <c r="A38">
        <v>316</v>
      </c>
      <c r="B38" t="s">
        <v>8</v>
      </c>
      <c r="C38" s="3">
        <v>17459371.760000002</v>
      </c>
      <c r="D38" s="3">
        <f t="shared" si="1"/>
        <v>4651965.6978906672</v>
      </c>
    </row>
    <row r="39" spans="1:4" x14ac:dyDescent="0.25">
      <c r="A39">
        <v>316.20999999999998</v>
      </c>
      <c r="B39" t="s">
        <v>10</v>
      </c>
      <c r="C39" s="3">
        <v>707122.77</v>
      </c>
      <c r="D39" s="3">
        <f t="shared" si="1"/>
        <v>377910.1385</v>
      </c>
    </row>
    <row r="40" spans="1:4" x14ac:dyDescent="0.25">
      <c r="A40">
        <v>316.22000000000003</v>
      </c>
      <c r="B40" t="s">
        <v>9</v>
      </c>
      <c r="C40" s="3">
        <v>452098.11</v>
      </c>
      <c r="D40" s="3">
        <f t="shared" si="1"/>
        <v>350736.943937</v>
      </c>
    </row>
    <row r="41" spans="1:4" x14ac:dyDescent="0.25">
      <c r="A41">
        <v>316.23</v>
      </c>
      <c r="B41" t="s">
        <v>11</v>
      </c>
      <c r="C41" s="3">
        <v>1488761.14</v>
      </c>
      <c r="D41" s="3">
        <f t="shared" si="1"/>
        <v>1193104.2280000001</v>
      </c>
    </row>
    <row r="42" spans="1:4" x14ac:dyDescent="0.25">
      <c r="A42" s="6"/>
      <c r="B42" s="8" t="s">
        <v>15</v>
      </c>
      <c r="C42" s="7">
        <f>SUM(C34:C41)</f>
        <v>917634411.46999991</v>
      </c>
      <c r="D42" s="7">
        <f>SUM(D34:D41)</f>
        <v>382366585.20160425</v>
      </c>
    </row>
    <row r="44" spans="1:4" x14ac:dyDescent="0.25">
      <c r="C44" s="1">
        <v>45107</v>
      </c>
      <c r="D44" s="1">
        <v>45107</v>
      </c>
    </row>
    <row r="45" spans="1:4" ht="45" x14ac:dyDescent="0.25">
      <c r="A45" s="2" t="s">
        <v>2</v>
      </c>
      <c r="B45" s="2" t="s">
        <v>12</v>
      </c>
      <c r="C45" s="4" t="s">
        <v>1</v>
      </c>
      <c r="D45" s="4" t="s">
        <v>13</v>
      </c>
    </row>
    <row r="46" spans="1:4" x14ac:dyDescent="0.25">
      <c r="A46">
        <v>311</v>
      </c>
      <c r="B46" t="s">
        <v>3</v>
      </c>
      <c r="C46" s="3">
        <v>104422972.12</v>
      </c>
      <c r="D46" s="3">
        <f>D34+((C4*H4)*(6/12))</f>
        <v>45395013.530688658</v>
      </c>
    </row>
    <row r="47" spans="1:4" x14ac:dyDescent="0.25">
      <c r="A47">
        <v>312</v>
      </c>
      <c r="B47" t="s">
        <v>5</v>
      </c>
      <c r="C47" s="3">
        <v>551682868.67999995</v>
      </c>
      <c r="D47" s="3">
        <f t="shared" ref="D47:D53" si="2">D35+((C5*H5)*(6/12))</f>
        <v>230541781.52956599</v>
      </c>
    </row>
    <row r="48" spans="1:4" x14ac:dyDescent="0.25">
      <c r="A48">
        <v>314</v>
      </c>
      <c r="B48" t="s">
        <v>6</v>
      </c>
      <c r="C48" s="3">
        <v>173844704.86000001</v>
      </c>
      <c r="D48" s="3">
        <f t="shared" si="2"/>
        <v>86215262.184840992</v>
      </c>
    </row>
    <row r="49" spans="1:4" x14ac:dyDescent="0.25">
      <c r="A49">
        <v>315</v>
      </c>
      <c r="B49" t="s">
        <v>7</v>
      </c>
      <c r="C49" s="3">
        <v>67576512.030000001</v>
      </c>
      <c r="D49" s="3">
        <f t="shared" si="2"/>
        <v>30857366.411061503</v>
      </c>
    </row>
    <row r="50" spans="1:4" x14ac:dyDescent="0.25">
      <c r="A50">
        <v>316</v>
      </c>
      <c r="B50" t="s">
        <v>8</v>
      </c>
      <c r="C50" s="3">
        <v>17459371.760000002</v>
      </c>
      <c r="D50" s="3">
        <f t="shared" si="2"/>
        <v>5092814.8348306669</v>
      </c>
    </row>
    <row r="51" spans="1:4" x14ac:dyDescent="0.25">
      <c r="A51">
        <v>316.20999999999998</v>
      </c>
      <c r="B51" t="s">
        <v>10</v>
      </c>
      <c r="C51" s="3">
        <v>707122.77</v>
      </c>
      <c r="D51" s="3">
        <f t="shared" si="2"/>
        <v>395588.20775</v>
      </c>
    </row>
    <row r="52" spans="1:4" x14ac:dyDescent="0.25">
      <c r="A52">
        <v>316.22000000000003</v>
      </c>
      <c r="B52" t="s">
        <v>9</v>
      </c>
      <c r="C52" s="3">
        <v>452098.11</v>
      </c>
      <c r="D52" s="3">
        <f t="shared" si="2"/>
        <v>365814.41590550001</v>
      </c>
    </row>
    <row r="53" spans="1:4" x14ac:dyDescent="0.25">
      <c r="A53">
        <v>316.23</v>
      </c>
      <c r="B53" t="s">
        <v>11</v>
      </c>
      <c r="C53" s="3">
        <v>1488761.14</v>
      </c>
      <c r="D53" s="3">
        <f t="shared" si="2"/>
        <v>1341980.3420000002</v>
      </c>
    </row>
    <row r="54" spans="1:4" x14ac:dyDescent="0.25">
      <c r="A54" s="6"/>
      <c r="B54" s="8" t="s">
        <v>15</v>
      </c>
      <c r="C54" s="7">
        <f>SUM(C46:C53)</f>
        <v>917634411.46999991</v>
      </c>
      <c r="D54" s="7">
        <f>SUM(D46:D53)</f>
        <v>400205621.45664328</v>
      </c>
    </row>
    <row r="56" spans="1:4" x14ac:dyDescent="0.25">
      <c r="C56" s="1">
        <v>45291</v>
      </c>
      <c r="D56" s="1">
        <v>45291</v>
      </c>
    </row>
    <row r="57" spans="1:4" ht="45" x14ac:dyDescent="0.25">
      <c r="A57" s="2" t="s">
        <v>2</v>
      </c>
      <c r="B57" s="2" t="s">
        <v>12</v>
      </c>
      <c r="C57" s="4" t="s">
        <v>1</v>
      </c>
      <c r="D57" s="4" t="s">
        <v>13</v>
      </c>
    </row>
    <row r="58" spans="1:4" x14ac:dyDescent="0.25">
      <c r="A58">
        <v>311</v>
      </c>
      <c r="B58" t="s">
        <v>3</v>
      </c>
      <c r="C58" s="3">
        <v>104422972.12</v>
      </c>
      <c r="D58" s="3">
        <f>D46+((C4*I4)*(6/12))</f>
        <v>47253742.434424661</v>
      </c>
    </row>
    <row r="59" spans="1:4" x14ac:dyDescent="0.25">
      <c r="A59">
        <v>312</v>
      </c>
      <c r="B59" t="s">
        <v>5</v>
      </c>
      <c r="C59" s="3">
        <v>551682868.67999995</v>
      </c>
      <c r="D59" s="3">
        <f t="shared" ref="D59:D65" si="3">D47+((C5*I5)*(6/12))</f>
        <v>241906448.624374</v>
      </c>
    </row>
    <row r="60" spans="1:4" x14ac:dyDescent="0.25">
      <c r="A60">
        <v>314</v>
      </c>
      <c r="B60" t="s">
        <v>6</v>
      </c>
      <c r="C60" s="3">
        <v>173844704.86000001</v>
      </c>
      <c r="D60" s="3">
        <f t="shared" si="3"/>
        <v>89222775.578918993</v>
      </c>
    </row>
    <row r="61" spans="1:4" x14ac:dyDescent="0.25">
      <c r="A61">
        <v>315</v>
      </c>
      <c r="B61" t="s">
        <v>7</v>
      </c>
      <c r="C61" s="3">
        <v>67576512.030000001</v>
      </c>
      <c r="D61" s="3">
        <f t="shared" si="3"/>
        <v>32066985.976398502</v>
      </c>
    </row>
    <row r="62" spans="1:4" x14ac:dyDescent="0.25">
      <c r="A62">
        <v>316</v>
      </c>
      <c r="B62" t="s">
        <v>8</v>
      </c>
      <c r="C62" s="3">
        <v>17459371.760000002</v>
      </c>
      <c r="D62" s="3">
        <f t="shared" si="3"/>
        <v>5582550.2126986673</v>
      </c>
    </row>
    <row r="63" spans="1:4" x14ac:dyDescent="0.25">
      <c r="A63">
        <v>316.20999999999998</v>
      </c>
      <c r="B63" t="s">
        <v>10</v>
      </c>
      <c r="C63" s="3">
        <v>707122.77</v>
      </c>
      <c r="D63" s="3">
        <f t="shared" si="3"/>
        <v>413266.277</v>
      </c>
    </row>
    <row r="64" spans="1:4" x14ac:dyDescent="0.25">
      <c r="A64">
        <v>316.22000000000003</v>
      </c>
      <c r="B64" t="s">
        <v>9</v>
      </c>
      <c r="C64" s="3">
        <v>452098.11</v>
      </c>
      <c r="D64" s="3">
        <f t="shared" si="3"/>
        <v>380891.88787400001</v>
      </c>
    </row>
    <row r="65" spans="1:19" x14ac:dyDescent="0.25">
      <c r="A65">
        <v>316.23</v>
      </c>
      <c r="B65" t="s">
        <v>11</v>
      </c>
      <c r="C65" s="3">
        <v>1488761.14</v>
      </c>
      <c r="D65" s="3">
        <f t="shared" si="3"/>
        <v>1490856.4560000002</v>
      </c>
    </row>
    <row r="66" spans="1:19" x14ac:dyDescent="0.25">
      <c r="A66" s="6"/>
      <c r="B66" s="8" t="s">
        <v>15</v>
      </c>
      <c r="C66" s="7">
        <f>SUM(C58:C65)</f>
        <v>917634411.46999991</v>
      </c>
      <c r="D66" s="7">
        <f>SUM(D58:D65)</f>
        <v>418317517.44768882</v>
      </c>
    </row>
    <row r="69" spans="1:19" x14ac:dyDescent="0.25">
      <c r="C69" s="1">
        <v>45535</v>
      </c>
      <c r="D69" s="1">
        <v>45535</v>
      </c>
      <c r="H69" s="1">
        <v>45550</v>
      </c>
      <c r="I69" s="1">
        <v>45550</v>
      </c>
      <c r="J69" s="1"/>
      <c r="M69" s="1">
        <v>45565</v>
      </c>
      <c r="N69" s="1">
        <v>45565</v>
      </c>
      <c r="R69" s="1">
        <v>45580</v>
      </c>
      <c r="S69" s="1">
        <v>45580</v>
      </c>
    </row>
    <row r="70" spans="1:19" ht="45" x14ac:dyDescent="0.25">
      <c r="A70" s="2" t="s">
        <v>2</v>
      </c>
      <c r="B70" s="2" t="s">
        <v>12</v>
      </c>
      <c r="C70" s="4" t="s">
        <v>1</v>
      </c>
      <c r="D70" s="4" t="s">
        <v>13</v>
      </c>
      <c r="F70" s="2" t="s">
        <v>2</v>
      </c>
      <c r="G70" s="2" t="s">
        <v>12</v>
      </c>
      <c r="H70" s="4" t="s">
        <v>1</v>
      </c>
      <c r="I70" s="4" t="s">
        <v>13</v>
      </c>
      <c r="J70" s="4"/>
      <c r="K70" s="2" t="s">
        <v>2</v>
      </c>
      <c r="L70" s="2" t="s">
        <v>12</v>
      </c>
      <c r="M70" s="4" t="s">
        <v>1</v>
      </c>
      <c r="N70" s="4" t="s">
        <v>13</v>
      </c>
      <c r="P70" s="2" t="s">
        <v>2</v>
      </c>
      <c r="Q70" s="2" t="s">
        <v>12</v>
      </c>
      <c r="R70" s="4" t="s">
        <v>1</v>
      </c>
      <c r="S70" s="4" t="s">
        <v>13</v>
      </c>
    </row>
    <row r="71" spans="1:19" x14ac:dyDescent="0.25">
      <c r="A71">
        <v>311</v>
      </c>
      <c r="B71" t="s">
        <v>3</v>
      </c>
      <c r="C71" s="3">
        <v>104422972.12</v>
      </c>
      <c r="D71" s="3">
        <f>D58+((C4*I4)*(8/12))</f>
        <v>49732047.639405996</v>
      </c>
      <c r="F71">
        <v>311</v>
      </c>
      <c r="G71" t="s">
        <v>3</v>
      </c>
      <c r="H71" s="3">
        <v>104422972.12</v>
      </c>
      <c r="I71" s="3">
        <f>D58+((C4*I4)*(8.5/12))</f>
        <v>49886941.714717329</v>
      </c>
      <c r="J71" s="3"/>
      <c r="K71">
        <v>311</v>
      </c>
      <c r="L71" t="s">
        <v>3</v>
      </c>
      <c r="M71" s="3">
        <v>104422972.12</v>
      </c>
      <c r="N71" s="3">
        <f>D58+((C4*I4)*(9/12))</f>
        <v>50041835.790028661</v>
      </c>
      <c r="P71">
        <v>311</v>
      </c>
      <c r="Q71" t="s">
        <v>3</v>
      </c>
      <c r="R71" s="3">
        <v>104422972.12</v>
      </c>
      <c r="S71" s="3">
        <f t="shared" ref="S71:S78" si="4">D58+((C4*I4)*(9.5/12))</f>
        <v>50196729.865339994</v>
      </c>
    </row>
    <row r="72" spans="1:19" x14ac:dyDescent="0.25">
      <c r="A72">
        <v>312</v>
      </c>
      <c r="B72" t="s">
        <v>5</v>
      </c>
      <c r="C72" s="3">
        <v>551682868.67999995</v>
      </c>
      <c r="D72" s="3">
        <f t="shared" ref="D72:D78" si="5">D59+((C5*I5)*(8/12))</f>
        <v>257059338.08411801</v>
      </c>
      <c r="F72">
        <v>312</v>
      </c>
      <c r="G72" t="s">
        <v>5</v>
      </c>
      <c r="H72" s="3">
        <v>551682868.67999995</v>
      </c>
      <c r="I72" s="3">
        <f t="shared" ref="I72:I78" si="6">D59+((C5*I5)*(8.5/12))</f>
        <v>258006393.67535201</v>
      </c>
      <c r="J72" s="3"/>
      <c r="K72">
        <v>312</v>
      </c>
      <c r="L72" t="s">
        <v>5</v>
      </c>
      <c r="M72" s="3">
        <v>551682868.67999995</v>
      </c>
      <c r="N72" s="3">
        <f t="shared" ref="N72:N78" si="7">D59+((C5*I5)*(9/12))</f>
        <v>258953449.26658601</v>
      </c>
      <c r="P72">
        <v>312</v>
      </c>
      <c r="Q72" t="s">
        <v>5</v>
      </c>
      <c r="R72" s="3">
        <v>551682868.67999995</v>
      </c>
      <c r="S72" s="3">
        <f t="shared" si="4"/>
        <v>259900504.85782</v>
      </c>
    </row>
    <row r="73" spans="1:19" x14ac:dyDescent="0.25">
      <c r="A73">
        <v>314</v>
      </c>
      <c r="B73" t="s">
        <v>6</v>
      </c>
      <c r="C73" s="3">
        <v>173844704.86000001</v>
      </c>
      <c r="D73" s="3">
        <f t="shared" si="5"/>
        <v>93232793.437689662</v>
      </c>
      <c r="F73">
        <v>314</v>
      </c>
      <c r="G73" t="s">
        <v>6</v>
      </c>
      <c r="H73" s="3">
        <v>173844704.86000001</v>
      </c>
      <c r="I73" s="3">
        <f t="shared" si="6"/>
        <v>93483419.553862825</v>
      </c>
      <c r="J73" s="3"/>
      <c r="K73">
        <v>314</v>
      </c>
      <c r="L73" t="s">
        <v>6</v>
      </c>
      <c r="M73" s="3">
        <v>173844704.86000001</v>
      </c>
      <c r="N73" s="3">
        <f t="shared" si="7"/>
        <v>93734045.670035988</v>
      </c>
      <c r="P73">
        <v>314</v>
      </c>
      <c r="Q73" t="s">
        <v>6</v>
      </c>
      <c r="R73" s="3">
        <v>173844704.86000001</v>
      </c>
      <c r="S73" s="3">
        <f t="shared" si="4"/>
        <v>93984671.786209166</v>
      </c>
    </row>
    <row r="74" spans="1:19" x14ac:dyDescent="0.25">
      <c r="A74">
        <v>315</v>
      </c>
      <c r="B74" t="s">
        <v>7</v>
      </c>
      <c r="C74" s="3">
        <v>67576512.030000001</v>
      </c>
      <c r="D74" s="3">
        <f t="shared" si="5"/>
        <v>33679812.063514501</v>
      </c>
      <c r="F74">
        <v>315</v>
      </c>
      <c r="G74" t="s">
        <v>7</v>
      </c>
      <c r="H74" s="3">
        <v>67576512.030000001</v>
      </c>
      <c r="I74" s="3">
        <f t="shared" si="6"/>
        <v>33780613.693959251</v>
      </c>
      <c r="J74" s="3"/>
      <c r="K74">
        <v>315</v>
      </c>
      <c r="L74" t="s">
        <v>7</v>
      </c>
      <c r="M74" s="3">
        <v>67576512.030000001</v>
      </c>
      <c r="N74" s="3">
        <f t="shared" si="7"/>
        <v>33881415.324404001</v>
      </c>
      <c r="P74">
        <v>315</v>
      </c>
      <c r="Q74" t="s">
        <v>7</v>
      </c>
      <c r="R74" s="3">
        <v>67576512.030000001</v>
      </c>
      <c r="S74" s="3">
        <f t="shared" si="4"/>
        <v>33982216.954848751</v>
      </c>
    </row>
    <row r="75" spans="1:19" x14ac:dyDescent="0.25">
      <c r="A75">
        <v>316</v>
      </c>
      <c r="B75" t="s">
        <v>8</v>
      </c>
      <c r="C75" s="3">
        <v>17459371.760000002</v>
      </c>
      <c r="D75" s="3">
        <f t="shared" si="5"/>
        <v>6235530.7165226676</v>
      </c>
      <c r="F75">
        <v>316</v>
      </c>
      <c r="G75" t="s">
        <v>8</v>
      </c>
      <c r="H75" s="3">
        <v>17459371.760000002</v>
      </c>
      <c r="I75" s="3">
        <f t="shared" si="6"/>
        <v>6276341.9980116673</v>
      </c>
      <c r="J75" s="3"/>
      <c r="K75">
        <v>316</v>
      </c>
      <c r="L75" t="s">
        <v>8</v>
      </c>
      <c r="M75" s="3">
        <v>17459371.760000002</v>
      </c>
      <c r="N75" s="3">
        <f t="shared" si="7"/>
        <v>6317153.279500667</v>
      </c>
      <c r="P75">
        <v>316</v>
      </c>
      <c r="Q75" t="s">
        <v>8</v>
      </c>
      <c r="R75" s="3">
        <v>17459371.760000002</v>
      </c>
      <c r="S75" s="3">
        <f t="shared" si="4"/>
        <v>6357964.5609896677</v>
      </c>
    </row>
    <row r="76" spans="1:19" x14ac:dyDescent="0.25">
      <c r="A76">
        <v>316.20999999999998</v>
      </c>
      <c r="B76" t="s">
        <v>10</v>
      </c>
      <c r="C76" s="3">
        <v>707122.77</v>
      </c>
      <c r="D76" s="3">
        <f t="shared" si="5"/>
        <v>436837.03600000002</v>
      </c>
      <c r="F76">
        <v>316.20999999999998</v>
      </c>
      <c r="G76" t="s">
        <v>10</v>
      </c>
      <c r="H76" s="3">
        <v>707122.77</v>
      </c>
      <c r="I76" s="3">
        <f t="shared" si="6"/>
        <v>438310.2084375</v>
      </c>
      <c r="J76" s="3"/>
      <c r="K76">
        <v>316.20999999999998</v>
      </c>
      <c r="L76" t="s">
        <v>10</v>
      </c>
      <c r="M76" s="3">
        <v>707122.77</v>
      </c>
      <c r="N76" s="3">
        <f t="shared" si="7"/>
        <v>439783.38087500003</v>
      </c>
      <c r="P76">
        <v>316.20999999999998</v>
      </c>
      <c r="Q76" t="s">
        <v>10</v>
      </c>
      <c r="R76" s="3">
        <v>707122.77</v>
      </c>
      <c r="S76" s="3">
        <f t="shared" si="4"/>
        <v>441256.55331250001</v>
      </c>
    </row>
    <row r="77" spans="1:19" x14ac:dyDescent="0.25">
      <c r="A77">
        <v>316.22000000000003</v>
      </c>
      <c r="B77" t="s">
        <v>9</v>
      </c>
      <c r="C77" s="3">
        <v>452098.11</v>
      </c>
      <c r="D77" s="3">
        <f t="shared" si="5"/>
        <v>400995.18383200001</v>
      </c>
      <c r="F77">
        <v>316.22000000000003</v>
      </c>
      <c r="G77" t="s">
        <v>9</v>
      </c>
      <c r="H77" s="3">
        <v>452098.11</v>
      </c>
      <c r="I77" s="3">
        <f t="shared" si="6"/>
        <v>402251.63982937502</v>
      </c>
      <c r="J77" s="3"/>
      <c r="K77">
        <v>316.22000000000003</v>
      </c>
      <c r="L77" t="s">
        <v>9</v>
      </c>
      <c r="M77" s="3">
        <v>452098.11</v>
      </c>
      <c r="N77" s="3">
        <f t="shared" si="7"/>
        <v>403508.09582674998</v>
      </c>
      <c r="P77">
        <v>316.22000000000003</v>
      </c>
      <c r="Q77" t="s">
        <v>9</v>
      </c>
      <c r="R77" s="3">
        <v>452098.11</v>
      </c>
      <c r="S77" s="3">
        <f t="shared" si="4"/>
        <v>404764.551824125</v>
      </c>
    </row>
    <row r="78" spans="1:19" x14ac:dyDescent="0.25">
      <c r="A78">
        <v>316.23</v>
      </c>
      <c r="B78" t="s">
        <v>11</v>
      </c>
      <c r="C78" s="3">
        <v>1488761.14</v>
      </c>
      <c r="D78" s="3">
        <f t="shared" si="5"/>
        <v>1689357.9413333335</v>
      </c>
      <c r="F78">
        <v>316.23</v>
      </c>
      <c r="G78" t="s">
        <v>11</v>
      </c>
      <c r="H78" s="3">
        <v>1488761.14</v>
      </c>
      <c r="I78" s="3">
        <f t="shared" si="6"/>
        <v>1701764.2841666669</v>
      </c>
      <c r="J78" s="3"/>
      <c r="K78">
        <v>316.23</v>
      </c>
      <c r="L78" t="s">
        <v>11</v>
      </c>
      <c r="M78" s="3">
        <v>1488761.14</v>
      </c>
      <c r="N78" s="3">
        <f t="shared" si="7"/>
        <v>1714170.6270000003</v>
      </c>
      <c r="P78">
        <v>316.23</v>
      </c>
      <c r="Q78" t="s">
        <v>11</v>
      </c>
      <c r="R78" s="3">
        <v>1488761.14</v>
      </c>
      <c r="S78" s="3">
        <f t="shared" si="4"/>
        <v>1726576.9698333335</v>
      </c>
    </row>
    <row r="79" spans="1:19" x14ac:dyDescent="0.25">
      <c r="A79" s="6"/>
      <c r="B79" s="8" t="s">
        <v>15</v>
      </c>
      <c r="C79" s="7">
        <f>SUM(C71:C78)</f>
        <v>917634411.46999991</v>
      </c>
      <c r="D79" s="7">
        <f>SUM(D71:D78)</f>
        <v>442466712.10241616</v>
      </c>
      <c r="F79" s="6"/>
      <c r="G79" s="8" t="s">
        <v>15</v>
      </c>
      <c r="H79" s="7">
        <f>SUM(H71:H78)</f>
        <v>917634411.46999991</v>
      </c>
      <c r="I79" s="7">
        <f>SUM(I71:I78)</f>
        <v>443976036.76833665</v>
      </c>
      <c r="J79" s="7"/>
      <c r="K79" s="6"/>
      <c r="L79" s="8" t="s">
        <v>15</v>
      </c>
      <c r="M79" s="7">
        <f>SUM(M71:M78)</f>
        <v>917634411.46999991</v>
      </c>
      <c r="N79" s="7">
        <f>SUM(N71:N78)</f>
        <v>445485361.43425697</v>
      </c>
      <c r="P79" s="6"/>
      <c r="Q79" s="8" t="s">
        <v>15</v>
      </c>
      <c r="R79" s="7">
        <f>SUM(R71:R78)</f>
        <v>917634411.46999991</v>
      </c>
      <c r="S79" s="7">
        <f>SUM(S71:S78)</f>
        <v>446994686.10017759</v>
      </c>
    </row>
    <row r="81" spans="1:19" x14ac:dyDescent="0.25">
      <c r="D81" s="3">
        <f>C79-D79</f>
        <v>475167699.36758375</v>
      </c>
      <c r="I81" s="3">
        <f>H79-I79</f>
        <v>473658374.70166326</v>
      </c>
      <c r="J81" s="3"/>
      <c r="N81" s="3">
        <f>M79-N79</f>
        <v>472149050.03574294</v>
      </c>
      <c r="S81" s="3">
        <f>R79-S79</f>
        <v>470639725.36982232</v>
      </c>
    </row>
    <row r="83" spans="1:19" s="13" customFormat="1" x14ac:dyDescent="0.25">
      <c r="A83" s="13" t="s">
        <v>27</v>
      </c>
      <c r="F83" s="13" t="s">
        <v>27</v>
      </c>
      <c r="K83" s="13" t="s">
        <v>27</v>
      </c>
      <c r="P83" s="13" t="s">
        <v>27</v>
      </c>
    </row>
    <row r="84" spans="1:19" x14ac:dyDescent="0.25">
      <c r="C84" s="1">
        <v>45535</v>
      </c>
      <c r="D84" s="1">
        <v>45535</v>
      </c>
      <c r="H84" s="1">
        <v>45550</v>
      </c>
      <c r="I84" s="1">
        <v>45550</v>
      </c>
      <c r="J84" s="1"/>
      <c r="M84" s="1">
        <v>45565</v>
      </c>
      <c r="N84" s="1">
        <v>45565</v>
      </c>
      <c r="R84" s="1">
        <v>45596</v>
      </c>
      <c r="S84" s="1">
        <v>45596</v>
      </c>
    </row>
    <row r="85" spans="1:19" ht="45" x14ac:dyDescent="0.25">
      <c r="A85" s="2" t="s">
        <v>2</v>
      </c>
      <c r="B85" s="2" t="s">
        <v>12</v>
      </c>
      <c r="C85" s="4" t="s">
        <v>1</v>
      </c>
      <c r="D85" s="4" t="s">
        <v>13</v>
      </c>
      <c r="F85" s="2" t="s">
        <v>2</v>
      </c>
      <c r="G85" s="2" t="s">
        <v>12</v>
      </c>
      <c r="H85" s="4" t="s">
        <v>1</v>
      </c>
      <c r="I85" s="4" t="s">
        <v>13</v>
      </c>
      <c r="J85" s="4"/>
      <c r="K85" s="2" t="s">
        <v>2</v>
      </c>
      <c r="L85" s="2" t="s">
        <v>12</v>
      </c>
      <c r="M85" s="4" t="s">
        <v>1</v>
      </c>
      <c r="N85" s="4" t="s">
        <v>13</v>
      </c>
      <c r="P85" s="2" t="s">
        <v>2</v>
      </c>
      <c r="Q85" s="2" t="s">
        <v>12</v>
      </c>
      <c r="R85" s="4" t="s">
        <v>1</v>
      </c>
      <c r="S85" s="4" t="s">
        <v>13</v>
      </c>
    </row>
    <row r="86" spans="1:19" x14ac:dyDescent="0.25">
      <c r="A86">
        <v>311</v>
      </c>
      <c r="B86" t="s">
        <v>3</v>
      </c>
      <c r="C86" s="3">
        <v>104422972.12</v>
      </c>
      <c r="D86" s="3">
        <f>D71</f>
        <v>49732047.639405996</v>
      </c>
      <c r="F86">
        <v>311</v>
      </c>
      <c r="G86" t="s">
        <v>3</v>
      </c>
      <c r="H86" s="3">
        <v>104422972.12</v>
      </c>
      <c r="I86" s="3">
        <f>I71</f>
        <v>49886941.714717329</v>
      </c>
      <c r="J86" s="3"/>
      <c r="K86">
        <v>311</v>
      </c>
      <c r="L86" t="s">
        <v>3</v>
      </c>
      <c r="M86" s="3">
        <v>104422972.12</v>
      </c>
      <c r="N86" s="3">
        <f>N71</f>
        <v>50041835.790028661</v>
      </c>
      <c r="P86">
        <v>311</v>
      </c>
      <c r="Q86" t="s">
        <v>3</v>
      </c>
      <c r="R86" s="3">
        <f t="shared" ref="R86:R93" si="8">H86</f>
        <v>104422972.12</v>
      </c>
      <c r="S86" s="3">
        <f>S71</f>
        <v>50196729.865339994</v>
      </c>
    </row>
    <row r="87" spans="1:19" x14ac:dyDescent="0.25">
      <c r="A87">
        <v>312</v>
      </c>
      <c r="B87" t="s">
        <v>5</v>
      </c>
      <c r="C87" s="3">
        <f>551682868.68-10433038</f>
        <v>541249830.67999995</v>
      </c>
      <c r="D87" s="3">
        <f>D72-3867039</f>
        <v>253192299.08411801</v>
      </c>
      <c r="F87">
        <v>312</v>
      </c>
      <c r="G87" t="s">
        <v>5</v>
      </c>
      <c r="H87" s="3">
        <f>551682868.68-10433038</f>
        <v>541249830.67999995</v>
      </c>
      <c r="I87" s="3">
        <f>I72-3867039</f>
        <v>254139354.67535201</v>
      </c>
      <c r="J87" s="3"/>
      <c r="K87">
        <v>312</v>
      </c>
      <c r="L87" t="s">
        <v>5</v>
      </c>
      <c r="M87" s="3">
        <f>551682868.68-10433038</f>
        <v>541249830.67999995</v>
      </c>
      <c r="N87" s="3">
        <f>N72-3867039</f>
        <v>255086410.26658601</v>
      </c>
      <c r="P87">
        <v>312</v>
      </c>
      <c r="Q87" t="s">
        <v>5</v>
      </c>
      <c r="R87" s="3">
        <f t="shared" si="8"/>
        <v>541249830.67999995</v>
      </c>
      <c r="S87" s="3">
        <f>S72-3867039</f>
        <v>256033465.85782</v>
      </c>
    </row>
    <row r="88" spans="1:19" x14ac:dyDescent="0.25">
      <c r="A88">
        <v>314</v>
      </c>
      <c r="B88" t="s">
        <v>6</v>
      </c>
      <c r="C88" s="3">
        <f>173844704.86-23448008</f>
        <v>150396696.86000001</v>
      </c>
      <c r="D88" s="3">
        <f>D73-10849930</f>
        <v>82382863.437689662</v>
      </c>
      <c r="F88">
        <v>314</v>
      </c>
      <c r="G88" t="s">
        <v>6</v>
      </c>
      <c r="H88" s="3">
        <f>173844704.86-23448008</f>
        <v>150396696.86000001</v>
      </c>
      <c r="I88" s="3">
        <f>I73-10849930</f>
        <v>82633489.553862825</v>
      </c>
      <c r="J88" s="3"/>
      <c r="K88">
        <v>314</v>
      </c>
      <c r="L88" t="s">
        <v>6</v>
      </c>
      <c r="M88" s="3">
        <f>173844704.86-23448008</f>
        <v>150396696.86000001</v>
      </c>
      <c r="N88" s="3">
        <f>N73-10849930</f>
        <v>82884115.670035988</v>
      </c>
      <c r="P88">
        <v>314</v>
      </c>
      <c r="Q88" t="s">
        <v>6</v>
      </c>
      <c r="R88" s="3">
        <f t="shared" si="8"/>
        <v>150396696.86000001</v>
      </c>
      <c r="S88" s="3">
        <f>S73-10849930</f>
        <v>83134741.786209166</v>
      </c>
    </row>
    <row r="89" spans="1:19" x14ac:dyDescent="0.25">
      <c r="A89">
        <v>315</v>
      </c>
      <c r="B89" t="s">
        <v>7</v>
      </c>
      <c r="C89" s="3">
        <f>67576512.03-6506369</f>
        <v>61070143.030000001</v>
      </c>
      <c r="D89" s="3">
        <f>D74-1469865</f>
        <v>32209947.063514501</v>
      </c>
      <c r="F89">
        <v>315</v>
      </c>
      <c r="G89" t="s">
        <v>7</v>
      </c>
      <c r="H89" s="3">
        <f>67576512.03-6506369</f>
        <v>61070143.030000001</v>
      </c>
      <c r="I89" s="3">
        <f>I74-1469865</f>
        <v>32310748.693959251</v>
      </c>
      <c r="J89" s="3"/>
      <c r="K89">
        <v>315</v>
      </c>
      <c r="L89" t="s">
        <v>7</v>
      </c>
      <c r="M89" s="3">
        <f>67576512.03-6506369</f>
        <v>61070143.030000001</v>
      </c>
      <c r="N89" s="3">
        <f>N74-1469865</f>
        <v>32411550.324404001</v>
      </c>
      <c r="P89">
        <v>315</v>
      </c>
      <c r="Q89" t="s">
        <v>7</v>
      </c>
      <c r="R89" s="3">
        <f t="shared" si="8"/>
        <v>61070143.030000001</v>
      </c>
      <c r="S89" s="3">
        <f>S74-1469865</f>
        <v>32512351.954848751</v>
      </c>
    </row>
    <row r="90" spans="1:19" x14ac:dyDescent="0.25">
      <c r="A90">
        <v>316</v>
      </c>
      <c r="B90" t="s">
        <v>8</v>
      </c>
      <c r="C90" s="3">
        <f>17459371.76-4959409</f>
        <v>12499962.760000002</v>
      </c>
      <c r="D90" s="3">
        <f>D75-1391070</f>
        <v>4844460.7165226676</v>
      </c>
      <c r="F90">
        <v>316</v>
      </c>
      <c r="G90" t="s">
        <v>8</v>
      </c>
      <c r="H90" s="3">
        <f>17459371.76-4959409</f>
        <v>12499962.760000002</v>
      </c>
      <c r="I90" s="3">
        <f>I75-1391070</f>
        <v>4885271.9980116673</v>
      </c>
      <c r="J90" s="3"/>
      <c r="K90">
        <v>316</v>
      </c>
      <c r="L90" t="s">
        <v>8</v>
      </c>
      <c r="M90" s="3">
        <f>17459371.76-4959409</f>
        <v>12499962.760000002</v>
      </c>
      <c r="N90" s="3">
        <f>N75-1391070</f>
        <v>4926083.279500667</v>
      </c>
      <c r="P90">
        <v>316</v>
      </c>
      <c r="Q90" t="s">
        <v>8</v>
      </c>
      <c r="R90" s="3">
        <f t="shared" si="8"/>
        <v>12499962.760000002</v>
      </c>
      <c r="S90" s="3">
        <f>S75-1391070</f>
        <v>4966894.5609896677</v>
      </c>
    </row>
    <row r="91" spans="1:19" x14ac:dyDescent="0.25">
      <c r="A91">
        <v>316.20999999999998</v>
      </c>
      <c r="B91" t="s">
        <v>10</v>
      </c>
      <c r="C91" s="3">
        <v>707122.77</v>
      </c>
      <c r="D91" s="3">
        <f t="shared" ref="D91:D93" si="9">D76</f>
        <v>436837.03600000002</v>
      </c>
      <c r="F91">
        <v>316.20999999999998</v>
      </c>
      <c r="G91" t="s">
        <v>10</v>
      </c>
      <c r="H91" s="3">
        <v>707122.77</v>
      </c>
      <c r="I91" s="3">
        <f t="shared" ref="I91:I93" si="10">I76</f>
        <v>438310.2084375</v>
      </c>
      <c r="J91" s="3"/>
      <c r="K91">
        <v>316.20999999999998</v>
      </c>
      <c r="L91" t="s">
        <v>10</v>
      </c>
      <c r="M91" s="3">
        <v>707122.77</v>
      </c>
      <c r="N91" s="3">
        <f t="shared" ref="N91:N93" si="11">N76</f>
        <v>439783.38087500003</v>
      </c>
      <c r="P91">
        <v>316.20999999999998</v>
      </c>
      <c r="Q91" t="s">
        <v>10</v>
      </c>
      <c r="R91" s="3">
        <f t="shared" si="8"/>
        <v>707122.77</v>
      </c>
      <c r="S91" s="3">
        <f t="shared" ref="S91:S93" si="12">S76</f>
        <v>441256.55331250001</v>
      </c>
    </row>
    <row r="92" spans="1:19" x14ac:dyDescent="0.25">
      <c r="A92">
        <v>316.22000000000003</v>
      </c>
      <c r="B92" t="s">
        <v>9</v>
      </c>
      <c r="C92" s="3">
        <v>452098.11</v>
      </c>
      <c r="D92" s="3">
        <f t="shared" si="9"/>
        <v>400995.18383200001</v>
      </c>
      <c r="F92">
        <v>316.22000000000003</v>
      </c>
      <c r="G92" t="s">
        <v>9</v>
      </c>
      <c r="H92" s="3">
        <v>452098.11</v>
      </c>
      <c r="I92" s="3">
        <f t="shared" si="10"/>
        <v>402251.63982937502</v>
      </c>
      <c r="J92" s="3"/>
      <c r="K92">
        <v>316.22000000000003</v>
      </c>
      <c r="L92" t="s">
        <v>9</v>
      </c>
      <c r="M92" s="3">
        <v>452098.11</v>
      </c>
      <c r="N92" s="3">
        <f t="shared" si="11"/>
        <v>403508.09582674998</v>
      </c>
      <c r="P92">
        <v>316.22000000000003</v>
      </c>
      <c r="Q92" t="s">
        <v>9</v>
      </c>
      <c r="R92" s="3">
        <f t="shared" si="8"/>
        <v>452098.11</v>
      </c>
      <c r="S92" s="3">
        <f t="shared" si="12"/>
        <v>404764.551824125</v>
      </c>
    </row>
    <row r="93" spans="1:19" x14ac:dyDescent="0.25">
      <c r="A93">
        <v>316.23</v>
      </c>
      <c r="B93" t="s">
        <v>11</v>
      </c>
      <c r="C93" s="3">
        <v>1488761.14</v>
      </c>
      <c r="D93" s="3">
        <f t="shared" si="9"/>
        <v>1689357.9413333335</v>
      </c>
      <c r="F93">
        <v>316.23</v>
      </c>
      <c r="G93" t="s">
        <v>11</v>
      </c>
      <c r="H93" s="3">
        <v>1488761.14</v>
      </c>
      <c r="I93" s="3">
        <f t="shared" si="10"/>
        <v>1701764.2841666669</v>
      </c>
      <c r="J93" s="3"/>
      <c r="K93">
        <v>316.23</v>
      </c>
      <c r="L93" t="s">
        <v>11</v>
      </c>
      <c r="M93" s="3">
        <v>1488761.14</v>
      </c>
      <c r="N93" s="3">
        <f t="shared" si="11"/>
        <v>1714170.6270000003</v>
      </c>
      <c r="P93">
        <v>316.23</v>
      </c>
      <c r="Q93" t="s">
        <v>11</v>
      </c>
      <c r="R93" s="3">
        <f t="shared" si="8"/>
        <v>1488761.14</v>
      </c>
      <c r="S93" s="3">
        <f t="shared" si="12"/>
        <v>1726576.9698333335</v>
      </c>
    </row>
    <row r="94" spans="1:19" x14ac:dyDescent="0.25">
      <c r="A94" s="6"/>
      <c r="B94" s="8" t="s">
        <v>15</v>
      </c>
      <c r="C94" s="7">
        <f>SUM(C86:C93)</f>
        <v>872287587.46999991</v>
      </c>
      <c r="D94" s="7">
        <f>SUM(D86:D93)</f>
        <v>424888808.10241616</v>
      </c>
      <c r="F94" s="6"/>
      <c r="G94" s="8" t="s">
        <v>15</v>
      </c>
      <c r="H94" s="7">
        <f>SUM(H86:H93)</f>
        <v>872287587.46999991</v>
      </c>
      <c r="I94" s="7">
        <f t="shared" ref="I94:R94" si="13">SUM(I86:I93)</f>
        <v>426398132.76833665</v>
      </c>
      <c r="J94" s="7"/>
      <c r="K94" s="6"/>
      <c r="L94" s="8" t="s">
        <v>15</v>
      </c>
      <c r="M94" s="7">
        <f>SUM(M86:M93)</f>
        <v>872287587.46999991</v>
      </c>
      <c r="N94" s="7">
        <f>SUM(N86:N93)</f>
        <v>427907457.43425697</v>
      </c>
      <c r="O94" s="7"/>
      <c r="P94" s="7"/>
      <c r="Q94" s="7" t="s">
        <v>15</v>
      </c>
      <c r="R94" s="7">
        <f t="shared" si="13"/>
        <v>872287587.46999991</v>
      </c>
      <c r="S94" s="7">
        <f>SUM(S86:S93)</f>
        <v>429416782.10017759</v>
      </c>
    </row>
    <row r="96" spans="1:19" x14ac:dyDescent="0.25">
      <c r="D96" s="3">
        <f>C94-D94</f>
        <v>447398779.36758375</v>
      </c>
      <c r="I96" s="3">
        <f>H94-I94</f>
        <v>445889454.70166326</v>
      </c>
      <c r="J96" s="3"/>
      <c r="N96" s="3">
        <f>M94-N94</f>
        <v>444380130.03574294</v>
      </c>
      <c r="S96" s="3">
        <f>R94-S94</f>
        <v>442870805.36982232</v>
      </c>
    </row>
  </sheetData>
  <pageMargins left="0.7" right="0.7" top="0.75" bottom="0.75" header="0.3" footer="0.3"/>
  <pageSetup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5AE19-27FA-4B16-8424-1E8804656491}">
  <dimension ref="A1:S61"/>
  <sheetViews>
    <sheetView workbookViewId="0">
      <selection activeCell="K1" sqref="K1"/>
    </sheetView>
  </sheetViews>
  <sheetFormatPr defaultRowHeight="15" x14ac:dyDescent="0.25"/>
  <cols>
    <col min="2" max="2" width="26.7109375" bestFit="1" customWidth="1"/>
    <col min="3" max="4" width="13.5703125" bestFit="1" customWidth="1"/>
    <col min="7" max="7" width="12.85546875" customWidth="1"/>
    <col min="8" max="8" width="13.5703125" bestFit="1" customWidth="1"/>
    <col min="9" max="9" width="13.85546875" customWidth="1"/>
    <col min="12" max="12" width="12.28515625" customWidth="1"/>
    <col min="13" max="14" width="13.5703125" bestFit="1" customWidth="1"/>
    <col min="15" max="15" width="11.7109375" customWidth="1"/>
    <col min="18" max="19" width="13.5703125" bestFit="1" customWidth="1"/>
  </cols>
  <sheetData>
    <row r="1" spans="1:11" x14ac:dyDescent="0.25">
      <c r="K1" s="6" t="s">
        <v>31</v>
      </c>
    </row>
    <row r="2" spans="1:11" x14ac:dyDescent="0.25">
      <c r="C2" s="1">
        <v>45107</v>
      </c>
      <c r="D2" s="1">
        <v>45107</v>
      </c>
      <c r="I2" s="1">
        <v>45116</v>
      </c>
    </row>
    <row r="3" spans="1:11" ht="45" x14ac:dyDescent="0.25">
      <c r="A3" s="2" t="s">
        <v>2</v>
      </c>
      <c r="B3" s="2" t="s">
        <v>12</v>
      </c>
      <c r="C3" s="4" t="s">
        <v>1</v>
      </c>
      <c r="D3" s="4" t="s">
        <v>13</v>
      </c>
      <c r="I3" s="4" t="s">
        <v>16</v>
      </c>
    </row>
    <row r="4" spans="1:11" x14ac:dyDescent="0.25">
      <c r="A4" s="2">
        <v>303</v>
      </c>
      <c r="B4" s="2"/>
      <c r="C4" s="3">
        <v>2445930</v>
      </c>
      <c r="D4" s="12">
        <v>2435097</v>
      </c>
      <c r="I4" s="4"/>
    </row>
    <row r="5" spans="1:11" x14ac:dyDescent="0.25">
      <c r="A5">
        <v>311</v>
      </c>
      <c r="B5" t="s">
        <v>3</v>
      </c>
      <c r="C5" s="3">
        <v>112373967</v>
      </c>
      <c r="D5" s="3">
        <v>42697274</v>
      </c>
      <c r="I5" s="5">
        <v>3.56E-2</v>
      </c>
    </row>
    <row r="6" spans="1:11" x14ac:dyDescent="0.25">
      <c r="A6">
        <v>312</v>
      </c>
      <c r="B6" t="s">
        <v>5</v>
      </c>
      <c r="C6" s="3">
        <v>548315182</v>
      </c>
      <c r="D6" s="3">
        <v>228940115</v>
      </c>
      <c r="I6" s="5">
        <v>4.1200000000000001E-2</v>
      </c>
    </row>
    <row r="7" spans="1:11" x14ac:dyDescent="0.25">
      <c r="A7">
        <v>314</v>
      </c>
      <c r="B7" t="s">
        <v>6</v>
      </c>
      <c r="C7" s="3">
        <v>175700444</v>
      </c>
      <c r="D7" s="3">
        <v>85188281</v>
      </c>
      <c r="I7" s="5">
        <v>3.4599999999999999E-2</v>
      </c>
    </row>
    <row r="8" spans="1:11" x14ac:dyDescent="0.25">
      <c r="A8">
        <v>315</v>
      </c>
      <c r="B8" t="s">
        <v>7</v>
      </c>
      <c r="C8" s="3">
        <v>76358450</v>
      </c>
      <c r="D8" s="3">
        <v>30775074</v>
      </c>
      <c r="I8" s="5">
        <v>3.5799999999999998E-2</v>
      </c>
    </row>
    <row r="9" spans="1:11" x14ac:dyDescent="0.25">
      <c r="A9">
        <v>316</v>
      </c>
      <c r="B9" t="s">
        <v>8</v>
      </c>
      <c r="C9" s="3">
        <v>21360767</v>
      </c>
      <c r="D9" s="3">
        <v>4907021</v>
      </c>
      <c r="I9" s="5">
        <v>5.6099999999999997E-2</v>
      </c>
    </row>
    <row r="10" spans="1:11" x14ac:dyDescent="0.25">
      <c r="A10">
        <v>316.20999999999998</v>
      </c>
      <c r="B10" t="s">
        <v>10</v>
      </c>
      <c r="C10" s="3">
        <v>584318</v>
      </c>
      <c r="D10" s="3">
        <v>275680</v>
      </c>
      <c r="I10" s="5">
        <v>0.05</v>
      </c>
    </row>
    <row r="11" spans="1:11" x14ac:dyDescent="0.25">
      <c r="A11">
        <v>316.22000000000003</v>
      </c>
      <c r="B11" t="s">
        <v>9</v>
      </c>
      <c r="C11" s="3">
        <v>516285</v>
      </c>
      <c r="D11" s="3">
        <v>362830</v>
      </c>
      <c r="I11" s="5">
        <v>6.6699999999999995E-2</v>
      </c>
    </row>
    <row r="12" spans="1:11" x14ac:dyDescent="0.25">
      <c r="A12">
        <v>316.23</v>
      </c>
      <c r="B12" t="s">
        <v>11</v>
      </c>
      <c r="C12" s="3">
        <v>1331142</v>
      </c>
      <c r="D12" s="3">
        <v>1180138</v>
      </c>
      <c r="I12" s="5">
        <v>0.2</v>
      </c>
    </row>
    <row r="13" spans="1:11" x14ac:dyDescent="0.25">
      <c r="A13">
        <v>392</v>
      </c>
      <c r="B13" t="s">
        <v>26</v>
      </c>
      <c r="C13" s="3">
        <v>432687</v>
      </c>
      <c r="D13" s="3">
        <v>538922</v>
      </c>
      <c r="I13" s="5">
        <v>5.8799999999999998E-2</v>
      </c>
    </row>
    <row r="14" spans="1:11" x14ac:dyDescent="0.25">
      <c r="B14" s="8" t="s">
        <v>15</v>
      </c>
      <c r="C14" s="7">
        <f>SUM(C4:C13)</f>
        <v>939419172</v>
      </c>
      <c r="D14" s="7">
        <f>SUM(D4:D13)</f>
        <v>397300432</v>
      </c>
      <c r="I14" s="5"/>
    </row>
    <row r="17" spans="1:19" x14ac:dyDescent="0.25">
      <c r="C17" s="1">
        <v>45291</v>
      </c>
      <c r="D17" s="1">
        <v>45291</v>
      </c>
    </row>
    <row r="18" spans="1:19" ht="45" x14ac:dyDescent="0.25">
      <c r="A18" s="2" t="s">
        <v>2</v>
      </c>
      <c r="B18" s="2" t="s">
        <v>12</v>
      </c>
      <c r="C18" s="4" t="s">
        <v>1</v>
      </c>
      <c r="D18" s="4" t="s">
        <v>13</v>
      </c>
    </row>
    <row r="19" spans="1:19" x14ac:dyDescent="0.25">
      <c r="A19" s="2">
        <v>303</v>
      </c>
      <c r="B19" s="2"/>
      <c r="C19" s="3">
        <v>2445930</v>
      </c>
      <c r="D19" s="12">
        <f>D4+((C4*I4)*(6/12))</f>
        <v>2435097</v>
      </c>
    </row>
    <row r="20" spans="1:19" x14ac:dyDescent="0.25">
      <c r="A20">
        <v>311</v>
      </c>
      <c r="B20" t="s">
        <v>3</v>
      </c>
      <c r="C20" s="3">
        <v>112373967</v>
      </c>
      <c r="D20" s="12">
        <f t="shared" ref="D20:D28" si="0">D5+((C5*I5)*(6/12))</f>
        <v>44697530.612599999</v>
      </c>
    </row>
    <row r="21" spans="1:19" x14ac:dyDescent="0.25">
      <c r="A21">
        <v>312</v>
      </c>
      <c r="B21" t="s">
        <v>5</v>
      </c>
      <c r="C21" s="3">
        <v>548315182</v>
      </c>
      <c r="D21" s="12">
        <f t="shared" si="0"/>
        <v>240235407.74919999</v>
      </c>
    </row>
    <row r="22" spans="1:19" x14ac:dyDescent="0.25">
      <c r="A22">
        <v>314</v>
      </c>
      <c r="B22" t="s">
        <v>6</v>
      </c>
      <c r="C22" s="3">
        <v>175700444</v>
      </c>
      <c r="D22" s="12">
        <f t="shared" si="0"/>
        <v>88227898.681199998</v>
      </c>
    </row>
    <row r="23" spans="1:19" x14ac:dyDescent="0.25">
      <c r="A23">
        <v>315</v>
      </c>
      <c r="B23" t="s">
        <v>7</v>
      </c>
      <c r="C23" s="3">
        <v>76358450</v>
      </c>
      <c r="D23" s="12">
        <f t="shared" si="0"/>
        <v>32141890.254999999</v>
      </c>
    </row>
    <row r="24" spans="1:19" x14ac:dyDescent="0.25">
      <c r="A24">
        <v>316</v>
      </c>
      <c r="B24" t="s">
        <v>8</v>
      </c>
      <c r="C24" s="3">
        <v>21360767</v>
      </c>
      <c r="D24" s="12">
        <f t="shared" si="0"/>
        <v>5506190.5143499998</v>
      </c>
    </row>
    <row r="25" spans="1:19" x14ac:dyDescent="0.25">
      <c r="A25">
        <v>316.20999999999998</v>
      </c>
      <c r="B25" t="s">
        <v>10</v>
      </c>
      <c r="C25" s="3">
        <v>584318</v>
      </c>
      <c r="D25" s="12">
        <f t="shared" si="0"/>
        <v>290287.95</v>
      </c>
    </row>
    <row r="26" spans="1:19" x14ac:dyDescent="0.25">
      <c r="A26">
        <v>316.22000000000003</v>
      </c>
      <c r="B26" t="s">
        <v>9</v>
      </c>
      <c r="C26" s="3">
        <v>516285</v>
      </c>
      <c r="D26" s="12">
        <f t="shared" si="0"/>
        <v>380048.10475</v>
      </c>
    </row>
    <row r="27" spans="1:19" x14ac:dyDescent="0.25">
      <c r="A27">
        <v>316.23</v>
      </c>
      <c r="B27" t="s">
        <v>11</v>
      </c>
      <c r="C27" s="3">
        <v>1331142</v>
      </c>
      <c r="D27" s="12">
        <f t="shared" si="0"/>
        <v>1313252.2</v>
      </c>
    </row>
    <row r="28" spans="1:19" x14ac:dyDescent="0.25">
      <c r="A28">
        <v>392</v>
      </c>
      <c r="B28" t="s">
        <v>26</v>
      </c>
      <c r="C28" s="3">
        <v>432687</v>
      </c>
      <c r="D28" s="12">
        <f t="shared" si="0"/>
        <v>551642.99780000001</v>
      </c>
    </row>
    <row r="29" spans="1:19" x14ac:dyDescent="0.25">
      <c r="B29" s="8" t="s">
        <v>15</v>
      </c>
      <c r="C29" s="7">
        <f>SUM(C19:C28)</f>
        <v>939419172</v>
      </c>
      <c r="D29" s="7">
        <f>SUM(D19:D28)</f>
        <v>415779246.06489992</v>
      </c>
    </row>
    <row r="32" spans="1:19" x14ac:dyDescent="0.25">
      <c r="C32" s="1">
        <v>45535</v>
      </c>
      <c r="D32" s="1">
        <v>45535</v>
      </c>
      <c r="E32" s="1"/>
      <c r="H32" s="1">
        <v>45550</v>
      </c>
      <c r="I32" s="1">
        <v>45550</v>
      </c>
      <c r="M32" s="1">
        <v>45565</v>
      </c>
      <c r="N32" s="1">
        <v>45565</v>
      </c>
      <c r="R32" s="1">
        <v>45580</v>
      </c>
      <c r="S32" s="1">
        <v>45580</v>
      </c>
    </row>
    <row r="33" spans="1:19" ht="45" x14ac:dyDescent="0.25">
      <c r="A33" s="2" t="s">
        <v>2</v>
      </c>
      <c r="B33" s="2" t="s">
        <v>12</v>
      </c>
      <c r="C33" s="4" t="s">
        <v>1</v>
      </c>
      <c r="D33" s="4" t="s">
        <v>13</v>
      </c>
      <c r="E33" s="4"/>
      <c r="F33" s="2" t="s">
        <v>2</v>
      </c>
      <c r="G33" s="2" t="s">
        <v>12</v>
      </c>
      <c r="H33" s="4" t="s">
        <v>1</v>
      </c>
      <c r="I33" s="4" t="s">
        <v>13</v>
      </c>
      <c r="K33" s="2" t="s">
        <v>2</v>
      </c>
      <c r="L33" s="2" t="s">
        <v>12</v>
      </c>
      <c r="M33" s="4" t="s">
        <v>1</v>
      </c>
      <c r="N33" s="4" t="s">
        <v>13</v>
      </c>
      <c r="P33" s="2" t="s">
        <v>2</v>
      </c>
      <c r="Q33" s="2" t="s">
        <v>12</v>
      </c>
      <c r="R33" s="4" t="s">
        <v>1</v>
      </c>
      <c r="S33" s="4" t="s">
        <v>13</v>
      </c>
    </row>
    <row r="34" spans="1:19" x14ac:dyDescent="0.25">
      <c r="A34" s="2">
        <v>303</v>
      </c>
      <c r="B34" s="2"/>
      <c r="C34" s="3">
        <v>2445930</v>
      </c>
      <c r="D34" s="12">
        <f>D19+((C4*I4)*(8/12))</f>
        <v>2435097</v>
      </c>
      <c r="E34" s="12"/>
      <c r="F34" s="2">
        <v>303</v>
      </c>
      <c r="G34" s="2"/>
      <c r="H34" s="3">
        <v>2445930</v>
      </c>
      <c r="I34" s="12">
        <f>D19+((C4*I4)*(8.5/12))</f>
        <v>2435097</v>
      </c>
      <c r="K34" s="2">
        <v>303</v>
      </c>
      <c r="L34" s="2"/>
      <c r="M34" s="3">
        <v>2445930</v>
      </c>
      <c r="N34" s="12">
        <f>D19+((C4*I4)*(9/12))</f>
        <v>2435097</v>
      </c>
      <c r="P34" s="2">
        <v>303</v>
      </c>
      <c r="Q34" s="2"/>
      <c r="R34" s="3">
        <v>2445930</v>
      </c>
      <c r="S34" s="12">
        <f>D19+((C4*I4)*(9.5/12))</f>
        <v>2435097</v>
      </c>
    </row>
    <row r="35" spans="1:19" x14ac:dyDescent="0.25">
      <c r="A35">
        <v>311</v>
      </c>
      <c r="B35" t="s">
        <v>3</v>
      </c>
      <c r="C35" s="3">
        <v>112373967</v>
      </c>
      <c r="D35" s="12">
        <f t="shared" ref="D35:D42" si="1">D20+((C5*I5)*(8/12))</f>
        <v>47364539.429399997</v>
      </c>
      <c r="E35" s="12"/>
      <c r="F35">
        <v>311</v>
      </c>
      <c r="G35" t="s">
        <v>3</v>
      </c>
      <c r="H35" s="3">
        <v>112373967</v>
      </c>
      <c r="I35" s="12">
        <f t="shared" ref="I35:I43" si="2">D20+((C5*I5)*(8.5/12))</f>
        <v>47531227.480449997</v>
      </c>
      <c r="K35">
        <v>311</v>
      </c>
      <c r="L35" t="s">
        <v>3</v>
      </c>
      <c r="M35" s="3">
        <v>112373967</v>
      </c>
      <c r="N35" s="12">
        <f t="shared" ref="N35:N43" si="3">D20+((C5*I5)*(9/12))</f>
        <v>47697915.531499997</v>
      </c>
      <c r="P35">
        <v>311</v>
      </c>
      <c r="Q35" t="s">
        <v>3</v>
      </c>
      <c r="R35" s="3">
        <v>112373967</v>
      </c>
      <c r="S35" s="12">
        <f t="shared" ref="S35:S43" si="4">D20+((C5*I5)*(9.5/12))</f>
        <v>47864603.582549997</v>
      </c>
    </row>
    <row r="36" spans="1:19" x14ac:dyDescent="0.25">
      <c r="A36">
        <v>312</v>
      </c>
      <c r="B36" t="s">
        <v>5</v>
      </c>
      <c r="C36" s="3">
        <v>548315182</v>
      </c>
      <c r="D36" s="12">
        <f t="shared" si="1"/>
        <v>255295798.08146665</v>
      </c>
      <c r="E36" s="12"/>
      <c r="F36">
        <v>312</v>
      </c>
      <c r="G36" t="s">
        <v>5</v>
      </c>
      <c r="H36" s="3">
        <v>548315182</v>
      </c>
      <c r="I36" s="12">
        <f t="shared" si="2"/>
        <v>256237072.47723332</v>
      </c>
      <c r="K36">
        <v>312</v>
      </c>
      <c r="L36" t="s">
        <v>5</v>
      </c>
      <c r="M36" s="3">
        <v>548315182</v>
      </c>
      <c r="N36" s="12">
        <f t="shared" si="3"/>
        <v>257178346.873</v>
      </c>
      <c r="P36">
        <v>312</v>
      </c>
      <c r="Q36" t="s">
        <v>5</v>
      </c>
      <c r="R36" s="3">
        <v>548315182</v>
      </c>
      <c r="S36" s="12">
        <f t="shared" si="4"/>
        <v>258119621.26876664</v>
      </c>
    </row>
    <row r="37" spans="1:19" x14ac:dyDescent="0.25">
      <c r="A37">
        <v>314</v>
      </c>
      <c r="B37" t="s">
        <v>6</v>
      </c>
      <c r="C37" s="3">
        <v>175700444</v>
      </c>
      <c r="D37" s="12">
        <f t="shared" si="1"/>
        <v>92280722.256133333</v>
      </c>
      <c r="E37" s="12"/>
      <c r="F37">
        <v>314</v>
      </c>
      <c r="G37" t="s">
        <v>6</v>
      </c>
      <c r="H37" s="3">
        <v>175700444</v>
      </c>
      <c r="I37" s="12">
        <f t="shared" si="2"/>
        <v>92534023.729566664</v>
      </c>
      <c r="K37">
        <v>314</v>
      </c>
      <c r="L37" t="s">
        <v>6</v>
      </c>
      <c r="M37" s="3">
        <v>175700444</v>
      </c>
      <c r="N37" s="12">
        <f t="shared" si="3"/>
        <v>92787325.202999994</v>
      </c>
      <c r="P37">
        <v>314</v>
      </c>
      <c r="Q37" t="s">
        <v>6</v>
      </c>
      <c r="R37" s="3">
        <v>175700444</v>
      </c>
      <c r="S37" s="12">
        <f t="shared" si="4"/>
        <v>93040626.676433325</v>
      </c>
    </row>
    <row r="38" spans="1:19" x14ac:dyDescent="0.25">
      <c r="A38">
        <v>315</v>
      </c>
      <c r="B38" t="s">
        <v>7</v>
      </c>
      <c r="C38" s="3">
        <v>76358450</v>
      </c>
      <c r="D38" s="12">
        <f t="shared" si="1"/>
        <v>33964311.928333335</v>
      </c>
      <c r="E38" s="12"/>
      <c r="F38">
        <v>315</v>
      </c>
      <c r="G38" t="s">
        <v>7</v>
      </c>
      <c r="H38" s="3">
        <v>76358450</v>
      </c>
      <c r="I38" s="12">
        <f t="shared" si="2"/>
        <v>34078213.282916665</v>
      </c>
      <c r="K38">
        <v>315</v>
      </c>
      <c r="L38" t="s">
        <v>7</v>
      </c>
      <c r="M38" s="3">
        <v>76358450</v>
      </c>
      <c r="N38" s="12">
        <f t="shared" si="3"/>
        <v>34192114.637499996</v>
      </c>
      <c r="P38">
        <v>315</v>
      </c>
      <c r="Q38" t="s">
        <v>7</v>
      </c>
      <c r="R38" s="3">
        <v>76358450</v>
      </c>
      <c r="S38" s="12">
        <f t="shared" si="4"/>
        <v>34306015.992083333</v>
      </c>
    </row>
    <row r="39" spans="1:19" x14ac:dyDescent="0.25">
      <c r="A39">
        <v>316</v>
      </c>
      <c r="B39" t="s">
        <v>8</v>
      </c>
      <c r="C39" s="3">
        <v>21360767</v>
      </c>
      <c r="D39" s="12">
        <f t="shared" si="1"/>
        <v>6305083.2001499999</v>
      </c>
      <c r="E39" s="12"/>
      <c r="F39">
        <v>316</v>
      </c>
      <c r="G39" t="s">
        <v>8</v>
      </c>
      <c r="H39" s="3">
        <v>21360767</v>
      </c>
      <c r="I39" s="12">
        <f t="shared" si="2"/>
        <v>6355013.9930125</v>
      </c>
      <c r="K39">
        <v>316</v>
      </c>
      <c r="L39" t="s">
        <v>8</v>
      </c>
      <c r="M39" s="3">
        <v>21360767</v>
      </c>
      <c r="N39" s="12">
        <f t="shared" si="3"/>
        <v>6404944.7858750001</v>
      </c>
      <c r="P39">
        <v>316</v>
      </c>
      <c r="Q39" t="s">
        <v>8</v>
      </c>
      <c r="R39" s="3">
        <v>21360767</v>
      </c>
      <c r="S39" s="12">
        <f t="shared" si="4"/>
        <v>6454875.5787375001</v>
      </c>
    </row>
    <row r="40" spans="1:19" x14ac:dyDescent="0.25">
      <c r="A40">
        <v>316.20999999999998</v>
      </c>
      <c r="B40" t="s">
        <v>10</v>
      </c>
      <c r="C40" s="3">
        <v>584318</v>
      </c>
      <c r="D40" s="12">
        <f t="shared" si="1"/>
        <v>309765.21666666667</v>
      </c>
      <c r="E40" s="12"/>
      <c r="F40">
        <v>316.20999999999998</v>
      </c>
      <c r="G40" t="s">
        <v>10</v>
      </c>
      <c r="H40" s="3">
        <v>584318</v>
      </c>
      <c r="I40" s="12">
        <f t="shared" si="2"/>
        <v>310982.54583333334</v>
      </c>
      <c r="K40">
        <v>316.20999999999998</v>
      </c>
      <c r="L40" t="s">
        <v>10</v>
      </c>
      <c r="M40" s="3">
        <v>584318</v>
      </c>
      <c r="N40" s="12">
        <f t="shared" si="3"/>
        <v>312199.875</v>
      </c>
      <c r="P40">
        <v>316.20999999999998</v>
      </c>
      <c r="Q40" t="s">
        <v>10</v>
      </c>
      <c r="R40" s="3">
        <v>584318</v>
      </c>
      <c r="S40" s="12">
        <f t="shared" si="4"/>
        <v>313417.20416666666</v>
      </c>
    </row>
    <row r="41" spans="1:19" x14ac:dyDescent="0.25">
      <c r="A41">
        <v>316.22000000000003</v>
      </c>
      <c r="B41" t="s">
        <v>9</v>
      </c>
      <c r="C41" s="3">
        <v>516285</v>
      </c>
      <c r="D41" s="12">
        <f t="shared" si="1"/>
        <v>403005.57775</v>
      </c>
      <c r="E41" s="12"/>
      <c r="F41">
        <v>316.22000000000003</v>
      </c>
      <c r="G41" t="s">
        <v>9</v>
      </c>
      <c r="H41" s="3">
        <v>516285</v>
      </c>
      <c r="I41" s="12">
        <f t="shared" si="2"/>
        <v>404440.41981250001</v>
      </c>
      <c r="K41">
        <v>316.22000000000003</v>
      </c>
      <c r="L41" t="s">
        <v>9</v>
      </c>
      <c r="M41" s="3">
        <v>516285</v>
      </c>
      <c r="N41" s="12">
        <f t="shared" si="3"/>
        <v>405875.26187499997</v>
      </c>
      <c r="P41">
        <v>316.22000000000003</v>
      </c>
      <c r="Q41" t="s">
        <v>9</v>
      </c>
      <c r="R41" s="3">
        <v>516285</v>
      </c>
      <c r="S41" s="12">
        <f t="shared" si="4"/>
        <v>407310.10393749998</v>
      </c>
    </row>
    <row r="42" spans="1:19" x14ac:dyDescent="0.25">
      <c r="A42">
        <v>316.23</v>
      </c>
      <c r="B42" t="s">
        <v>11</v>
      </c>
      <c r="C42" s="3">
        <v>1331142</v>
      </c>
      <c r="D42" s="12">
        <f t="shared" si="1"/>
        <v>1490737.8</v>
      </c>
      <c r="E42" s="12"/>
      <c r="F42">
        <v>316.23</v>
      </c>
      <c r="G42" t="s">
        <v>11</v>
      </c>
      <c r="H42" s="3">
        <v>1331142</v>
      </c>
      <c r="I42" s="12">
        <f t="shared" si="2"/>
        <v>1501830.65</v>
      </c>
      <c r="K42">
        <v>316.23</v>
      </c>
      <c r="L42" t="s">
        <v>11</v>
      </c>
      <c r="M42" s="3">
        <v>1331142</v>
      </c>
      <c r="N42" s="12">
        <f t="shared" si="3"/>
        <v>1512923.5</v>
      </c>
      <c r="P42">
        <v>316.23</v>
      </c>
      <c r="Q42" t="s">
        <v>11</v>
      </c>
      <c r="R42" s="3">
        <v>1331142</v>
      </c>
      <c r="S42" s="12">
        <f t="shared" si="4"/>
        <v>1524016.3499999999</v>
      </c>
    </row>
    <row r="43" spans="1:19" x14ac:dyDescent="0.25">
      <c r="A43">
        <v>392</v>
      </c>
      <c r="B43" t="s">
        <v>26</v>
      </c>
      <c r="C43" s="3">
        <v>432687</v>
      </c>
      <c r="D43" s="12">
        <f>D28+((C13*I13)*(8/12))</f>
        <v>568604.32819999999</v>
      </c>
      <c r="E43" s="12"/>
      <c r="F43">
        <v>392</v>
      </c>
      <c r="G43" t="s">
        <v>26</v>
      </c>
      <c r="H43" s="3">
        <v>432687</v>
      </c>
      <c r="I43" s="12">
        <f t="shared" si="2"/>
        <v>569664.41135000007</v>
      </c>
      <c r="K43">
        <v>392</v>
      </c>
      <c r="L43" t="s">
        <v>26</v>
      </c>
      <c r="M43" s="3">
        <v>432687</v>
      </c>
      <c r="N43" s="12">
        <f t="shared" si="3"/>
        <v>570724.49450000003</v>
      </c>
      <c r="P43">
        <v>392</v>
      </c>
      <c r="Q43" t="s">
        <v>26</v>
      </c>
      <c r="R43" s="3">
        <v>432687</v>
      </c>
      <c r="S43" s="12">
        <f t="shared" si="4"/>
        <v>571784.57764999999</v>
      </c>
    </row>
    <row r="44" spans="1:19" x14ac:dyDescent="0.25">
      <c r="B44" s="8" t="s">
        <v>15</v>
      </c>
      <c r="C44" s="7">
        <f>SUM(C34:C43)</f>
        <v>939419172</v>
      </c>
      <c r="D44" s="7">
        <f>SUM(D34:D43)</f>
        <v>440417664.81809998</v>
      </c>
      <c r="E44" s="7"/>
      <c r="G44" s="8" t="s">
        <v>15</v>
      </c>
      <c r="H44" s="7">
        <f>SUM(H34:H43)</f>
        <v>939419172</v>
      </c>
      <c r="I44" s="7">
        <f>SUM(I34:I43)</f>
        <v>441957565.99017501</v>
      </c>
      <c r="L44" s="8" t="s">
        <v>15</v>
      </c>
      <c r="M44" s="7">
        <f>SUM(M34:M43)</f>
        <v>939419172</v>
      </c>
      <c r="N44" s="7">
        <f>SUM(N34:N43)</f>
        <v>443497467.16224998</v>
      </c>
      <c r="Q44" s="8" t="s">
        <v>15</v>
      </c>
      <c r="R44" s="7">
        <f>SUM(R34:R43)</f>
        <v>939419172</v>
      </c>
      <c r="S44" s="7">
        <f>SUM(S34:S43)</f>
        <v>445037368.33432496</v>
      </c>
    </row>
    <row r="45" spans="1:19" x14ac:dyDescent="0.25">
      <c r="B45" s="8"/>
      <c r="C45" s="7"/>
      <c r="D45" s="7"/>
      <c r="E45" s="7"/>
      <c r="G45" s="8"/>
      <c r="H45" s="7"/>
      <c r="I45" s="7"/>
      <c r="L45" s="8"/>
      <c r="M45" s="7"/>
      <c r="N45" s="7"/>
      <c r="Q45" s="8"/>
      <c r="R45" s="7"/>
      <c r="S45" s="7"/>
    </row>
    <row r="46" spans="1:19" s="13" customFormat="1" x14ac:dyDescent="0.25">
      <c r="A46" s="13" t="s">
        <v>27</v>
      </c>
      <c r="F46" s="13" t="s">
        <v>27</v>
      </c>
      <c r="K46" s="13" t="s">
        <v>27</v>
      </c>
      <c r="P46" s="13" t="s">
        <v>27</v>
      </c>
    </row>
    <row r="47" spans="1:19" x14ac:dyDescent="0.25">
      <c r="C47" s="1">
        <f>C32</f>
        <v>45535</v>
      </c>
      <c r="D47" s="1">
        <f>C47</f>
        <v>45535</v>
      </c>
      <c r="E47" s="1"/>
      <c r="F47" s="1"/>
      <c r="G47" s="1"/>
      <c r="H47" s="1">
        <v>45550</v>
      </c>
      <c r="I47" s="1">
        <v>45550</v>
      </c>
      <c r="M47" s="1">
        <f>M32</f>
        <v>45565</v>
      </c>
      <c r="N47" s="1">
        <f>M47</f>
        <v>45565</v>
      </c>
      <c r="R47" s="1">
        <f>R32</f>
        <v>45580</v>
      </c>
      <c r="S47" s="1">
        <f>R47</f>
        <v>45580</v>
      </c>
    </row>
    <row r="48" spans="1:19" ht="51" customHeight="1" x14ac:dyDescent="0.25">
      <c r="A48" s="2" t="s">
        <v>2</v>
      </c>
      <c r="B48" s="2" t="s">
        <v>12</v>
      </c>
      <c r="C48" s="2" t="s">
        <v>1</v>
      </c>
      <c r="D48" s="2" t="s">
        <v>13</v>
      </c>
      <c r="E48" s="2"/>
      <c r="F48" s="2" t="s">
        <v>2</v>
      </c>
      <c r="G48" s="2" t="s">
        <v>12</v>
      </c>
      <c r="H48" s="2" t="s">
        <v>1</v>
      </c>
      <c r="I48" s="2" t="s">
        <v>13</v>
      </c>
      <c r="J48" s="2"/>
      <c r="K48" s="2" t="s">
        <v>2</v>
      </c>
      <c r="L48" s="2" t="s">
        <v>12</v>
      </c>
      <c r="M48" s="2" t="s">
        <v>1</v>
      </c>
      <c r="N48" s="2" t="s">
        <v>13</v>
      </c>
      <c r="O48" s="2"/>
      <c r="P48" s="2" t="s">
        <v>2</v>
      </c>
      <c r="Q48" s="2" t="s">
        <v>12</v>
      </c>
      <c r="R48" s="2" t="s">
        <v>1</v>
      </c>
      <c r="S48" s="2" t="s">
        <v>13</v>
      </c>
    </row>
    <row r="49" spans="1:19" x14ac:dyDescent="0.25">
      <c r="A49">
        <v>303</v>
      </c>
      <c r="C49" s="3">
        <v>2445930</v>
      </c>
      <c r="D49" s="3">
        <v>2435097</v>
      </c>
      <c r="E49" s="3"/>
      <c r="F49" s="3">
        <v>303</v>
      </c>
      <c r="G49" s="3"/>
      <c r="H49" s="3">
        <v>2445930</v>
      </c>
      <c r="I49" s="3">
        <v>2435097</v>
      </c>
      <c r="K49">
        <v>303</v>
      </c>
      <c r="M49" s="3">
        <v>2445930</v>
      </c>
      <c r="N49" s="3">
        <v>2435097</v>
      </c>
      <c r="P49">
        <v>303</v>
      </c>
      <c r="R49" s="3">
        <v>2445930</v>
      </c>
      <c r="S49" s="3">
        <v>2435097</v>
      </c>
    </row>
    <row r="50" spans="1:19" x14ac:dyDescent="0.25">
      <c r="A50">
        <v>311</v>
      </c>
      <c r="B50" t="s">
        <v>3</v>
      </c>
      <c r="C50" s="3">
        <v>112373967</v>
      </c>
      <c r="D50" s="3">
        <v>47364539.429399997</v>
      </c>
      <c r="E50" s="3"/>
      <c r="F50" s="3">
        <v>311</v>
      </c>
      <c r="G50" s="3" t="s">
        <v>3</v>
      </c>
      <c r="H50" s="3">
        <v>112373967</v>
      </c>
      <c r="I50" s="3">
        <v>47531227.480449997</v>
      </c>
      <c r="K50">
        <v>311</v>
      </c>
      <c r="L50" t="s">
        <v>3</v>
      </c>
      <c r="M50" s="3">
        <v>112373967</v>
      </c>
      <c r="N50" s="3">
        <v>47697915.531499997</v>
      </c>
      <c r="P50">
        <v>311</v>
      </c>
      <c r="Q50" t="s">
        <v>3</v>
      </c>
      <c r="R50" s="3">
        <v>112373967</v>
      </c>
      <c r="S50" s="3">
        <v>47864603.582549997</v>
      </c>
    </row>
    <row r="51" spans="1:19" x14ac:dyDescent="0.25">
      <c r="A51">
        <v>312</v>
      </c>
      <c r="B51" t="s">
        <v>5</v>
      </c>
      <c r="C51" s="3">
        <f>548315182-10433038</f>
        <v>537882144</v>
      </c>
      <c r="D51" s="3">
        <f>255295798.081467-3867039</f>
        <v>251428759.081467</v>
      </c>
      <c r="E51" s="3"/>
      <c r="F51" s="3">
        <v>312</v>
      </c>
      <c r="G51" s="3" t="s">
        <v>5</v>
      </c>
      <c r="H51" s="3">
        <f>548315182-10433038</f>
        <v>537882144</v>
      </c>
      <c r="I51" s="3">
        <f>256237072.477233-3867039</f>
        <v>252370033.47723299</v>
      </c>
      <c r="K51">
        <v>312</v>
      </c>
      <c r="L51" t="s">
        <v>5</v>
      </c>
      <c r="M51" s="3">
        <f>548315182-10433038</f>
        <v>537882144</v>
      </c>
      <c r="N51" s="3">
        <f>257178346.873-3867039</f>
        <v>253311307.873</v>
      </c>
      <c r="P51">
        <v>312</v>
      </c>
      <c r="Q51" t="s">
        <v>5</v>
      </c>
      <c r="R51" s="3">
        <f>548315182-10433038</f>
        <v>537882144</v>
      </c>
      <c r="S51" s="3">
        <f>258119621.268767-3867039</f>
        <v>254252582.268767</v>
      </c>
    </row>
    <row r="52" spans="1:19" x14ac:dyDescent="0.25">
      <c r="A52">
        <v>314</v>
      </c>
      <c r="B52" t="s">
        <v>6</v>
      </c>
      <c r="C52" s="3">
        <f>175700444-23448008</f>
        <v>152252436</v>
      </c>
      <c r="D52" s="3">
        <f>92280722.2561333-10849930</f>
        <v>81430792.256133303</v>
      </c>
      <c r="E52" s="3"/>
      <c r="F52" s="3">
        <v>314</v>
      </c>
      <c r="G52" s="3" t="s">
        <v>6</v>
      </c>
      <c r="H52" s="3">
        <f>175700444-23448008</f>
        <v>152252436</v>
      </c>
      <c r="I52" s="3">
        <f>92534023.7295667-10849930</f>
        <v>81684093.729566693</v>
      </c>
      <c r="K52">
        <v>314</v>
      </c>
      <c r="L52" t="s">
        <v>6</v>
      </c>
      <c r="M52" s="3">
        <f>175700444-23448008</f>
        <v>152252436</v>
      </c>
      <c r="N52" s="3">
        <f>92787325.203-10849930</f>
        <v>81937395.202999994</v>
      </c>
      <c r="P52">
        <v>314</v>
      </c>
      <c r="Q52" t="s">
        <v>6</v>
      </c>
      <c r="R52" s="3">
        <f>175700444-23448008</f>
        <v>152252436</v>
      </c>
      <c r="S52" s="3">
        <f>93040626.6764333-10849930</f>
        <v>82190696.676433295</v>
      </c>
    </row>
    <row r="53" spans="1:19" x14ac:dyDescent="0.25">
      <c r="A53">
        <v>315</v>
      </c>
      <c r="B53" t="s">
        <v>7</v>
      </c>
      <c r="C53" s="3">
        <f>76358450-6506369</f>
        <v>69852081</v>
      </c>
      <c r="D53" s="3">
        <f>33964311.9283333-1469865</f>
        <v>32494446.928333297</v>
      </c>
      <c r="E53" s="3"/>
      <c r="F53" s="3">
        <v>315</v>
      </c>
      <c r="G53" s="3" t="s">
        <v>7</v>
      </c>
      <c r="H53" s="3">
        <f>76358450-6506369</f>
        <v>69852081</v>
      </c>
      <c r="I53" s="3">
        <f>34078213.2829167-1469865</f>
        <v>32608348.282916702</v>
      </c>
      <c r="K53">
        <v>315</v>
      </c>
      <c r="L53" t="s">
        <v>7</v>
      </c>
      <c r="M53" s="3">
        <f>76358450-6506369</f>
        <v>69852081</v>
      </c>
      <c r="N53" s="3">
        <f>34192114.6375-1469865</f>
        <v>32722249.637500003</v>
      </c>
      <c r="P53">
        <v>315</v>
      </c>
      <c r="Q53" t="s">
        <v>7</v>
      </c>
      <c r="R53" s="3">
        <f>76358450-6506369</f>
        <v>69852081</v>
      </c>
      <c r="S53" s="3">
        <f>34306015.9920833-1469865</f>
        <v>32836150.992083304</v>
      </c>
    </row>
    <row r="54" spans="1:19" x14ac:dyDescent="0.25">
      <c r="A54">
        <v>316</v>
      </c>
      <c r="B54" t="s">
        <v>8</v>
      </c>
      <c r="C54" s="3">
        <f>21360767-4959409</f>
        <v>16401358</v>
      </c>
      <c r="D54" s="3">
        <f>6305083.20015-1391070</f>
        <v>4914013.2001499999</v>
      </c>
      <c r="E54" s="3"/>
      <c r="F54" s="3">
        <v>316</v>
      </c>
      <c r="G54" s="3" t="s">
        <v>8</v>
      </c>
      <c r="H54" s="3">
        <f>21360767-4959409</f>
        <v>16401358</v>
      </c>
      <c r="I54" s="3">
        <f>6355013.9930125-1391070</f>
        <v>4963943.9930125</v>
      </c>
      <c r="K54">
        <v>316</v>
      </c>
      <c r="L54" t="s">
        <v>8</v>
      </c>
      <c r="M54" s="3">
        <f>21360767-4959409</f>
        <v>16401358</v>
      </c>
      <c r="N54" s="3">
        <f>6404944.785875-1391070</f>
        <v>5013874.7858750001</v>
      </c>
      <c r="P54">
        <v>316</v>
      </c>
      <c r="Q54" t="s">
        <v>8</v>
      </c>
      <c r="R54" s="3">
        <f>21360767-4959409</f>
        <v>16401358</v>
      </c>
      <c r="S54" s="3">
        <f>6454875.5787375-1391070</f>
        <v>5063805.5787375001</v>
      </c>
    </row>
    <row r="55" spans="1:19" x14ac:dyDescent="0.25">
      <c r="A55">
        <v>316.20999999999998</v>
      </c>
      <c r="B55" t="s">
        <v>10</v>
      </c>
      <c r="C55" s="3">
        <v>584318</v>
      </c>
      <c r="D55" s="3">
        <v>309765.21666666667</v>
      </c>
      <c r="E55" s="3"/>
      <c r="F55" s="3">
        <v>316.20999999999998</v>
      </c>
      <c r="G55" s="3" t="s">
        <v>10</v>
      </c>
      <c r="H55" s="3">
        <v>584318</v>
      </c>
      <c r="I55" s="3">
        <v>310982.54583333334</v>
      </c>
      <c r="K55">
        <v>316.20999999999998</v>
      </c>
      <c r="L55" t="s">
        <v>10</v>
      </c>
      <c r="M55" s="3">
        <v>584318</v>
      </c>
      <c r="N55" s="3">
        <v>312199.875</v>
      </c>
      <c r="P55">
        <v>316.20999999999998</v>
      </c>
      <c r="Q55" t="s">
        <v>10</v>
      </c>
      <c r="R55" s="3">
        <v>584318</v>
      </c>
      <c r="S55" s="3">
        <v>313417.20416666666</v>
      </c>
    </row>
    <row r="56" spans="1:19" x14ac:dyDescent="0.25">
      <c r="A56">
        <v>316.22000000000003</v>
      </c>
      <c r="B56" t="s">
        <v>9</v>
      </c>
      <c r="C56" s="3">
        <v>516285</v>
      </c>
      <c r="D56" s="3">
        <v>403005.57775</v>
      </c>
      <c r="E56" s="3"/>
      <c r="F56" s="3">
        <v>316.22000000000003</v>
      </c>
      <c r="G56" s="3" t="s">
        <v>9</v>
      </c>
      <c r="H56" s="3">
        <v>516285</v>
      </c>
      <c r="I56" s="3">
        <v>404440.41981250001</v>
      </c>
      <c r="K56">
        <v>316.22000000000003</v>
      </c>
      <c r="L56" t="s">
        <v>9</v>
      </c>
      <c r="M56" s="3">
        <v>516285</v>
      </c>
      <c r="N56" s="3">
        <v>405875.26187499997</v>
      </c>
      <c r="P56">
        <v>316.22000000000003</v>
      </c>
      <c r="Q56" t="s">
        <v>9</v>
      </c>
      <c r="R56" s="3">
        <v>516285</v>
      </c>
      <c r="S56" s="3">
        <v>407310.10393749998</v>
      </c>
    </row>
    <row r="57" spans="1:19" x14ac:dyDescent="0.25">
      <c r="A57">
        <v>316.23</v>
      </c>
      <c r="B57" t="s">
        <v>11</v>
      </c>
      <c r="C57" s="3">
        <v>1331142</v>
      </c>
      <c r="D57" s="3">
        <v>1490737.8</v>
      </c>
      <c r="E57" s="3"/>
      <c r="F57" s="3">
        <v>316.23</v>
      </c>
      <c r="G57" s="3" t="s">
        <v>11</v>
      </c>
      <c r="H57" s="3">
        <v>1331142</v>
      </c>
      <c r="I57" s="3">
        <v>1501830.65</v>
      </c>
      <c r="K57">
        <v>316.23</v>
      </c>
      <c r="L57" t="s">
        <v>11</v>
      </c>
      <c r="M57" s="3">
        <v>1331142</v>
      </c>
      <c r="N57" s="3">
        <v>1512923.5</v>
      </c>
      <c r="P57">
        <v>316.23</v>
      </c>
      <c r="Q57" t="s">
        <v>11</v>
      </c>
      <c r="R57" s="3">
        <v>1331142</v>
      </c>
      <c r="S57" s="3">
        <v>1524016.3499999999</v>
      </c>
    </row>
    <row r="58" spans="1:19" x14ac:dyDescent="0.25">
      <c r="A58">
        <v>392</v>
      </c>
      <c r="B58" t="s">
        <v>26</v>
      </c>
      <c r="C58" s="3">
        <f>432687-48204</f>
        <v>384483</v>
      </c>
      <c r="D58" s="3">
        <f>568604.3282-55285</f>
        <v>513319.32819999999</v>
      </c>
      <c r="E58" s="3"/>
      <c r="F58" s="3">
        <v>392</v>
      </c>
      <c r="G58" s="3" t="s">
        <v>26</v>
      </c>
      <c r="H58" s="3">
        <f>432687-48204</f>
        <v>384483</v>
      </c>
      <c r="I58" s="3">
        <f>569664.41135-55285</f>
        <v>514379.41134999995</v>
      </c>
      <c r="K58">
        <v>392</v>
      </c>
      <c r="L58" t="s">
        <v>26</v>
      </c>
      <c r="M58" s="3">
        <f>432687-48204</f>
        <v>384483</v>
      </c>
      <c r="N58" s="3">
        <f>570724.4945-55285</f>
        <v>515439.49450000003</v>
      </c>
      <c r="P58">
        <v>392</v>
      </c>
      <c r="Q58" t="s">
        <v>26</v>
      </c>
      <c r="R58" s="3">
        <f>432687-48204</f>
        <v>384483</v>
      </c>
      <c r="S58" s="3">
        <f>571784.57765-55285</f>
        <v>516499.57764999999</v>
      </c>
    </row>
    <row r="59" spans="1:19" x14ac:dyDescent="0.25">
      <c r="B59" s="8" t="s">
        <v>15</v>
      </c>
      <c r="C59" s="11">
        <f>SUM(C49:C58)</f>
        <v>894024144</v>
      </c>
      <c r="D59" s="11">
        <f>SUM(D49:D58)</f>
        <v>422784475.81810027</v>
      </c>
      <c r="E59" s="11"/>
      <c r="F59" s="11"/>
      <c r="G59" s="11" t="s">
        <v>15</v>
      </c>
      <c r="H59" s="11">
        <f>SUM(H49:H58)</f>
        <v>894024144</v>
      </c>
      <c r="I59" s="11">
        <f>SUM(I49:I58)</f>
        <v>424324376.99017471</v>
      </c>
      <c r="J59" s="8"/>
      <c r="K59" s="8"/>
      <c r="L59" s="8" t="s">
        <v>15</v>
      </c>
      <c r="M59" s="11">
        <f>SUM(M49:M58)</f>
        <v>894024144</v>
      </c>
      <c r="N59" s="11">
        <f>SUM(N49:N58)</f>
        <v>425864278.16224998</v>
      </c>
      <c r="O59" s="8"/>
      <c r="P59" s="8"/>
      <c r="Q59" s="8" t="s">
        <v>15</v>
      </c>
      <c r="R59" s="11">
        <f>SUM(R49:R58)</f>
        <v>894024144</v>
      </c>
      <c r="S59" s="11">
        <f>SUM(S49:S58)</f>
        <v>427404179.33432525</v>
      </c>
    </row>
    <row r="61" spans="1:19" x14ac:dyDescent="0.25">
      <c r="D61" s="3">
        <f>C59-D59</f>
        <v>471239668.18189973</v>
      </c>
      <c r="I61" s="3">
        <f>H59-I59</f>
        <v>469699767.00982529</v>
      </c>
      <c r="N61" s="3">
        <f>M59-N59</f>
        <v>468159865.83775002</v>
      </c>
      <c r="S61" s="3">
        <f>R59-S59</f>
        <v>466619964.66567475</v>
      </c>
    </row>
  </sheetData>
  <pageMargins left="0.7" right="0.7" top="0.75" bottom="0.75" header="0.3" footer="0.3"/>
  <pageSetup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B114-1508-4913-B29C-827787E67D1E}">
  <dimension ref="A1:G26"/>
  <sheetViews>
    <sheetView tabSelected="1" workbookViewId="0">
      <selection activeCell="G1" sqref="G1"/>
    </sheetView>
  </sheetViews>
  <sheetFormatPr defaultRowHeight="15" x14ac:dyDescent="0.25"/>
  <cols>
    <col min="1" max="1" width="7" bestFit="1" customWidth="1"/>
    <col min="2" max="2" width="26.7109375" bestFit="1" customWidth="1"/>
    <col min="3" max="3" width="16.140625" bestFit="1" customWidth="1"/>
    <col min="4" max="4" width="7" bestFit="1" customWidth="1"/>
    <col min="5" max="5" width="14.85546875" bestFit="1" customWidth="1"/>
  </cols>
  <sheetData>
    <row r="1" spans="1:7" x14ac:dyDescent="0.25">
      <c r="G1" s="6" t="s">
        <v>31</v>
      </c>
    </row>
    <row r="3" spans="1:7" x14ac:dyDescent="0.25">
      <c r="C3" s="3" t="s">
        <v>30</v>
      </c>
      <c r="D3" s="5"/>
      <c r="E3" t="s">
        <v>29</v>
      </c>
    </row>
    <row r="4" spans="1:7" x14ac:dyDescent="0.25">
      <c r="A4">
        <v>311</v>
      </c>
      <c r="B4" t="s">
        <v>3</v>
      </c>
      <c r="C4" s="3">
        <v>112373967</v>
      </c>
      <c r="D4" s="5">
        <v>3.56E-2</v>
      </c>
      <c r="E4" s="3">
        <f>C4*D4</f>
        <v>4000513.2251999998</v>
      </c>
    </row>
    <row r="5" spans="1:7" x14ac:dyDescent="0.25">
      <c r="A5">
        <v>312</v>
      </c>
      <c r="B5" t="s">
        <v>5</v>
      </c>
      <c r="C5" s="3">
        <f>548315182-10433038</f>
        <v>537882144</v>
      </c>
      <c r="D5" s="5">
        <v>4.1200000000000001E-2</v>
      </c>
      <c r="E5" s="3">
        <f t="shared" ref="E5:E12" si="0">C5*D5</f>
        <v>22160744.332800001</v>
      </c>
    </row>
    <row r="6" spans="1:7" x14ac:dyDescent="0.25">
      <c r="A6">
        <v>314</v>
      </c>
      <c r="B6" t="s">
        <v>6</v>
      </c>
      <c r="C6" s="3">
        <f>175700444-23448008</f>
        <v>152252436</v>
      </c>
      <c r="D6" s="5">
        <v>3.4599999999999999E-2</v>
      </c>
      <c r="E6" s="3">
        <f t="shared" si="0"/>
        <v>5267934.2856000001</v>
      </c>
    </row>
    <row r="7" spans="1:7" x14ac:dyDescent="0.25">
      <c r="A7">
        <v>315</v>
      </c>
      <c r="B7" t="s">
        <v>7</v>
      </c>
      <c r="C7" s="3">
        <f>76358450-6506369</f>
        <v>69852081</v>
      </c>
      <c r="D7" s="5">
        <v>3.5799999999999998E-2</v>
      </c>
      <c r="E7" s="3">
        <f t="shared" si="0"/>
        <v>2500704.4997999999</v>
      </c>
    </row>
    <row r="8" spans="1:7" x14ac:dyDescent="0.25">
      <c r="A8">
        <v>316</v>
      </c>
      <c r="B8" t="s">
        <v>8</v>
      </c>
      <c r="C8" s="3">
        <f>21360767-4959409</f>
        <v>16401358</v>
      </c>
      <c r="D8" s="5">
        <v>5.6099999999999997E-2</v>
      </c>
      <c r="E8" s="3">
        <f t="shared" si="0"/>
        <v>920116.1838</v>
      </c>
    </row>
    <row r="9" spans="1:7" x14ac:dyDescent="0.25">
      <c r="A9">
        <v>316.20999999999998</v>
      </c>
      <c r="B9" t="s">
        <v>10</v>
      </c>
      <c r="C9" s="3">
        <v>584318</v>
      </c>
      <c r="D9" s="5">
        <v>0.05</v>
      </c>
      <c r="E9" s="3">
        <f t="shared" si="0"/>
        <v>29215.9</v>
      </c>
    </row>
    <row r="10" spans="1:7" x14ac:dyDescent="0.25">
      <c r="A10">
        <v>316.22000000000003</v>
      </c>
      <c r="B10" t="s">
        <v>9</v>
      </c>
      <c r="C10" s="3">
        <v>516285</v>
      </c>
      <c r="D10" s="5">
        <v>6.6699999999999995E-2</v>
      </c>
      <c r="E10" s="3">
        <f t="shared" si="0"/>
        <v>34436.209499999997</v>
      </c>
    </row>
    <row r="11" spans="1:7" x14ac:dyDescent="0.25">
      <c r="A11">
        <v>316.23</v>
      </c>
      <c r="B11" t="s">
        <v>11</v>
      </c>
      <c r="C11" s="3">
        <v>1331142</v>
      </c>
      <c r="D11" s="5">
        <v>0.2</v>
      </c>
      <c r="E11" s="3">
        <f t="shared" si="0"/>
        <v>266228.40000000002</v>
      </c>
    </row>
    <row r="12" spans="1:7" x14ac:dyDescent="0.25">
      <c r="A12">
        <v>392</v>
      </c>
      <c r="B12" t="s">
        <v>26</v>
      </c>
      <c r="C12" s="3">
        <f>432687-48204</f>
        <v>384483</v>
      </c>
      <c r="D12" s="5">
        <v>5.8799999999999998E-2</v>
      </c>
      <c r="E12" s="3">
        <f t="shared" si="0"/>
        <v>22607.600399999999</v>
      </c>
    </row>
    <row r="14" spans="1:7" x14ac:dyDescent="0.25">
      <c r="E14" s="3">
        <f>SUM(E4:E12)</f>
        <v>35202500.637099996</v>
      </c>
    </row>
    <row r="16" spans="1:7" x14ac:dyDescent="0.25">
      <c r="C16" s="3"/>
      <c r="D16" s="9"/>
    </row>
    <row r="17" spans="3:5" x14ac:dyDescent="0.25">
      <c r="C17" s="3"/>
      <c r="D17" s="9"/>
      <c r="E17" s="9"/>
    </row>
    <row r="18" spans="3:5" x14ac:dyDescent="0.25">
      <c r="C18" s="3"/>
      <c r="D18" s="9"/>
      <c r="E18" s="9"/>
    </row>
    <row r="19" spans="3:5" x14ac:dyDescent="0.25">
      <c r="C19" s="3"/>
      <c r="D19" s="9"/>
      <c r="E19" s="9"/>
    </row>
    <row r="20" spans="3:5" x14ac:dyDescent="0.25">
      <c r="C20" s="3"/>
      <c r="D20" s="9"/>
      <c r="E20" s="9"/>
    </row>
    <row r="21" spans="3:5" x14ac:dyDescent="0.25">
      <c r="C21" s="3"/>
      <c r="D21" s="9"/>
      <c r="E21" s="9"/>
    </row>
    <row r="22" spans="3:5" x14ac:dyDescent="0.25">
      <c r="C22" s="3"/>
      <c r="D22" s="9"/>
      <c r="E22" s="9"/>
    </row>
    <row r="23" spans="3:5" x14ac:dyDescent="0.25">
      <c r="C23" s="3"/>
      <c r="D23" s="9"/>
      <c r="E23" s="9"/>
    </row>
    <row r="24" spans="3:5" x14ac:dyDescent="0.25">
      <c r="C24" s="3"/>
      <c r="E24" s="9"/>
    </row>
    <row r="26" spans="3:5" x14ac:dyDescent="0.25">
      <c r="E26" s="9"/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22 Staff rebut true-up acc</vt:lpstr>
      <vt:lpstr>21 Depreciation study</vt:lpstr>
      <vt:lpstr>MJL-D2 forward</vt:lpstr>
      <vt:lpstr>Depr expense post transfer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2024-02-12T19:28:16Z</dcterms:created>
  <dcterms:modified xsi:type="dcterms:W3CDTF">2024-02-22T20:49:24Z</dcterms:modified>
</cp:coreProperties>
</file>