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F:\RESRAM\Monthly Filings\2024\"/>
    </mc:Choice>
  </mc:AlternateContent>
  <xr:revisionPtr revIDLastSave="0" documentId="13_ncr:1_{DB5A019F-7A73-45B5-9A90-DF4819C5A4BF}" xr6:coauthVersionLast="47" xr6:coauthVersionMax="47" xr10:uidLastSave="{00000000-0000-0000-0000-000000000000}"/>
  <bookViews>
    <workbookView xWindow="28680" yWindow="15" windowWidth="29040" windowHeight="15720" tabRatio="658" xr2:uid="{00000000-000D-0000-FFFF-FFFF00000000}"/>
  </bookViews>
  <sheets>
    <sheet name="Monthly Cost Tracker AP4" sheetId="13" r:id="rId1"/>
    <sheet name="Monthly Cost Tracker AP5" sheetId="14" r:id="rId2"/>
    <sheet name="Monthly Cost Tracker AP6" sheetId="15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0">#REF!</definedName>
    <definedName name="rr" localSheetId="1">#REF!</definedName>
    <definedName name="rr" localSheetId="2">#REF!</definedName>
    <definedName name="rr">#REF!</definedName>
    <definedName name="rrr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4" l="1"/>
  <c r="C34" i="14" s="1"/>
  <c r="C32" i="14"/>
  <c r="D15" i="6" l="1"/>
  <c r="C26" i="15" l="1"/>
  <c r="C4" i="14" l="1"/>
  <c r="C4" i="15" s="1"/>
  <c r="A5" i="5" s="1"/>
  <c r="D11" i="6" l="1"/>
  <c r="E12" i="6"/>
  <c r="C20" i="15" l="1"/>
  <c r="C27" i="15" s="1"/>
  <c r="C30" i="15" l="1"/>
  <c r="C32" i="15" s="1"/>
  <c r="C26" i="13"/>
  <c r="C20" i="13"/>
  <c r="C27" i="13" l="1"/>
  <c r="C30" i="13" s="1"/>
  <c r="F8" i="8"/>
  <c r="C34" i="13" l="1"/>
  <c r="E57" i="6"/>
  <c r="D12" i="6" l="1"/>
  <c r="D13" i="6"/>
  <c r="D14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</calcChain>
</file>

<file path=xl/sharedStrings.xml><?xml version="1.0" encoding="utf-8"?>
<sst xmlns="http://schemas.openxmlformats.org/spreadsheetml/2006/main" count="181" uniqueCount="80">
  <si>
    <t>Ameren Missouri</t>
  </si>
  <si>
    <t>RESRAM Monthly Accounting</t>
  </si>
  <si>
    <t>547004 - Landfill-Gas Fuel Costs</t>
  </si>
  <si>
    <t>908SR2 - Rider SR Solar Rebates</t>
  </si>
  <si>
    <t>409 - 411 - Production Tax Credit Benefit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</si>
  <si>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</si>
  <si>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</si>
  <si>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</si>
  <si>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</si>
  <si>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</si>
  <si>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</si>
  <si>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</si>
  <si>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</si>
  <si>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</si>
  <si>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</si>
  <si>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</si>
  <si>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</si>
  <si>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</si>
  <si>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</si>
  <si>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</si>
  <si>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</si>
  <si>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</si>
  <si>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</si>
  <si>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</si>
  <si>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</si>
  <si>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</si>
  <si>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</si>
  <si>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</si>
  <si>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</si>
  <si>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</si>
  <si>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</si>
  <si>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</si>
  <si>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</si>
  <si>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</si>
  <si>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</si>
  <si>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</si>
  <si>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</si>
  <si>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</si>
  <si>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</si>
  <si>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</si>
  <si>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</si>
  <si>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</si>
  <si>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</si>
  <si>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</si>
  <si>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</si>
  <si>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</si>
  <si>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</si>
  <si>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</si>
  <si>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</si>
  <si>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</si>
  <si>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</si>
  <si>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</si>
  <si>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557/509BLH - Wind REC Costs</t>
  </si>
  <si>
    <t>557/509CSR - Solar REC Costs</t>
  </si>
  <si>
    <t>557/509H20 - Hydro REC Costs</t>
  </si>
  <si>
    <t>557/509PSR - Non Customer Solar REC Costs</t>
  </si>
  <si>
    <t>Interconnection Expenses</t>
  </si>
  <si>
    <t>Accumulation Period 4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</si>
  <si>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</si>
  <si>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</si>
  <si>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</si>
  <si>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</si>
  <si>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</si>
  <si>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</si>
  <si>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</si>
  <si>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</si>
  <si>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</si>
  <si>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</si>
  <si>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</si>
  <si>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</si>
  <si>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</si>
  <si>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</si>
  <si>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</si>
  <si>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</si>
  <si>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</si>
  <si>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557/5090BM - Biomass REC Costs</t>
  </si>
  <si>
    <t>Rider SR Solar Rebates - 908SR2</t>
  </si>
  <si>
    <t>Production Tax Credit Benefit - 409 - 411</t>
  </si>
  <si>
    <t>Net OSSR/Purchased Power portion - 447 &amp; 555</t>
  </si>
  <si>
    <t>Reclass AP4 to AP5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</si>
</sst>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7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9" fontId="14" fillId="0" borderId="0" xfId="5" applyNumberFormat="1" applyFont="1" applyFill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1" fillId="0" borderId="0" xfId="1" applyNumberFormat="1" applyBorder="1"/>
    <xf numFmtId="168" fontId="5" fillId="0" borderId="0" xfId="1" applyNumberFormat="1" applyFont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69" fontId="5" fillId="2" borderId="1" xfId="5" applyNumberFormat="1" applyFont="1" applyFill="1" applyBorder="1"/>
  </cellXfs>
  <cellStyles count="7">
    <cellStyle name="Comma" xfId="5" builtinId="3"/>
    <cellStyle name="Comma 3" xfId="4" xr:uid="{00000000-0005-0000-0000-000001000000}"/>
    <cellStyle name="Currency" xfId="1" builtinId="4"/>
    <cellStyle name="Normal" xfId="0" builtinId="0"/>
    <cellStyle name="Normal 2" xfId="6" xr:uid="{00000000-0005-0000-0000-000004000000}"/>
    <cellStyle name="Normal 3" xfId="3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34"/>
  <sheetViews>
    <sheetView tabSelected="1" zoomScaleNormal="100" workbookViewId="0">
      <pane ySplit="4" topLeftCell="A5" activePane="bottomLeft" state="frozen"/>
      <selection pane="bottomLeft" activeCell="D19" sqref="D19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57</v>
      </c>
    </row>
    <row r="4" spans="1:13" x14ac:dyDescent="0.25">
      <c r="A4" s="1"/>
      <c r="B4" s="2" t="s">
        <v>24</v>
      </c>
      <c r="C4" s="2">
        <v>45322</v>
      </c>
    </row>
    <row r="5" spans="1:13" x14ac:dyDescent="0.25">
      <c r="A5" s="3" t="s">
        <v>25</v>
      </c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52</v>
      </c>
      <c r="B6" s="6"/>
      <c r="C6" s="43"/>
    </row>
    <row r="7" spans="1:13" x14ac:dyDescent="0.25">
      <c r="A7" s="5" t="s">
        <v>53</v>
      </c>
      <c r="B7" s="6"/>
      <c r="C7" s="43"/>
    </row>
    <row r="8" spans="1:13" x14ac:dyDescent="0.25">
      <c r="A8" s="5" t="s">
        <v>75</v>
      </c>
      <c r="B8" s="6"/>
      <c r="C8" s="43"/>
    </row>
    <row r="9" spans="1:13" x14ac:dyDescent="0.25">
      <c r="A9" s="5" t="s">
        <v>2</v>
      </c>
      <c r="B9" s="6"/>
      <c r="C9" s="43"/>
    </row>
    <row r="10" spans="1:13" x14ac:dyDescent="0.25">
      <c r="A10" s="5" t="s">
        <v>54</v>
      </c>
      <c r="B10" s="6"/>
      <c r="C10" s="43"/>
    </row>
    <row r="11" spans="1:13" x14ac:dyDescent="0.25">
      <c r="A11" s="5" t="s">
        <v>55</v>
      </c>
      <c r="B11" s="6"/>
      <c r="C11" s="43"/>
    </row>
    <row r="12" spans="1:13" x14ac:dyDescent="0.25">
      <c r="A12" s="5" t="s">
        <v>3</v>
      </c>
      <c r="B12" s="7"/>
      <c r="C12" s="40"/>
    </row>
    <row r="13" spans="1:13" x14ac:dyDescent="0.25">
      <c r="A13" s="5" t="s">
        <v>4</v>
      </c>
      <c r="B13" s="6"/>
      <c r="C13" s="40"/>
      <c r="E13" s="49"/>
      <c r="F13" s="50"/>
    </row>
    <row r="14" spans="1:13" x14ac:dyDescent="0.25">
      <c r="A14" s="5" t="s">
        <v>60</v>
      </c>
      <c r="B14" s="6"/>
      <c r="C14" s="43"/>
    </row>
    <row r="15" spans="1:13" x14ac:dyDescent="0.25">
      <c r="A15" s="5" t="s">
        <v>5</v>
      </c>
      <c r="B15" s="6"/>
      <c r="C15" s="43"/>
    </row>
    <row r="16" spans="1:13" x14ac:dyDescent="0.25">
      <c r="A16" s="5" t="s">
        <v>6</v>
      </c>
      <c r="B16" s="6"/>
      <c r="C16" s="43"/>
    </row>
    <row r="17" spans="1:3" x14ac:dyDescent="0.25">
      <c r="A17" s="5" t="s">
        <v>7</v>
      </c>
      <c r="B17" s="6"/>
      <c r="C17" s="43"/>
    </row>
    <row r="18" spans="1:3" x14ac:dyDescent="0.25">
      <c r="A18" s="5" t="s">
        <v>56</v>
      </c>
      <c r="B18" s="6"/>
      <c r="C18" s="43"/>
    </row>
    <row r="19" spans="1:3" x14ac:dyDescent="0.25">
      <c r="A19" s="5" t="s">
        <v>8</v>
      </c>
      <c r="B19" s="6"/>
      <c r="C19" s="43"/>
    </row>
    <row r="20" spans="1:3" ht="15.75" thickBot="1" x14ac:dyDescent="0.3">
      <c r="A20" s="3" t="s">
        <v>9</v>
      </c>
      <c r="B20" s="9"/>
      <c r="C20" s="74">
        <f>SUM(C6:C19)</f>
        <v>0</v>
      </c>
    </row>
    <row r="21" spans="1:3" x14ac:dyDescent="0.25">
      <c r="B21" s="10"/>
      <c r="C21" s="44"/>
    </row>
    <row r="22" spans="1:3" x14ac:dyDescent="0.25">
      <c r="A22" s="15" t="s">
        <v>29</v>
      </c>
      <c r="B22" s="10"/>
      <c r="C22" s="72">
        <v>-952882.67000000016</v>
      </c>
    </row>
    <row r="23" spans="1:3" x14ac:dyDescent="0.25">
      <c r="B23" s="10"/>
      <c r="C23" s="44"/>
    </row>
    <row r="24" spans="1:3" x14ac:dyDescent="0.25">
      <c r="A24" s="5" t="s">
        <v>26</v>
      </c>
      <c r="B24" s="11"/>
      <c r="C24" s="45">
        <v>0</v>
      </c>
    </row>
    <row r="25" spans="1:3" x14ac:dyDescent="0.25">
      <c r="A25" s="5" t="s">
        <v>27</v>
      </c>
      <c r="B25" s="21"/>
      <c r="C25" s="45"/>
    </row>
    <row r="26" spans="1:3" x14ac:dyDescent="0.25">
      <c r="A26" s="3" t="s">
        <v>28</v>
      </c>
      <c r="B26" s="6"/>
      <c r="C26" s="73">
        <f>+C24+C25+C22</f>
        <v>-952882.67000000016</v>
      </c>
    </row>
    <row r="27" spans="1:3" ht="15.75" thickBot="1" x14ac:dyDescent="0.3">
      <c r="A27" s="12" t="s">
        <v>10</v>
      </c>
      <c r="B27" s="22"/>
      <c r="C27" s="75">
        <f>C26+C20</f>
        <v>-952882.67000000016</v>
      </c>
    </row>
    <row r="28" spans="1:3" x14ac:dyDescent="0.25">
      <c r="A28" s="3"/>
      <c r="B28" s="4"/>
      <c r="C28" s="48"/>
    </row>
    <row r="29" spans="1:3" x14ac:dyDescent="0.25">
      <c r="A29" s="13" t="s">
        <v>11</v>
      </c>
      <c r="B29" s="14"/>
      <c r="C29" s="14">
        <v>4.4819374999999998E-3</v>
      </c>
    </row>
    <row r="30" spans="1:3" x14ac:dyDescent="0.25">
      <c r="A30" s="15" t="s">
        <v>12</v>
      </c>
      <c r="B30" s="43"/>
      <c r="C30" s="43">
        <f>(C27+B34)*C29</f>
        <v>9539.5094074246736</v>
      </c>
    </row>
    <row r="31" spans="1:3" x14ac:dyDescent="0.25">
      <c r="A31" s="3"/>
      <c r="B31" s="47"/>
      <c r="C31" s="47"/>
    </row>
    <row r="32" spans="1:3" x14ac:dyDescent="0.25">
      <c r="A32" s="3" t="s">
        <v>79</v>
      </c>
      <c r="B32" s="47"/>
      <c r="C32" s="47">
        <v>-2137973.42</v>
      </c>
    </row>
    <row r="33" spans="1:3" x14ac:dyDescent="0.25">
      <c r="A33" s="3"/>
      <c r="B33" s="47"/>
      <c r="C33" s="47"/>
    </row>
    <row r="34" spans="1:3" ht="15.75" thickBot="1" x14ac:dyDescent="0.3">
      <c r="A34" s="12" t="s">
        <v>13</v>
      </c>
      <c r="B34" s="75">
        <v>3081316.9481274118</v>
      </c>
      <c r="C34" s="76">
        <f>C27+C30+B34+C32</f>
        <v>0.36753483628854156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M34"/>
  <sheetViews>
    <sheetView zoomScaleNormal="100" workbookViewId="0">
      <pane ySplit="4" topLeftCell="A20" activePane="bottomLeft" state="frozen"/>
      <selection pane="bottomLeft" activeCell="B43" sqref="B43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62</v>
      </c>
    </row>
    <row r="4" spans="1:13" x14ac:dyDescent="0.25">
      <c r="A4" s="1"/>
      <c r="B4" s="2" t="s">
        <v>24</v>
      </c>
      <c r="C4" s="2">
        <f>'Monthly Cost Tracker AP4'!C4</f>
        <v>45322</v>
      </c>
    </row>
    <row r="5" spans="1:13" x14ac:dyDescent="0.25">
      <c r="A5" s="3" t="s">
        <v>25</v>
      </c>
      <c r="B5" s="24"/>
      <c r="C5" s="23"/>
      <c r="D5" s="57"/>
      <c r="E5" s="58"/>
      <c r="F5" s="56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71</v>
      </c>
      <c r="B6" s="6"/>
      <c r="C6" s="43"/>
      <c r="D6" s="59"/>
      <c r="E6" s="60"/>
    </row>
    <row r="7" spans="1:13" x14ac:dyDescent="0.25">
      <c r="A7" s="5" t="s">
        <v>72</v>
      </c>
      <c r="B7" s="6"/>
      <c r="C7" s="43"/>
      <c r="D7" s="59"/>
      <c r="E7" s="60"/>
    </row>
    <row r="8" spans="1:13" x14ac:dyDescent="0.25">
      <c r="A8" s="5" t="s">
        <v>70</v>
      </c>
      <c r="B8" s="6"/>
      <c r="C8" s="43"/>
      <c r="D8" s="59"/>
      <c r="E8" s="60"/>
    </row>
    <row r="9" spans="1:13" x14ac:dyDescent="0.25">
      <c r="A9" s="5" t="s">
        <v>73</v>
      </c>
      <c r="B9" s="6"/>
      <c r="C9" s="43"/>
      <c r="D9" s="59"/>
      <c r="E9" s="60"/>
    </row>
    <row r="10" spans="1:13" x14ac:dyDescent="0.25">
      <c r="A10" s="5" t="s">
        <v>69</v>
      </c>
      <c r="B10" s="6"/>
      <c r="C10" s="43"/>
      <c r="D10" s="59"/>
      <c r="E10" s="60"/>
    </row>
    <row r="11" spans="1:13" x14ac:dyDescent="0.25">
      <c r="A11" s="5" t="s">
        <v>74</v>
      </c>
      <c r="B11" s="6"/>
      <c r="C11" s="43"/>
      <c r="D11" s="59"/>
      <c r="E11" s="60"/>
    </row>
    <row r="12" spans="1:13" x14ac:dyDescent="0.25">
      <c r="A12" s="5" t="s">
        <v>76</v>
      </c>
      <c r="B12" s="7"/>
      <c r="C12" s="40"/>
      <c r="D12" s="59"/>
      <c r="E12" s="60"/>
      <c r="F12" s="61"/>
    </row>
    <row r="13" spans="1:13" x14ac:dyDescent="0.25">
      <c r="A13" s="5" t="s">
        <v>77</v>
      </c>
      <c r="B13" s="6"/>
      <c r="C13" s="40"/>
      <c r="D13" s="59"/>
      <c r="E13" s="60"/>
      <c r="F13" s="61"/>
    </row>
    <row r="14" spans="1:13" x14ac:dyDescent="0.25">
      <c r="A14" s="5" t="s">
        <v>78</v>
      </c>
      <c r="B14" s="6"/>
      <c r="C14" s="43"/>
      <c r="D14" s="59"/>
      <c r="E14" s="60"/>
      <c r="F14" s="61"/>
    </row>
    <row r="15" spans="1:13" x14ac:dyDescent="0.25">
      <c r="A15" s="5" t="s">
        <v>5</v>
      </c>
      <c r="B15" s="6"/>
      <c r="C15" s="43"/>
      <c r="D15" s="59"/>
      <c r="E15" s="60"/>
      <c r="F15" s="61"/>
    </row>
    <row r="16" spans="1:13" x14ac:dyDescent="0.25">
      <c r="A16" s="5" t="s">
        <v>6</v>
      </c>
      <c r="B16" s="6"/>
      <c r="C16" s="43"/>
      <c r="D16" s="59"/>
      <c r="E16" s="60"/>
      <c r="F16" s="61"/>
    </row>
    <row r="17" spans="1:6" x14ac:dyDescent="0.25">
      <c r="A17" s="5" t="s">
        <v>7</v>
      </c>
      <c r="B17" s="6"/>
      <c r="C17" s="43"/>
      <c r="D17" s="59"/>
      <c r="E17" s="60"/>
      <c r="F17" s="61"/>
    </row>
    <row r="18" spans="1:6" x14ac:dyDescent="0.25">
      <c r="A18" s="5" t="s">
        <v>56</v>
      </c>
      <c r="B18" s="6"/>
      <c r="C18" s="43"/>
      <c r="D18" s="59"/>
      <c r="E18" s="60"/>
      <c r="F18" s="61"/>
    </row>
    <row r="19" spans="1:6" x14ac:dyDescent="0.25">
      <c r="A19" s="5" t="s">
        <v>8</v>
      </c>
      <c r="B19" s="6"/>
      <c r="C19" s="43"/>
      <c r="D19" s="59"/>
      <c r="E19" s="60"/>
      <c r="F19" s="61"/>
    </row>
    <row r="20" spans="1:6" ht="15.75" thickBot="1" x14ac:dyDescent="0.3">
      <c r="A20" s="3" t="s">
        <v>9</v>
      </c>
      <c r="B20" s="9"/>
      <c r="C20" s="74">
        <v>0</v>
      </c>
    </row>
    <row r="21" spans="1:6" x14ac:dyDescent="0.25">
      <c r="B21" s="10"/>
      <c r="C21" s="44"/>
    </row>
    <row r="22" spans="1:6" x14ac:dyDescent="0.25">
      <c r="A22" s="15" t="s">
        <v>29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26</v>
      </c>
      <c r="B24" s="11"/>
      <c r="C24" s="45"/>
    </row>
    <row r="25" spans="1:6" x14ac:dyDescent="0.25">
      <c r="A25" s="5" t="s">
        <v>27</v>
      </c>
      <c r="B25" s="21"/>
      <c r="C25" s="45"/>
    </row>
    <row r="26" spans="1:6" x14ac:dyDescent="0.25">
      <c r="A26" s="3" t="s">
        <v>28</v>
      </c>
      <c r="B26" s="6"/>
      <c r="C26" s="73">
        <v>0</v>
      </c>
    </row>
    <row r="27" spans="1:6" ht="15.75" thickBot="1" x14ac:dyDescent="0.3">
      <c r="A27" s="12" t="s">
        <v>10</v>
      </c>
      <c r="B27" s="22"/>
      <c r="C27" s="46">
        <v>0</v>
      </c>
    </row>
    <row r="28" spans="1:6" x14ac:dyDescent="0.25">
      <c r="A28" s="3"/>
      <c r="B28" s="4"/>
      <c r="C28" s="48"/>
    </row>
    <row r="29" spans="1:6" x14ac:dyDescent="0.25">
      <c r="A29" s="13" t="s">
        <v>11</v>
      </c>
      <c r="B29" s="14"/>
      <c r="C29" s="14">
        <v>4.4819374999999998E-3</v>
      </c>
    </row>
    <row r="30" spans="1:6" x14ac:dyDescent="0.25">
      <c r="A30" s="15" t="s">
        <v>12</v>
      </c>
      <c r="B30" s="43"/>
      <c r="C30" s="43">
        <f>(C27+B34)*C29</f>
        <v>106061.74888041559</v>
      </c>
      <c r="D30" s="59"/>
      <c r="E30" s="60"/>
      <c r="F30" s="61"/>
    </row>
    <row r="31" spans="1:6" x14ac:dyDescent="0.25">
      <c r="A31" s="15"/>
      <c r="B31" s="43"/>
      <c r="C31" s="43"/>
      <c r="D31" s="59"/>
      <c r="E31" s="60"/>
      <c r="F31" s="61"/>
    </row>
    <row r="32" spans="1:6" x14ac:dyDescent="0.25">
      <c r="A32" s="15" t="s">
        <v>79</v>
      </c>
      <c r="B32" s="43"/>
      <c r="C32" s="43">
        <f>-'Monthly Cost Tracker AP4'!C32</f>
        <v>2137973.42</v>
      </c>
      <c r="D32" s="59"/>
      <c r="E32" s="60"/>
      <c r="F32" s="61"/>
    </row>
    <row r="33" spans="1:3" x14ac:dyDescent="0.25">
      <c r="A33" s="3"/>
      <c r="B33" s="47"/>
      <c r="C33" s="47"/>
    </row>
    <row r="34" spans="1:3" ht="15.75" thickBot="1" x14ac:dyDescent="0.3">
      <c r="A34" s="12" t="s">
        <v>13</v>
      </c>
      <c r="B34" s="75">
        <v>23664263.252313446</v>
      </c>
      <c r="C34" s="75">
        <f>C27+C30+B34+C32</f>
        <v>25908298.42119386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M32"/>
  <sheetViews>
    <sheetView zoomScaleNormal="100" workbookViewId="0">
      <pane ySplit="4" topLeftCell="A5" activePane="bottomLeft" state="frozen"/>
      <selection pane="bottomLeft" activeCell="E13" sqref="E13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65</v>
      </c>
    </row>
    <row r="4" spans="1:13" x14ac:dyDescent="0.25">
      <c r="A4" s="1"/>
      <c r="B4" s="2" t="s">
        <v>24</v>
      </c>
      <c r="C4" s="2">
        <f>'Monthly Cost Tracker AP5'!C4</f>
        <v>45322</v>
      </c>
    </row>
    <row r="5" spans="1:13" x14ac:dyDescent="0.25">
      <c r="A5" s="3" t="s">
        <v>25</v>
      </c>
      <c r="B5" s="24"/>
      <c r="C5" s="23"/>
      <c r="D5" s="57"/>
      <c r="E5" s="58"/>
      <c r="F5" s="56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71</v>
      </c>
      <c r="B6" s="6"/>
      <c r="C6" s="43">
        <v>50964.200000000004</v>
      </c>
      <c r="D6" s="59"/>
      <c r="E6" s="60"/>
    </row>
    <row r="7" spans="1:13" x14ac:dyDescent="0.25">
      <c r="A7" s="5" t="s">
        <v>72</v>
      </c>
      <c r="B7" s="6"/>
      <c r="C7" s="43">
        <v>0.79</v>
      </c>
      <c r="D7" s="59"/>
      <c r="E7" s="60"/>
    </row>
    <row r="8" spans="1:13" x14ac:dyDescent="0.25">
      <c r="A8" s="5" t="s">
        <v>70</v>
      </c>
      <c r="B8" s="6"/>
      <c r="C8" s="43">
        <v>0</v>
      </c>
      <c r="D8" s="59"/>
      <c r="E8" s="60"/>
    </row>
    <row r="9" spans="1:13" x14ac:dyDescent="0.25">
      <c r="A9" s="5" t="s">
        <v>73</v>
      </c>
      <c r="B9" s="6"/>
      <c r="C9" s="43">
        <v>0</v>
      </c>
      <c r="D9" s="59"/>
      <c r="E9" s="60"/>
    </row>
    <row r="10" spans="1:13" x14ac:dyDescent="0.25">
      <c r="A10" s="5" t="s">
        <v>69</v>
      </c>
      <c r="B10" s="6"/>
      <c r="C10" s="43">
        <v>0</v>
      </c>
      <c r="D10" s="59"/>
      <c r="E10" s="60"/>
    </row>
    <row r="11" spans="1:13" x14ac:dyDescent="0.25">
      <c r="A11" s="5" t="s">
        <v>74</v>
      </c>
      <c r="B11" s="6"/>
      <c r="C11" s="43">
        <v>0</v>
      </c>
      <c r="D11" s="59"/>
      <c r="E11" s="60"/>
    </row>
    <row r="12" spans="1:13" x14ac:dyDescent="0.25">
      <c r="A12" s="5" t="s">
        <v>76</v>
      </c>
      <c r="B12" s="7"/>
      <c r="C12" s="43">
        <v>985787.5</v>
      </c>
      <c r="D12" s="59"/>
      <c r="E12" s="60"/>
      <c r="F12" s="61"/>
    </row>
    <row r="13" spans="1:13" x14ac:dyDescent="0.25">
      <c r="A13" s="5" t="s">
        <v>77</v>
      </c>
      <c r="B13" s="6"/>
      <c r="C13" s="43">
        <v>-2186143.3372298791</v>
      </c>
      <c r="D13" s="59"/>
      <c r="E13" s="60"/>
      <c r="F13" s="61"/>
    </row>
    <row r="14" spans="1:13" x14ac:dyDescent="0.25">
      <c r="A14" s="5" t="s">
        <v>78</v>
      </c>
      <c r="B14" s="6"/>
      <c r="C14" s="43">
        <v>-5424770.9600000037</v>
      </c>
      <c r="D14" s="59"/>
      <c r="E14" s="60"/>
      <c r="F14" s="61"/>
    </row>
    <row r="15" spans="1:13" x14ac:dyDescent="0.25">
      <c r="A15" s="5" t="s">
        <v>5</v>
      </c>
      <c r="B15" s="6"/>
      <c r="C15" s="43">
        <v>7079076.7670025351</v>
      </c>
      <c r="D15" s="59"/>
      <c r="E15" s="60"/>
      <c r="F15" s="61"/>
    </row>
    <row r="16" spans="1:13" x14ac:dyDescent="0.25">
      <c r="A16" s="5" t="s">
        <v>6</v>
      </c>
      <c r="B16" s="6"/>
      <c r="C16" s="43">
        <v>3510138.3333333335</v>
      </c>
      <c r="D16" s="59"/>
      <c r="E16" s="60"/>
      <c r="F16" s="61"/>
    </row>
    <row r="17" spans="1:6" x14ac:dyDescent="0.25">
      <c r="A17" s="5" t="s">
        <v>7</v>
      </c>
      <c r="B17" s="6"/>
      <c r="C17" s="43">
        <v>2393657.69</v>
      </c>
      <c r="D17" s="59"/>
      <c r="E17" s="60"/>
      <c r="F17" s="61"/>
    </row>
    <row r="18" spans="1:6" x14ac:dyDescent="0.25">
      <c r="A18" s="5" t="s">
        <v>56</v>
      </c>
      <c r="B18" s="6"/>
      <c r="C18" s="43">
        <v>158899</v>
      </c>
      <c r="D18" s="59"/>
      <c r="E18" s="60"/>
      <c r="F18" s="61"/>
    </row>
    <row r="19" spans="1:6" x14ac:dyDescent="0.25">
      <c r="A19" s="5" t="s">
        <v>8</v>
      </c>
      <c r="B19" s="6"/>
      <c r="C19" s="43">
        <v>775000</v>
      </c>
      <c r="D19" s="59"/>
      <c r="E19" s="60"/>
      <c r="F19" s="61"/>
    </row>
    <row r="20" spans="1:6" ht="15.75" thickBot="1" x14ac:dyDescent="0.3">
      <c r="A20" s="3" t="s">
        <v>9</v>
      </c>
      <c r="B20" s="9"/>
      <c r="C20" s="74">
        <f>SUM(C6:C19)</f>
        <v>7342609.9831059854</v>
      </c>
    </row>
    <row r="21" spans="1:6" x14ac:dyDescent="0.25">
      <c r="B21" s="10"/>
      <c r="C21" s="44"/>
    </row>
    <row r="22" spans="1:6" x14ac:dyDescent="0.25">
      <c r="A22" s="15" t="s">
        <v>29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26</v>
      </c>
      <c r="B24" s="11"/>
      <c r="C24" s="45"/>
    </row>
    <row r="25" spans="1:6" x14ac:dyDescent="0.25">
      <c r="A25" s="5" t="s">
        <v>27</v>
      </c>
      <c r="B25" s="21"/>
      <c r="C25" s="45">
        <v>600491.23467867449</v>
      </c>
    </row>
    <row r="26" spans="1:6" x14ac:dyDescent="0.25">
      <c r="A26" s="3" t="s">
        <v>28</v>
      </c>
      <c r="B26" s="6"/>
      <c r="C26" s="71">
        <f>SUM(C24:C25)</f>
        <v>600491.23467867449</v>
      </c>
    </row>
    <row r="27" spans="1:6" ht="15.75" thickBot="1" x14ac:dyDescent="0.3">
      <c r="A27" s="12" t="s">
        <v>10</v>
      </c>
      <c r="B27" s="22"/>
      <c r="C27" s="75">
        <f>-C26+C20</f>
        <v>6742118.748427311</v>
      </c>
    </row>
    <row r="28" spans="1:6" x14ac:dyDescent="0.25">
      <c r="A28" s="3"/>
      <c r="B28" s="4"/>
      <c r="C28" s="48"/>
    </row>
    <row r="29" spans="1:6" x14ac:dyDescent="0.25">
      <c r="A29" s="13" t="s">
        <v>11</v>
      </c>
      <c r="B29" s="14"/>
      <c r="C29" s="14">
        <v>4.4819374999999998E-3</v>
      </c>
    </row>
    <row r="30" spans="1:6" x14ac:dyDescent="0.25">
      <c r="A30" s="15" t="s">
        <v>12</v>
      </c>
      <c r="B30" s="43"/>
      <c r="C30" s="43">
        <f>(C27+B32)*C29</f>
        <v>131250.70017508752</v>
      </c>
      <c r="D30" s="59"/>
      <c r="E30" s="60"/>
      <c r="F30" s="61"/>
    </row>
    <row r="31" spans="1:6" x14ac:dyDescent="0.25">
      <c r="A31" s="3"/>
      <c r="B31" s="47"/>
      <c r="C31" s="47"/>
    </row>
    <row r="32" spans="1:6" ht="15.75" thickBot="1" x14ac:dyDescent="0.3">
      <c r="A32" s="12" t="s">
        <v>13</v>
      </c>
      <c r="B32" s="75">
        <v>22542247.705832154</v>
      </c>
      <c r="C32" s="75">
        <f>C27+C30+B32</f>
        <v>29415617.154434554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D26"/>
  <sheetViews>
    <sheetView zoomScaleNormal="100" workbookViewId="0">
      <selection activeCell="G25" sqref="G25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17</v>
      </c>
    </row>
    <row r="3" spans="1:4" x14ac:dyDescent="0.25">
      <c r="A3" s="19" t="s">
        <v>48</v>
      </c>
    </row>
    <row r="4" spans="1:4" x14ac:dyDescent="0.25">
      <c r="A4" s="19" t="s">
        <v>14</v>
      </c>
    </row>
    <row r="5" spans="1:4" x14ac:dyDescent="0.25">
      <c r="A5" s="70">
        <f>'Monthly Cost Tracker AP6'!C4</f>
        <v>45322</v>
      </c>
    </row>
    <row r="7" spans="1:4" ht="15.75" thickBot="1" x14ac:dyDescent="0.3">
      <c r="A7" s="18"/>
      <c r="D7" s="8"/>
    </row>
    <row r="8" spans="1:4" ht="23.25" x14ac:dyDescent="0.25">
      <c r="A8" s="42" t="s">
        <v>43</v>
      </c>
      <c r="B8" s="42" t="s">
        <v>31</v>
      </c>
      <c r="C8" s="38" t="s">
        <v>17</v>
      </c>
      <c r="D8" s="8"/>
    </row>
    <row r="9" spans="1:4" x14ac:dyDescent="0.25">
      <c r="A9" s="35" t="s">
        <v>32</v>
      </c>
      <c r="B9" s="27" t="s">
        <v>33</v>
      </c>
      <c r="C9" s="36">
        <v>455143.29</v>
      </c>
    </row>
    <row r="10" spans="1:4" x14ac:dyDescent="0.25">
      <c r="A10" s="35" t="s">
        <v>34</v>
      </c>
      <c r="B10" s="27" t="s">
        <v>33</v>
      </c>
      <c r="C10" s="36">
        <v>100294.39000000003</v>
      </c>
      <c r="D10" s="8"/>
    </row>
    <row r="11" spans="1:4" x14ac:dyDescent="0.25">
      <c r="A11" s="35" t="s">
        <v>35</v>
      </c>
      <c r="B11" s="27" t="s">
        <v>33</v>
      </c>
      <c r="C11" s="36">
        <v>204848.46</v>
      </c>
      <c r="D11" s="8"/>
    </row>
    <row r="12" spans="1:4" x14ac:dyDescent="0.25">
      <c r="A12" s="35" t="s">
        <v>36</v>
      </c>
      <c r="B12" s="27" t="s">
        <v>37</v>
      </c>
      <c r="C12" s="36">
        <v>93167.09</v>
      </c>
      <c r="D12" s="8"/>
    </row>
    <row r="13" spans="1:4" x14ac:dyDescent="0.25">
      <c r="A13" s="35" t="s">
        <v>38</v>
      </c>
      <c r="B13" s="27" t="s">
        <v>33</v>
      </c>
      <c r="C13" s="36">
        <v>4524.43</v>
      </c>
      <c r="D13" s="25"/>
    </row>
    <row r="14" spans="1:4" x14ac:dyDescent="0.25">
      <c r="A14" s="35" t="s">
        <v>39</v>
      </c>
      <c r="B14" s="27"/>
      <c r="C14" s="36"/>
      <c r="D14" s="25"/>
    </row>
    <row r="15" spans="1:4" x14ac:dyDescent="0.25">
      <c r="A15" s="37" t="s">
        <v>40</v>
      </c>
      <c r="B15" s="27" t="s">
        <v>37</v>
      </c>
      <c r="C15" s="36">
        <v>4462.4399999999996</v>
      </c>
      <c r="D15" s="25"/>
    </row>
    <row r="16" spans="1:4" x14ac:dyDescent="0.25">
      <c r="A16" s="37" t="s">
        <v>41</v>
      </c>
      <c r="B16" s="27" t="s">
        <v>37</v>
      </c>
      <c r="C16" s="36">
        <v>47860.85</v>
      </c>
      <c r="D16" s="25"/>
    </row>
    <row r="17" spans="1:4" x14ac:dyDescent="0.25">
      <c r="A17" s="37" t="s">
        <v>42</v>
      </c>
      <c r="B17" s="27" t="s">
        <v>37</v>
      </c>
      <c r="C17" s="36">
        <v>42581.72</v>
      </c>
      <c r="D17" s="25"/>
    </row>
    <row r="18" spans="1:4" x14ac:dyDescent="0.25">
      <c r="D18" s="25"/>
    </row>
    <row r="19" spans="1:4" ht="15.75" thickBot="1" x14ac:dyDescent="0.3">
      <c r="A19" s="33" t="s">
        <v>30</v>
      </c>
      <c r="B19" s="32"/>
      <c r="C19" s="34">
        <f>SUM(C9:C18)</f>
        <v>952882.66999999993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E58"/>
  <sheetViews>
    <sheetView workbookViewId="0">
      <selection activeCell="K21" sqref="K21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58</v>
      </c>
    </row>
    <row r="3" spans="1:5" x14ac:dyDescent="0.25">
      <c r="A3" s="19" t="s">
        <v>48</v>
      </c>
    </row>
    <row r="4" spans="1:5" x14ac:dyDescent="0.25">
      <c r="A4" s="19" t="s">
        <v>15</v>
      </c>
    </row>
    <row r="5" spans="1:5" x14ac:dyDescent="0.25">
      <c r="A5" s="20">
        <f>+'18A'!A5</f>
        <v>45322</v>
      </c>
    </row>
    <row r="7" spans="1:5" x14ac:dyDescent="0.25">
      <c r="A7" s="17"/>
      <c r="B7" s="16"/>
      <c r="D7" s="8"/>
    </row>
    <row r="8" spans="1:5" x14ac:dyDescent="0.25">
      <c r="A8" s="51"/>
    </row>
    <row r="9" spans="1:5" ht="15.75" thickBot="1" x14ac:dyDescent="0.3"/>
    <row r="10" spans="1:5" ht="35.25" customHeight="1" x14ac:dyDescent="0.25">
      <c r="A10" s="38" t="s">
        <v>43</v>
      </c>
      <c r="B10" s="38" t="s">
        <v>31</v>
      </c>
      <c r="C10" s="38" t="str">
        <f>CONCATENATE(TEXT($A$5,"MMM-YYYY")," kWh")</f>
        <v>Jan-2024 kWh</v>
      </c>
      <c r="D10" s="63" t="s">
        <v>66</v>
      </c>
      <c r="E10" s="63" t="s">
        <v>59</v>
      </c>
    </row>
    <row r="11" spans="1:5" x14ac:dyDescent="0.25">
      <c r="A11" s="35" t="s">
        <v>32</v>
      </c>
      <c r="B11" s="27" t="s">
        <v>33</v>
      </c>
      <c r="C11" s="62">
        <v>1604268603</v>
      </c>
      <c r="D11" s="69">
        <f>($E$38/$E$57)</f>
        <v>2.334277972445468E-4</v>
      </c>
      <c r="E11" s="52">
        <f>C11*D11</f>
        <v>374480.88618687633</v>
      </c>
    </row>
    <row r="12" spans="1:5" x14ac:dyDescent="0.25">
      <c r="A12" s="35" t="s">
        <v>34</v>
      </c>
      <c r="B12" s="27" t="s">
        <v>33</v>
      </c>
      <c r="C12" s="62">
        <v>338275417</v>
      </c>
      <c r="D12" s="69">
        <f>($E$38/$E$57)</f>
        <v>2.334277972445468E-4</v>
      </c>
      <c r="E12" s="52">
        <f>C12*D12</f>
        <v>78962.885452290517</v>
      </c>
    </row>
    <row r="13" spans="1:5" x14ac:dyDescent="0.25">
      <c r="A13" s="35" t="s">
        <v>35</v>
      </c>
      <c r="B13" s="27" t="s">
        <v>33</v>
      </c>
      <c r="C13" s="62">
        <v>655596166</v>
      </c>
      <c r="D13" s="69">
        <f>($E$38/$E$57)</f>
        <v>2.334277972445468E-4</v>
      </c>
      <c r="E13" s="52">
        <f t="shared" ref="E13:E19" si="0">C13*D13</f>
        <v>153034.36891135023</v>
      </c>
    </row>
    <row r="14" spans="1:5" x14ac:dyDescent="0.25">
      <c r="A14" s="35" t="s">
        <v>36</v>
      </c>
      <c r="B14" s="27" t="s">
        <v>37</v>
      </c>
      <c r="C14" s="62">
        <v>297083394</v>
      </c>
      <c r="D14" s="69">
        <f>($E$38/$E$57)</f>
        <v>2.334277972445468E-4</v>
      </c>
      <c r="E14" s="52">
        <f t="shared" si="0"/>
        <v>69347.522259353806</v>
      </c>
    </row>
    <row r="15" spans="1:5" x14ac:dyDescent="0.25">
      <c r="A15" s="35" t="s">
        <v>38</v>
      </c>
      <c r="B15" s="27" t="s">
        <v>33</v>
      </c>
      <c r="C15" s="62">
        <v>13079096</v>
      </c>
      <c r="D15" s="69">
        <f>($E$38/$E$57)</f>
        <v>2.334277972445468E-4</v>
      </c>
      <c r="E15" s="52">
        <f t="shared" si="0"/>
        <v>3053.0245692299632</v>
      </c>
    </row>
    <row r="16" spans="1:5" x14ac:dyDescent="0.25">
      <c r="A16" s="35" t="s">
        <v>39</v>
      </c>
      <c r="B16" s="27"/>
      <c r="C16" s="62"/>
      <c r="D16" s="69"/>
      <c r="E16" s="52"/>
    </row>
    <row r="17" spans="1:5" x14ac:dyDescent="0.25">
      <c r="A17" s="37" t="s">
        <v>40</v>
      </c>
      <c r="B17" s="27" t="s">
        <v>37</v>
      </c>
      <c r="C17" s="62">
        <v>13200113</v>
      </c>
      <c r="D17" s="69">
        <f>($E$38/$E$57)</f>
        <v>2.334277972445468E-4</v>
      </c>
      <c r="E17" s="52">
        <f t="shared" si="0"/>
        <v>3081.2733009691065</v>
      </c>
    </row>
    <row r="18" spans="1:5" x14ac:dyDescent="0.25">
      <c r="A18" s="37" t="s">
        <v>41</v>
      </c>
      <c r="B18" s="27" t="s">
        <v>37</v>
      </c>
      <c r="C18" s="62">
        <v>141574670</v>
      </c>
      <c r="D18" s="69">
        <f>($E$38/$E$57)</f>
        <v>2.334277972445468E-4</v>
      </c>
      <c r="E18" s="52">
        <f t="shared" si="0"/>
        <v>33047.463363723626</v>
      </c>
    </row>
    <row r="19" spans="1:5" x14ac:dyDescent="0.25">
      <c r="A19" s="37" t="s">
        <v>42</v>
      </c>
      <c r="B19" s="27" t="s">
        <v>37</v>
      </c>
      <c r="C19" s="62">
        <v>125958701</v>
      </c>
      <c r="D19" s="69">
        <f>($E$38/$E$57)</f>
        <v>2.334277972445468E-4</v>
      </c>
      <c r="E19" s="52">
        <f t="shared" si="0"/>
        <v>29402.262118214494</v>
      </c>
    </row>
    <row r="20" spans="1:5" x14ac:dyDescent="0.25">
      <c r="C20" s="53"/>
      <c r="D20" s="53"/>
      <c r="E20" s="53"/>
    </row>
    <row r="21" spans="1:5" ht="15.75" thickBot="1" x14ac:dyDescent="0.3">
      <c r="A21" s="33" t="s">
        <v>30</v>
      </c>
      <c r="B21" s="32"/>
      <c r="C21" s="54">
        <f>SUM(C11:C20)</f>
        <v>3189036160</v>
      </c>
      <c r="D21" s="54"/>
      <c r="E21" s="54">
        <f t="shared" ref="E21" si="1">SUM(E11:E20)</f>
        <v>744409.68616200809</v>
      </c>
    </row>
    <row r="22" spans="1:5" ht="15.75" thickTop="1" x14ac:dyDescent="0.25"/>
    <row r="24" spans="1:5" ht="17.25" x14ac:dyDescent="0.25">
      <c r="A24" t="s">
        <v>61</v>
      </c>
    </row>
    <row r="30" spans="1:5" x14ac:dyDescent="0.25">
      <c r="A30" s="55" t="s">
        <v>63</v>
      </c>
      <c r="B30" s="55"/>
      <c r="C30" s="55"/>
      <c r="D30" s="55"/>
      <c r="E30" s="55"/>
    </row>
    <row r="38" spans="1:5" x14ac:dyDescent="0.25">
      <c r="E38" s="25">
        <v>7205895</v>
      </c>
    </row>
    <row r="40" spans="1:5" x14ac:dyDescent="0.25">
      <c r="A40" s="55" t="s">
        <v>64</v>
      </c>
      <c r="B40" s="55"/>
      <c r="C40" s="55"/>
      <c r="D40" s="55"/>
      <c r="E40" s="55"/>
    </row>
    <row r="50" spans="5:5" x14ac:dyDescent="0.25">
      <c r="E50" s="66">
        <v>13281323630</v>
      </c>
    </row>
    <row r="51" spans="5:5" x14ac:dyDescent="0.25">
      <c r="E51" s="66">
        <v>3137528082</v>
      </c>
    </row>
    <row r="52" spans="5:5" x14ac:dyDescent="0.25">
      <c r="E52" s="66">
        <v>7243993310</v>
      </c>
    </row>
    <row r="53" spans="5:5" x14ac:dyDescent="0.25">
      <c r="E53" s="66">
        <v>3510154524</v>
      </c>
    </row>
    <row r="54" spans="5:5" x14ac:dyDescent="0.25">
      <c r="E54" s="66">
        <v>3555986080</v>
      </c>
    </row>
    <row r="55" spans="5:5" x14ac:dyDescent="0.25">
      <c r="E55" s="66">
        <v>90105532</v>
      </c>
    </row>
    <row r="56" spans="5:5" x14ac:dyDescent="0.25">
      <c r="E56" s="66">
        <v>50818446</v>
      </c>
    </row>
    <row r="57" spans="5:5" ht="15.75" thickBot="1" x14ac:dyDescent="0.3">
      <c r="E57" s="67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H9"/>
  <sheetViews>
    <sheetView workbookViewId="0">
      <selection activeCell="D10" sqref="D10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19</v>
      </c>
    </row>
    <row r="3" spans="1:8" x14ac:dyDescent="0.25">
      <c r="A3" s="19" t="s">
        <v>49</v>
      </c>
    </row>
    <row r="4" spans="1:8" x14ac:dyDescent="0.25">
      <c r="A4" s="20">
        <f>+'18A'!A5</f>
        <v>45322</v>
      </c>
    </row>
    <row r="6" spans="1:8" x14ac:dyDescent="0.25">
      <c r="A6" s="17"/>
      <c r="B6" s="16"/>
      <c r="D6" s="8"/>
    </row>
    <row r="7" spans="1:8" ht="15" customHeight="1" x14ac:dyDescent="0.25">
      <c r="A7" t="s">
        <v>68</v>
      </c>
      <c r="B7" s="65"/>
      <c r="C7" s="65"/>
      <c r="D7" s="65"/>
      <c r="E7" s="65"/>
      <c r="F7" s="65"/>
      <c r="G7" s="65"/>
      <c r="H7" s="65"/>
    </row>
    <row r="8" spans="1:8" x14ac:dyDescent="0.25">
      <c r="A8" s="64"/>
      <c r="B8" s="64"/>
      <c r="C8" s="64"/>
      <c r="D8" s="64"/>
      <c r="E8" s="64"/>
      <c r="F8" s="64"/>
      <c r="G8" s="64"/>
      <c r="H8" s="64"/>
    </row>
    <row r="9" spans="1:8" x14ac:dyDescent="0.25">
      <c r="A9" s="64"/>
      <c r="B9" s="64"/>
      <c r="C9" s="64"/>
      <c r="D9" s="64"/>
      <c r="E9" s="64"/>
      <c r="F9" s="64"/>
      <c r="G9" s="64"/>
      <c r="H9" s="6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G21"/>
  <sheetViews>
    <sheetView workbookViewId="0">
      <selection activeCell="D12" sqref="D12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18</v>
      </c>
    </row>
    <row r="3" spans="1:7" x14ac:dyDescent="0.25">
      <c r="A3" s="19" t="s">
        <v>48</v>
      </c>
    </row>
    <row r="4" spans="1:7" x14ac:dyDescent="0.25">
      <c r="A4" s="19" t="s">
        <v>16</v>
      </c>
    </row>
    <row r="5" spans="1:7" x14ac:dyDescent="0.25">
      <c r="A5" s="20">
        <f>+'18A'!A5</f>
        <v>45322</v>
      </c>
    </row>
    <row r="6" spans="1:7" ht="15.75" thickBot="1" x14ac:dyDescent="0.3"/>
    <row r="7" spans="1:7" ht="42.75" customHeight="1" x14ac:dyDescent="0.25">
      <c r="A7" s="38" t="s">
        <v>43</v>
      </c>
      <c r="B7" s="38" t="s">
        <v>31</v>
      </c>
      <c r="C7" s="38" t="s">
        <v>17</v>
      </c>
      <c r="D7" s="38" t="s">
        <v>47</v>
      </c>
      <c r="E7" s="38" t="s">
        <v>67</v>
      </c>
      <c r="F7" s="38" t="s">
        <v>46</v>
      </c>
      <c r="G7" s="38" t="s">
        <v>44</v>
      </c>
    </row>
    <row r="8" spans="1:7" x14ac:dyDescent="0.25">
      <c r="A8" s="27" t="s">
        <v>32</v>
      </c>
      <c r="B8" s="27" t="s">
        <v>33</v>
      </c>
      <c r="C8" s="36">
        <f>'18A'!C9</f>
        <v>455143.29</v>
      </c>
      <c r="D8" s="39">
        <v>1453589470</v>
      </c>
      <c r="E8" s="68">
        <v>3.2365161420513526E-4</v>
      </c>
      <c r="F8" s="36">
        <f>D8*E8</f>
        <v>470456.57835708704</v>
      </c>
      <c r="G8" s="36">
        <f>F8-C8</f>
        <v>15313.288357087062</v>
      </c>
    </row>
    <row r="9" spans="1:7" x14ac:dyDescent="0.25">
      <c r="A9" s="27" t="s">
        <v>34</v>
      </c>
      <c r="B9" s="27" t="s">
        <v>33</v>
      </c>
      <c r="C9" s="36">
        <f>'18A'!C10</f>
        <v>100294.39000000003</v>
      </c>
      <c r="D9" s="39">
        <v>309260770</v>
      </c>
      <c r="E9" s="68">
        <v>3.2365161420513526E-4</v>
      </c>
      <c r="F9" s="36">
        <f t="shared" ref="F9:F16" si="0">D9*E9</f>
        <v>100092.74742082307</v>
      </c>
      <c r="G9" s="36">
        <f t="shared" ref="G9:G16" si="1">F9-C9</f>
        <v>-201.64257917695795</v>
      </c>
    </row>
    <row r="10" spans="1:7" x14ac:dyDescent="0.25">
      <c r="A10" s="27" t="s">
        <v>35</v>
      </c>
      <c r="B10" s="27" t="s">
        <v>33</v>
      </c>
      <c r="C10" s="36">
        <f>'18A'!C11</f>
        <v>204848.46</v>
      </c>
      <c r="D10" s="39">
        <v>632637019.99999988</v>
      </c>
      <c r="E10" s="68">
        <v>3.2365161420513526E-4</v>
      </c>
      <c r="F10" s="36">
        <f t="shared" si="0"/>
        <v>204753.99272892639</v>
      </c>
      <c r="G10" s="36">
        <f t="shared" si="1"/>
        <v>-94.467271073604934</v>
      </c>
    </row>
    <row r="11" spans="1:7" x14ac:dyDescent="0.25">
      <c r="A11" s="27" t="s">
        <v>36</v>
      </c>
      <c r="B11" s="27" t="s">
        <v>37</v>
      </c>
      <c r="C11" s="36">
        <f>'18A'!C12</f>
        <v>93167.09</v>
      </c>
      <c r="D11" s="39">
        <v>289995949.99999994</v>
      </c>
      <c r="E11" s="68">
        <v>3.2365161420513526E-4</v>
      </c>
      <c r="F11" s="36">
        <f t="shared" si="0"/>
        <v>93857.657330451679</v>
      </c>
      <c r="G11" s="36">
        <f t="shared" si="1"/>
        <v>690.56733045168221</v>
      </c>
    </row>
    <row r="12" spans="1:7" x14ac:dyDescent="0.25">
      <c r="A12" s="27" t="s">
        <v>45</v>
      </c>
      <c r="B12" s="27" t="s">
        <v>33</v>
      </c>
      <c r="C12" s="36">
        <f>'18A'!C13</f>
        <v>4524.43</v>
      </c>
      <c r="D12" s="39">
        <v>14096527.827391783</v>
      </c>
      <c r="E12" s="68">
        <v>3.2365161420513526E-4</v>
      </c>
      <c r="F12" s="36">
        <f t="shared" si="0"/>
        <v>4562.3639860229587</v>
      </c>
      <c r="G12" s="36">
        <f t="shared" si="1"/>
        <v>37.933986022958379</v>
      </c>
    </row>
    <row r="13" spans="1:7" x14ac:dyDescent="0.25">
      <c r="A13" s="27" t="s">
        <v>39</v>
      </c>
      <c r="B13" s="27"/>
      <c r="C13" s="36">
        <f>'18A'!C14</f>
        <v>0</v>
      </c>
      <c r="D13" s="39"/>
      <c r="E13" s="68"/>
      <c r="F13" s="36"/>
      <c r="G13" s="36"/>
    </row>
    <row r="14" spans="1:7" x14ac:dyDescent="0.25">
      <c r="A14" s="28" t="s">
        <v>40</v>
      </c>
      <c r="B14" s="27" t="s">
        <v>37</v>
      </c>
      <c r="C14" s="36">
        <f>'18A'!C15</f>
        <v>4462.4399999999996</v>
      </c>
      <c r="D14" s="39">
        <v>11419604.616</v>
      </c>
      <c r="E14" s="68">
        <v>3.2365161420513526E-4</v>
      </c>
      <c r="F14" s="36">
        <f t="shared" si="0"/>
        <v>3695.9734675528139</v>
      </c>
      <c r="G14" s="36">
        <f t="shared" si="1"/>
        <v>-766.46653244718573</v>
      </c>
    </row>
    <row r="15" spans="1:7" x14ac:dyDescent="0.25">
      <c r="A15" s="28" t="s">
        <v>41</v>
      </c>
      <c r="B15" s="27" t="s">
        <v>37</v>
      </c>
      <c r="C15" s="36">
        <f>'18A'!C16</f>
        <v>47860.85</v>
      </c>
      <c r="D15" s="39">
        <v>157187498.83199999</v>
      </c>
      <c r="E15" s="68">
        <v>3.2365161420513526E-4</v>
      </c>
      <c r="F15" s="36">
        <f t="shared" si="0"/>
        <v>50873.987729844608</v>
      </c>
      <c r="G15" s="36">
        <f t="shared" si="1"/>
        <v>3013.1377298446096</v>
      </c>
    </row>
    <row r="16" spans="1:7" x14ac:dyDescent="0.25">
      <c r="A16" s="28" t="s">
        <v>42</v>
      </c>
      <c r="B16" s="27" t="s">
        <v>37</v>
      </c>
      <c r="C16" s="36">
        <f>'18A'!C17</f>
        <v>42581.72</v>
      </c>
      <c r="D16" s="39">
        <v>111285166.552</v>
      </c>
      <c r="E16" s="68">
        <v>3.2365161420513526E-4</v>
      </c>
      <c r="F16" s="36">
        <f t="shared" si="0"/>
        <v>36017.623791642131</v>
      </c>
      <c r="G16" s="36">
        <f t="shared" si="1"/>
        <v>-6564.0962083578706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30</v>
      </c>
      <c r="B18" s="32"/>
      <c r="C18" s="34">
        <f>SUM(C8:C17)</f>
        <v>952882.66999999993</v>
      </c>
      <c r="D18" s="41">
        <f>SUM(D8:D17)</f>
        <v>2979472007.8273916</v>
      </c>
      <c r="E18" s="30"/>
      <c r="F18" s="34">
        <f>SUM(F8:F17)</f>
        <v>964310.92481235065</v>
      </c>
      <c r="G18" s="34">
        <f>SUM(G8:G17)</f>
        <v>11428.254812350693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A7"/>
  <sheetViews>
    <sheetView workbookViewId="0">
      <selection activeCell="A5" sqref="A5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20</v>
      </c>
    </row>
    <row r="3" spans="1:1" x14ac:dyDescent="0.25">
      <c r="A3" s="19" t="s">
        <v>50</v>
      </c>
    </row>
    <row r="4" spans="1:1" x14ac:dyDescent="0.25">
      <c r="A4" s="20">
        <f>+'18A'!A5</f>
        <v>45322</v>
      </c>
    </row>
    <row r="7" spans="1:1" x14ac:dyDescent="0.25">
      <c r="A7" t="s">
        <v>21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A7"/>
  <sheetViews>
    <sheetView workbookViewId="0">
      <selection activeCell="A20" sqref="A20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22</v>
      </c>
    </row>
    <row r="3" spans="1:1" x14ac:dyDescent="0.25">
      <c r="A3" s="19" t="s">
        <v>51</v>
      </c>
    </row>
    <row r="4" spans="1:1" x14ac:dyDescent="0.25">
      <c r="A4" s="20">
        <f>+'18A'!A5</f>
        <v>45322</v>
      </c>
    </row>
    <row r="7" spans="1:1" x14ac:dyDescent="0.25">
      <c r="A7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AP4</vt:lpstr>
      <vt:lpstr>Monthly Cost Tracker AP5</vt:lpstr>
      <vt:lpstr>Monthly Cost Tracker AP6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Pfaff, Maria</cp:lastModifiedBy>
  <dcterms:created xsi:type="dcterms:W3CDTF">2019-08-15T19:17:26Z</dcterms:created>
  <dcterms:modified xsi:type="dcterms:W3CDTF">2024-02-28T20:27:28Z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