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210" windowWidth="18225" windowHeight="15270" tabRatio="778"/>
  </bookViews>
  <sheets>
    <sheet name="Reconciliation" sheetId="2" r:id="rId1"/>
    <sheet name="Additions" sheetId="1" r:id="rId2"/>
    <sheet name="Removals" sheetId="6" r:id="rId3"/>
    <sheet name="Salvage" sheetId="5" r:id="rId4"/>
    <sheet name="Depreciation" sheetId="7" r:id="rId5"/>
    <sheet name="21 Depreciation study" sheetId="3" r:id="rId6"/>
    <sheet name="SCHEDULE MJL-S2" sheetId="4" r:id="rId7"/>
    <sheet name="SCHEDULE MJL-S6" sheetId="8" r:id="rId8"/>
  </sheets>
  <externalReferences>
    <externalReference r:id="rId9"/>
  </externalReferences>
  <definedNames>
    <definedName name="_Fill" localSheetId="7" hidden="1">#REF!</definedName>
    <definedName name="_Fill" hidden="1">#REF!</definedName>
    <definedName name="_fill2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7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 localSheetId="7">IF('SCHEDULE MJL-S6'!Values_Entered,Header_Row+'SCHEDULE MJL-S6'!Number_of_Payments,Header_Row)</definedName>
    <definedName name="Last_Row">IF(Values_Entered,Header_Row+Number_of_Payments,Header_Row)</definedName>
    <definedName name="Loan_Amount" localSheetId="7">#REF!</definedName>
    <definedName name="Loan_Amount">#REF!</definedName>
    <definedName name="Loan_Start" localSheetId="7">#REF!</definedName>
    <definedName name="Loan_Start">#REF!</definedName>
    <definedName name="Loan_Years" localSheetId="7">#REF!</definedName>
    <definedName name="Loan_Years">#REF!</definedName>
    <definedName name="Num_Pmt_Per_Year">#REF!</definedName>
    <definedName name="Number_of_Payments" localSheetId="7">MATCH(0.01,End_Bal,-1)+1</definedName>
    <definedName name="Number_of_Payments">MATCH(0.01,End_Bal,-1)+1</definedName>
    <definedName name="Pay_Num">#REF!</definedName>
    <definedName name="Princ">#REF!</definedName>
    <definedName name="_xlnm.Print_Area" localSheetId="6">'SCHEDULE MJL-S2'!$A$1:$U$44</definedName>
    <definedName name="_xlnm.Print_Area" localSheetId="7">'SCHEDULE MJL-S6'!$A$1:$X$44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 localSheetId="7">IF('SCHEDULE MJL-S6'!Loan_Amount*Interest_Rate*'SCHEDULE MJL-S6'!Loan_Years*'SCHEDULE MJL-S6'!Loan_Start&gt;0,1,0)</definedName>
    <definedName name="Values_Entered">IF(Loan_Amount*Interest_Rate*Loan_Years*Loan_Start&gt;0,1,0)</definedName>
    <definedName name="wrn.page1." localSheetId="7" hidden="1">{"page1",#N/A,FALSE,"260"}</definedName>
    <definedName name="wrn.page1." hidden="1">{"page1",#N/A,FALSE,"260"}</definedName>
    <definedName name="wrn2.page1" localSheetId="7" hidden="1">{"page1",#N/A,FALSE,"260"}</definedName>
    <definedName name="wrn2.page1" hidden="1">{"page1",#N/A,FALSE,"260"}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4" l="1"/>
  <c r="C15" i="2"/>
  <c r="O42" i="4"/>
  <c r="O41" i="4"/>
  <c r="D99" i="3"/>
  <c r="D96" i="3"/>
  <c r="A3" i="8"/>
  <c r="Q38" i="4"/>
  <c r="O38" i="4"/>
  <c r="K38" i="4"/>
  <c r="I38" i="4"/>
  <c r="G38" i="4"/>
  <c r="E38" i="4"/>
  <c r="Q38" i="8"/>
  <c r="O38" i="8"/>
  <c r="K38" i="8"/>
  <c r="I38" i="8"/>
  <c r="G38" i="8"/>
  <c r="E38" i="8"/>
  <c r="O31" i="8"/>
  <c r="O27" i="8"/>
  <c r="C27" i="2" l="1"/>
  <c r="C28" i="2"/>
  <c r="C26" i="2"/>
  <c r="C24" i="2"/>
  <c r="S99" i="3"/>
  <c r="O42" i="8"/>
  <c r="O40" i="8"/>
  <c r="O35" i="8"/>
  <c r="O33" i="8"/>
  <c r="Q33" i="8" s="1"/>
  <c r="Q31" i="8"/>
  <c r="O28" i="8"/>
  <c r="K36" i="8"/>
  <c r="Q27" i="8"/>
  <c r="O25" i="8"/>
  <c r="Q25" i="8" s="1"/>
  <c r="K22" i="8"/>
  <c r="I22" i="8"/>
  <c r="G22" i="8"/>
  <c r="Q21" i="8"/>
  <c r="O34" i="8"/>
  <c r="Q19" i="8"/>
  <c r="O32" i="8"/>
  <c r="Q32" i="8" s="1"/>
  <c r="Q17" i="8"/>
  <c r="Q16" i="8"/>
  <c r="Q15" i="8"/>
  <c r="O29" i="8"/>
  <c r="Q14" i="8"/>
  <c r="Q13" i="8"/>
  <c r="Q12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E22" i="8"/>
  <c r="Q35" i="8" l="1"/>
  <c r="Q29" i="8"/>
  <c r="Q28" i="8"/>
  <c r="Q18" i="8"/>
  <c r="O30" i="8"/>
  <c r="O36" i="8" s="1"/>
  <c r="Q20" i="8"/>
  <c r="Q11" i="8"/>
  <c r="C30" i="2" s="1"/>
  <c r="E36" i="8"/>
  <c r="Q34" i="8" l="1"/>
  <c r="C31" i="2"/>
  <c r="O41" i="8"/>
  <c r="O43" i="8" s="1"/>
  <c r="S101" i="3" s="1"/>
  <c r="S103" i="3" s="1"/>
  <c r="C29" i="2" s="1"/>
  <c r="Q30" i="8"/>
  <c r="Q36" i="8" s="1"/>
  <c r="C35" i="2" s="1"/>
  <c r="C33" i="2" s="1"/>
  <c r="Q22" i="8"/>
  <c r="O40" i="4" l="1"/>
  <c r="C10" i="2" l="1"/>
  <c r="C11" i="2"/>
  <c r="C12" i="2"/>
  <c r="O34" i="4"/>
  <c r="O32" i="4"/>
  <c r="Q32" i="4" s="1"/>
  <c r="O30" i="4"/>
  <c r="Q30" i="4" s="1"/>
  <c r="O25" i="4"/>
  <c r="Q25" i="4" s="1"/>
  <c r="G22" i="4"/>
  <c r="O35" i="4"/>
  <c r="Q20" i="4"/>
  <c r="Q18" i="4"/>
  <c r="Q15" i="4"/>
  <c r="O29" i="4"/>
  <c r="K22" i="4"/>
  <c r="O27" i="4"/>
  <c r="Q1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Q11" i="4"/>
  <c r="E22" i="4"/>
  <c r="R93" i="3"/>
  <c r="R92" i="3"/>
  <c r="R91" i="3"/>
  <c r="M90" i="3"/>
  <c r="H90" i="3"/>
  <c r="R90" i="3" s="1"/>
  <c r="C90" i="3"/>
  <c r="M89" i="3"/>
  <c r="H89" i="3"/>
  <c r="R89" i="3" s="1"/>
  <c r="C89" i="3"/>
  <c r="M88" i="3"/>
  <c r="H88" i="3"/>
  <c r="R88" i="3" s="1"/>
  <c r="C88" i="3"/>
  <c r="M87" i="3"/>
  <c r="H87" i="3"/>
  <c r="R87" i="3" s="1"/>
  <c r="C87" i="3"/>
  <c r="R86" i="3"/>
  <c r="R79" i="3"/>
  <c r="M79" i="3"/>
  <c r="H79" i="3"/>
  <c r="C79" i="3"/>
  <c r="C66" i="3"/>
  <c r="C54" i="3"/>
  <c r="C42" i="3"/>
  <c r="C30" i="3"/>
  <c r="D29" i="3"/>
  <c r="D41" i="3" s="1"/>
  <c r="D53" i="3" s="1"/>
  <c r="D65" i="3" s="1"/>
  <c r="D28" i="3"/>
  <c r="D40" i="3" s="1"/>
  <c r="D52" i="3" s="1"/>
  <c r="D64" i="3" s="1"/>
  <c r="D27" i="3"/>
  <c r="D39" i="3" s="1"/>
  <c r="D51" i="3" s="1"/>
  <c r="D63" i="3" s="1"/>
  <c r="D26" i="3"/>
  <c r="D38" i="3" s="1"/>
  <c r="D50" i="3" s="1"/>
  <c r="D62" i="3" s="1"/>
  <c r="D25" i="3"/>
  <c r="D37" i="3" s="1"/>
  <c r="D49" i="3" s="1"/>
  <c r="D61" i="3" s="1"/>
  <c r="D24" i="3"/>
  <c r="D36" i="3" s="1"/>
  <c r="D48" i="3" s="1"/>
  <c r="D60" i="3" s="1"/>
  <c r="D23" i="3"/>
  <c r="D35" i="3" s="1"/>
  <c r="D47" i="3" s="1"/>
  <c r="D59" i="3" s="1"/>
  <c r="D22" i="3"/>
  <c r="D12" i="3"/>
  <c r="C12" i="3"/>
  <c r="Q27" i="4" l="1"/>
  <c r="C14" i="2"/>
  <c r="Q34" i="4"/>
  <c r="M94" i="3"/>
  <c r="R94" i="3"/>
  <c r="D30" i="3"/>
  <c r="C94" i="3"/>
  <c r="H94" i="3"/>
  <c r="Q29" i="4"/>
  <c r="I22" i="4"/>
  <c r="E36" i="4"/>
  <c r="Q14" i="4"/>
  <c r="Q17" i="4"/>
  <c r="Q19" i="4"/>
  <c r="K36" i="4"/>
  <c r="Q21" i="4"/>
  <c r="Q35" i="4" s="1"/>
  <c r="Q16" i="4"/>
  <c r="O28" i="4"/>
  <c r="O31" i="4"/>
  <c r="Q31" i="4" s="1"/>
  <c r="O33" i="4"/>
  <c r="Q33" i="4" s="1"/>
  <c r="Q13" i="4"/>
  <c r="D72" i="3"/>
  <c r="D87" i="3" s="1"/>
  <c r="N72" i="3"/>
  <c r="N87" i="3" s="1"/>
  <c r="I72" i="3"/>
  <c r="I87" i="3" s="1"/>
  <c r="S72" i="3"/>
  <c r="S87" i="3" s="1"/>
  <c r="S75" i="3"/>
  <c r="S90" i="3" s="1"/>
  <c r="N75" i="3"/>
  <c r="N90" i="3" s="1"/>
  <c r="I75" i="3"/>
  <c r="I90" i="3" s="1"/>
  <c r="D75" i="3"/>
  <c r="D90" i="3" s="1"/>
  <c r="D74" i="3"/>
  <c r="D89" i="3" s="1"/>
  <c r="N74" i="3"/>
  <c r="N89" i="3" s="1"/>
  <c r="I74" i="3"/>
  <c r="I89" i="3" s="1"/>
  <c r="S74" i="3"/>
  <c r="S89" i="3" s="1"/>
  <c r="D76" i="3"/>
  <c r="D91" i="3" s="1"/>
  <c r="S76" i="3"/>
  <c r="S91" i="3" s="1"/>
  <c r="N76" i="3"/>
  <c r="N91" i="3" s="1"/>
  <c r="I76" i="3"/>
  <c r="I91" i="3" s="1"/>
  <c r="S73" i="3"/>
  <c r="S88" i="3" s="1"/>
  <c r="N73" i="3"/>
  <c r="N88" i="3" s="1"/>
  <c r="I73" i="3"/>
  <c r="I88" i="3" s="1"/>
  <c r="D73" i="3"/>
  <c r="D88" i="3" s="1"/>
  <c r="D78" i="3"/>
  <c r="D93" i="3" s="1"/>
  <c r="N78" i="3"/>
  <c r="N93" i="3" s="1"/>
  <c r="I78" i="3"/>
  <c r="I93" i="3" s="1"/>
  <c r="S78" i="3"/>
  <c r="S93" i="3" s="1"/>
  <c r="S77" i="3"/>
  <c r="S92" i="3" s="1"/>
  <c r="N77" i="3"/>
  <c r="N92" i="3" s="1"/>
  <c r="I77" i="3"/>
  <c r="I92" i="3" s="1"/>
  <c r="D77" i="3"/>
  <c r="D92" i="3" s="1"/>
  <c r="D34" i="3"/>
  <c r="O36" i="4" l="1"/>
  <c r="Q28" i="4"/>
  <c r="O43" i="4"/>
  <c r="D101" i="3" s="1"/>
  <c r="D103" i="3" s="1"/>
  <c r="Q22" i="4"/>
  <c r="Q36" i="4"/>
  <c r="D46" i="3"/>
  <c r="D42" i="3"/>
  <c r="C19" i="2" l="1"/>
  <c r="D58" i="3"/>
  <c r="D54" i="3"/>
  <c r="S71" i="3" l="1"/>
  <c r="N71" i="3"/>
  <c r="I71" i="3"/>
  <c r="D71" i="3"/>
  <c r="D66" i="3"/>
  <c r="D86" i="3" l="1"/>
  <c r="D94" i="3" s="1"/>
  <c r="D79" i="3"/>
  <c r="D81" i="3" s="1"/>
  <c r="I86" i="3"/>
  <c r="I94" i="3" s="1"/>
  <c r="I96" i="3" s="1"/>
  <c r="I79" i="3"/>
  <c r="I81" i="3" s="1"/>
  <c r="N86" i="3"/>
  <c r="N94" i="3" s="1"/>
  <c r="N96" i="3" s="1"/>
  <c r="N79" i="3"/>
  <c r="N81" i="3" s="1"/>
  <c r="S86" i="3"/>
  <c r="S94" i="3" s="1"/>
  <c r="S96" i="3" s="1"/>
  <c r="S79" i="3"/>
  <c r="S81" i="3" s="1"/>
  <c r="C8" i="2" l="1"/>
  <c r="C13" i="2"/>
  <c r="C17" i="2" s="1"/>
</calcChain>
</file>

<file path=xl/sharedStrings.xml><?xml version="1.0" encoding="utf-8"?>
<sst xmlns="http://schemas.openxmlformats.org/spreadsheetml/2006/main" count="1512" uniqueCount="203">
  <si>
    <t>Ameren Corporation</t>
  </si>
  <si>
    <t>Total Activity</t>
  </si>
  <si>
    <t/>
  </si>
  <si>
    <r>
      <rPr>
        <b/>
        <sz val="9"/>
        <color theme="1"/>
        <rFont val="Helvetica"/>
      </rPr>
      <t xml:space="preserve">Total Activity between Periods : </t>
    </r>
    <r>
      <rPr>
        <sz val="9"/>
        <color theme="1"/>
        <rFont val="Helvetica"/>
      </rPr>
      <t>202201,202306</t>
    </r>
  </si>
  <si>
    <t>CORP</t>
  </si>
  <si>
    <t>Utility Code</t>
  </si>
  <si>
    <t>Business Division Code</t>
  </si>
  <si>
    <t>Major Minor Code</t>
  </si>
  <si>
    <t>Major Minor Name</t>
  </si>
  <si>
    <t>FMC Code</t>
  </si>
  <si>
    <t>RMC Code</t>
  </si>
  <si>
    <t>Transaction Type Code</t>
  </si>
  <si>
    <t>Product Code</t>
  </si>
  <si>
    <t>Activity Code</t>
  </si>
  <si>
    <t>Resource Type Code</t>
  </si>
  <si>
    <t>Total Activity USD</t>
  </si>
  <si>
    <t>UEC</t>
  </si>
  <si>
    <t>1</t>
  </si>
  <si>
    <t>63</t>
  </si>
  <si>
    <t>311000</t>
  </si>
  <si>
    <t>Production - Structures</t>
  </si>
  <si>
    <t>192</t>
  </si>
  <si>
    <t>2</t>
  </si>
  <si>
    <t>01</t>
  </si>
  <si>
    <t>TPIS</t>
  </si>
  <si>
    <t>EI</t>
  </si>
  <si>
    <t>312000</t>
  </si>
  <si>
    <t>Production - Boiler Plant Equipment</t>
  </si>
  <si>
    <t>314000</t>
  </si>
  <si>
    <t>Production - Turbo Gen/Water Wells</t>
  </si>
  <si>
    <t>315000</t>
  </si>
  <si>
    <t>Production - Accessory Electric Equipment</t>
  </si>
  <si>
    <t>316001</t>
  </si>
  <si>
    <t>Production - Misc Power Plant Equipment</t>
  </si>
  <si>
    <t>316004</t>
  </si>
  <si>
    <t>Production - Tools, Shop, Garage Equipment</t>
  </si>
  <si>
    <t>ACOS</t>
  </si>
  <si>
    <t>316021</t>
  </si>
  <si>
    <t>Misc Production - Office Furniture</t>
  </si>
  <si>
    <t>316022</t>
  </si>
  <si>
    <t>Misc Production - Office Equipment</t>
  </si>
  <si>
    <t>316023</t>
  </si>
  <si>
    <t>Misc Production - Computers</t>
  </si>
  <si>
    <t>Grand Total</t>
  </si>
  <si>
    <r>
      <rPr>
        <sz val="8"/>
        <color theme="1"/>
        <rFont val="Calibri"/>
      </rPr>
      <t xml:space="preserve">Corp Code is equal to </t>
    </r>
    <r>
      <rPr>
        <b/>
        <sz val="8"/>
        <color theme="1"/>
        <rFont val="Calibri"/>
      </rPr>
      <t>UEC</t>
    </r>
  </si>
  <si>
    <t>and</t>
  </si>
  <si>
    <r>
      <rPr>
        <sz val="8"/>
        <color theme="1"/>
        <rFont val="Calibri"/>
      </rPr>
      <t xml:space="preserve">Business Division Code is equal to </t>
    </r>
    <r>
      <rPr>
        <b/>
        <sz val="8"/>
        <color theme="1"/>
        <rFont val="Calibri"/>
      </rPr>
      <t>63</t>
    </r>
  </si>
  <si>
    <r>
      <rPr>
        <sz val="8"/>
        <color theme="1"/>
        <rFont val="Calibri"/>
      </rPr>
      <t xml:space="preserve">Level 20 Account Code is LIKE (pattern match) </t>
    </r>
    <r>
      <rPr>
        <b/>
        <sz val="8"/>
        <color theme="1"/>
        <rFont val="Calibri"/>
      </rPr>
      <t>310%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311%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312%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314%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315%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316%</t>
    </r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</si>
  <si>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2</t>
    </r>
  </si>
  <si>
    <r>
      <rPr>
        <sz val="8"/>
        <color theme="1"/>
        <rFont val="Calibri"/>
      </rPr>
      <t xml:space="preserve">Period is between </t>
    </r>
    <r>
      <rPr>
        <b/>
        <sz val="8"/>
        <color theme="1"/>
        <rFont val="Calibri"/>
      </rPr>
      <t>202201</t>
    </r>
    <r>
      <rPr>
        <sz val="8"/>
        <color theme="1"/>
        <rFont val="Calibri"/>
      </rPr>
      <t xml:space="preserve"> and </t>
    </r>
    <r>
      <rPr>
        <b/>
        <sz val="8"/>
        <color theme="1"/>
        <rFont val="Calibri"/>
      </rPr>
      <t>202306</t>
    </r>
  </si>
  <si>
    <r>
      <rPr>
        <sz val="8"/>
        <color theme="1"/>
        <rFont val="Calibri"/>
      </rPr>
      <t xml:space="preserve">GL Balance MTD is not equal to / is not in </t>
    </r>
    <r>
      <rPr>
        <b/>
        <sz val="8"/>
        <color theme="1"/>
        <rFont val="Calibri"/>
      </rPr>
      <t>0</t>
    </r>
  </si>
  <si>
    <r>
      <rPr>
        <sz val="8"/>
        <color theme="1"/>
        <rFont val="Calibri"/>
      </rPr>
      <t xml:space="preserve">Month Number is not equal to / is not in </t>
    </r>
    <r>
      <rPr>
        <b/>
        <sz val="8"/>
        <color theme="1"/>
        <rFont val="Calibri"/>
      </rPr>
      <t>13</t>
    </r>
  </si>
  <si>
    <t>Additions</t>
  </si>
  <si>
    <t>Rush Island</t>
  </si>
  <si>
    <t>Source is the Ameren Missouri Depreciation Study Case Number ER-2022-0337</t>
  </si>
  <si>
    <t>JAR-R-3</t>
  </si>
  <si>
    <t>effective</t>
  </si>
  <si>
    <t>Accounrt Number</t>
  </si>
  <si>
    <t>Account Description</t>
  </si>
  <si>
    <t xml:space="preserve">Plant in service </t>
  </si>
  <si>
    <t>Accumulated Depreciation Reserves</t>
  </si>
  <si>
    <t>Depreciation rates from ER-2019-0335</t>
  </si>
  <si>
    <t>Depreciation rates from ER-2021-0240</t>
  </si>
  <si>
    <t>Depreciation rates from ER-2022-0337</t>
  </si>
  <si>
    <t>Sctructures</t>
  </si>
  <si>
    <t>Boiler Plant Equipment</t>
  </si>
  <si>
    <t>Turbogenerator Unit</t>
  </si>
  <si>
    <t>Acessorsy Electric Equipment</t>
  </si>
  <si>
    <t>Misc. Power Plant Equipment</t>
  </si>
  <si>
    <t>Office Furniture Amort</t>
  </si>
  <si>
    <t>Office Equipment Amort</t>
  </si>
  <si>
    <t>Computers Amort</t>
  </si>
  <si>
    <t>Totals</t>
  </si>
  <si>
    <t>Assumptions made for the following Calculations:</t>
  </si>
  <si>
    <t>No Additions</t>
  </si>
  <si>
    <t>No Retirements</t>
  </si>
  <si>
    <t xml:space="preserve">Closure date will be based on 2 months provide September 24 or October24 </t>
  </si>
  <si>
    <t>Includes Ameren Missouri's Transfers from Schedule MJL-D2</t>
  </si>
  <si>
    <t>AMEREN MISSOURI</t>
  </si>
  <si>
    <t>PRO FORMA PLANT IN SERVICE COSTS</t>
  </si>
  <si>
    <t>EF-2024-0021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</si>
  <si>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</si>
  <si>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</si>
  <si>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</si>
  <si>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</si>
  <si>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</si>
  <si>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</si>
  <si>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</si>
  <si>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</si>
  <si>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</si>
  <si>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</si>
  <si>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LINE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</si>
  <si>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</si>
  <si>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</si>
  <si>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</si>
  <si>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</si>
  <si>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</si>
  <si>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</si>
  <si>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</si>
  <si>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</si>
  <si>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4</t>
    </r>
  </si>
  <si>
    <t>ARSS</t>
  </si>
  <si>
    <t>4</t>
  </si>
  <si>
    <t>78A</t>
  </si>
  <si>
    <t>98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</si>
  <si>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5</t>
    </r>
  </si>
  <si>
    <t>LU</t>
  </si>
  <si>
    <t>RTOL</t>
  </si>
  <si>
    <t>5</t>
  </si>
  <si>
    <t>LC</t>
  </si>
  <si>
    <t>3B</t>
  </si>
  <si>
    <t>RCOM</t>
  </si>
  <si>
    <t>RSSE</t>
  </si>
  <si>
    <t>RTRB</t>
  </si>
  <si>
    <t>RCWS</t>
  </si>
  <si>
    <t>EX</t>
  </si>
  <si>
    <t>RCON</t>
  </si>
  <si>
    <t>RVME</t>
  </si>
  <si>
    <t>RSBS</t>
  </si>
  <si>
    <t>LM</t>
  </si>
  <si>
    <t>LE</t>
  </si>
  <si>
    <t>RRWS</t>
  </si>
  <si>
    <t>40</t>
  </si>
  <si>
    <t>35</t>
  </si>
  <si>
    <t>RPWT</t>
  </si>
  <si>
    <t>RPRC</t>
  </si>
  <si>
    <t>RPFS</t>
  </si>
  <si>
    <t>ROFS</t>
  </si>
  <si>
    <t>RJAW</t>
  </si>
  <si>
    <t>RFAR</t>
  </si>
  <si>
    <t>RELV</t>
  </si>
  <si>
    <t>RDEM</t>
  </si>
  <si>
    <t>RCRC</t>
  </si>
  <si>
    <t>RCHP</t>
  </si>
  <si>
    <t>RBLR</t>
  </si>
  <si>
    <t>RBFW</t>
  </si>
  <si>
    <t>RBDS</t>
  </si>
  <si>
    <t>EC</t>
  </si>
  <si>
    <t>RBCW</t>
  </si>
  <si>
    <t>34</t>
  </si>
  <si>
    <t>40A</t>
  </si>
  <si>
    <t>WESS</t>
  </si>
  <si>
    <t>12A</t>
  </si>
  <si>
    <t>LR</t>
  </si>
  <si>
    <t>LENV</t>
  </si>
  <si>
    <t>01F</t>
  </si>
  <si>
    <t>RPDW</t>
  </si>
  <si>
    <t>RLTG</t>
  </si>
  <si>
    <t>39</t>
  </si>
  <si>
    <t>RHVA</t>
  </si>
  <si>
    <t>RBYS</t>
  </si>
  <si>
    <t>09M</t>
  </si>
  <si>
    <t>80</t>
  </si>
  <si>
    <t>09H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</si>
  <si>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6</t>
    </r>
  </si>
  <si>
    <t>DA</t>
  </si>
  <si>
    <t>6</t>
  </si>
  <si>
    <t>DEP</t>
  </si>
  <si>
    <t>Depreciation Provision</t>
  </si>
  <si>
    <t>316999</t>
  </si>
  <si>
    <t>311999</t>
  </si>
  <si>
    <t>Ameren Missouri</t>
  </si>
  <si>
    <t>Robinett Rebuttal Analysis</t>
  </si>
  <si>
    <t>JAR-R-3 Rebuttal</t>
  </si>
  <si>
    <t>Recon item</t>
  </si>
  <si>
    <t>Amount</t>
  </si>
  <si>
    <t>Notes</t>
  </si>
  <si>
    <t>316.23 Net</t>
  </si>
  <si>
    <t>Unreconciled items</t>
  </si>
  <si>
    <t>Not included in Robinett NBV</t>
  </si>
  <si>
    <t>Company transfers removed</t>
  </si>
  <si>
    <t>Excess depreciation in Robinett NBV (amortized account)</t>
  </si>
  <si>
    <t>Net Plant Investment in Software Assets at the Plant (FERC Major 303)</t>
  </si>
  <si>
    <t>Removals</t>
  </si>
  <si>
    <t>Depreciation</t>
  </si>
  <si>
    <t>Salvage</t>
  </si>
  <si>
    <t>Net Book Value of Plant Reconciliations to Schedule JAR-R-3</t>
  </si>
  <si>
    <t>NBV</t>
  </si>
  <si>
    <t>EF-2024-0021 - DECOMMISSIONING SEPTEMBER 1, 2024</t>
  </si>
  <si>
    <t>Schedule MJL-S2 Line 12 minus Line 25</t>
  </si>
  <si>
    <t>Schedule MJL-S5 Line 12 minus Line 25</t>
  </si>
  <si>
    <t>depreciation difference</t>
  </si>
  <si>
    <t xml:space="preserve">Scenario 1 - September 1, 2024 Retirement </t>
  </si>
  <si>
    <t>Scenario 2 - October 15, 2024 Retirement</t>
  </si>
  <si>
    <t>21 Depreciation study September 1, 2024 retirement date NBV</t>
  </si>
  <si>
    <t>Additions from January 1, 2022 through June 30, 2023 and proforma from July 1, 2023 through September 1, 2024</t>
  </si>
  <si>
    <t>Removal cost from January 1, 2022 through September 1, 2024 not included in Robinett NBV</t>
  </si>
  <si>
    <t>Salvage from January 1, 2022 through September 1, 2024 not included in Robinett NBV</t>
  </si>
  <si>
    <t>Depreciation on additions from January 1, 2022 through September 1, 2024 not included in Robinett NBV</t>
  </si>
  <si>
    <t>Company September 1, 2024 retirement date NBV</t>
  </si>
  <si>
    <t>21 Depreciation study October 15, 2024 retirement date NBV</t>
  </si>
  <si>
    <t>Additions from January 1, 2022 through June 30, 2023 and proforma from July 1, 2023 through October 15, 2024</t>
  </si>
  <si>
    <t>Removal cost from January 1, 2022 through October 15, 2024 not included in Robinett NBV</t>
  </si>
  <si>
    <t>Salvage from January 1, 2022 through October 15, 2024 not included in Robinett NBV</t>
  </si>
  <si>
    <t>Depreciation on additions from January 1, 2022 through October 15, 2024 not included in Robinett NBV</t>
  </si>
  <si>
    <t>Company October 15, 2024 retirement date NBV</t>
  </si>
  <si>
    <t>Robinett calculated depreciation January 1, 2022 through September 1, 2024 including Company transfers</t>
  </si>
  <si>
    <t>Total Company depreciation January 1, 2022 through September 1, 2024</t>
  </si>
  <si>
    <t>Robinett calculated depreciation January 1, 2022 through October 15, 2024 including Company transfers</t>
  </si>
  <si>
    <t>Total Company depreciation January 1, 2022 through October 15, 2024</t>
  </si>
  <si>
    <t>Company query depreciation January 1, 2022 through June 30, 2023</t>
  </si>
  <si>
    <t>Company incremental depreciation July 1, 2023 through September 1, 2024</t>
  </si>
  <si>
    <t>Company incremental depreciation July 1, 2023 through October 15,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</si>
</sst>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</font>
    <font>
      <sz val="11"/>
      <color rgb="FF0000FF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0" fontId="12" fillId="0" borderId="0"/>
    <xf numFmtId="43" fontId="1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40" fontId="6" fillId="3" borderId="4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0" xfId="2"/>
    <xf numFmtId="0" fontId="11" fillId="0" borderId="0" xfId="2" applyFont="1"/>
    <xf numFmtId="14" fontId="3" fillId="0" borderId="0" xfId="2" applyNumberForma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42" fontId="3" fillId="0" borderId="0" xfId="2" applyNumberFormat="1"/>
    <xf numFmtId="10" fontId="3" fillId="0" borderId="0" xfId="2" applyNumberFormat="1"/>
    <xf numFmtId="0" fontId="11" fillId="0" borderId="0" xfId="2" applyFont="1" applyAlignment="1">
      <alignment horizontal="right"/>
    </xf>
    <xf numFmtId="42" fontId="11" fillId="0" borderId="0" xfId="2" applyNumberFormat="1" applyFont="1"/>
    <xf numFmtId="0" fontId="3" fillId="4" borderId="0" xfId="2" applyFill="1"/>
    <xf numFmtId="0" fontId="13" fillId="0" borderId="0" xfId="3" applyFont="1" applyAlignment="1">
      <alignment horizontal="center"/>
    </xf>
    <xf numFmtId="0" fontId="14" fillId="0" borderId="0" xfId="3" applyFont="1"/>
    <xf numFmtId="0" fontId="15" fillId="0" borderId="0" xfId="3" applyFont="1" applyAlignment="1">
      <alignment horizontal="right"/>
    </xf>
    <xf numFmtId="0" fontId="13" fillId="0" borderId="0" xfId="3" applyFont="1"/>
    <xf numFmtId="0" fontId="16" fillId="0" borderId="0" xfId="3" applyFont="1" applyAlignment="1">
      <alignment horizontal="center"/>
    </xf>
    <xf numFmtId="0" fontId="13" fillId="0" borderId="5" xfId="3" applyFont="1" applyBorder="1" applyAlignment="1">
      <alignment horizontal="center"/>
    </xf>
    <xf numFmtId="0" fontId="17" fillId="0" borderId="0" xfId="3" applyFont="1"/>
    <xf numFmtId="0" fontId="14" fillId="0" borderId="0" xfId="3" applyFont="1" applyAlignment="1">
      <alignment horizontal="left"/>
    </xf>
    <xf numFmtId="164" fontId="14" fillId="0" borderId="0" xfId="4" applyNumberFormat="1" applyFont="1" applyFill="1"/>
    <xf numFmtId="0" fontId="14" fillId="0" borderId="0" xfId="3" applyFont="1" applyAlignment="1">
      <alignment horizontal="center"/>
    </xf>
    <xf numFmtId="164" fontId="14" fillId="0" borderId="0" xfId="3" applyNumberFormat="1" applyFont="1"/>
    <xf numFmtId="0" fontId="14" fillId="5" borderId="0" xfId="3" applyFont="1" applyFill="1" applyAlignment="1">
      <alignment horizontal="left"/>
    </xf>
    <xf numFmtId="0" fontId="14" fillId="5" borderId="0" xfId="3" applyFont="1" applyFill="1"/>
    <xf numFmtId="0" fontId="14" fillId="0" borderId="5" xfId="3" applyFont="1" applyBorder="1"/>
    <xf numFmtId="164" fontId="14" fillId="0" borderId="0" xfId="4" applyNumberFormat="1" applyFont="1" applyFill="1" applyBorder="1"/>
    <xf numFmtId="164" fontId="14" fillId="0" borderId="6" xfId="4" applyNumberFormat="1" applyFont="1" applyFill="1" applyBorder="1" applyAlignment="1">
      <alignment horizontal="left"/>
    </xf>
    <xf numFmtId="164" fontId="14" fillId="0" borderId="0" xfId="4" applyNumberFormat="1" applyFont="1" applyFill="1" applyBorder="1" applyAlignment="1">
      <alignment horizontal="left"/>
    </xf>
    <xf numFmtId="10" fontId="19" fillId="0" borderId="0" xfId="3" applyNumberFormat="1" applyFont="1"/>
    <xf numFmtId="43" fontId="14" fillId="5" borderId="0" xfId="3" applyNumberFormat="1" applyFont="1" applyFill="1"/>
    <xf numFmtId="0" fontId="14" fillId="0" borderId="0" xfId="3" applyFont="1" applyAlignment="1">
      <alignment horizontal="center" vertical="center"/>
    </xf>
    <xf numFmtId="164" fontId="3" fillId="0" borderId="0" xfId="1" applyNumberFormat="1" applyFont="1"/>
    <xf numFmtId="164" fontId="14" fillId="0" borderId="0" xfId="4" applyNumberFormat="1" applyFont="1" applyBorder="1"/>
    <xf numFmtId="43" fontId="14" fillId="0" borderId="0" xfId="3" applyNumberFormat="1" applyFont="1"/>
    <xf numFmtId="38" fontId="14" fillId="0" borderId="0" xfId="3" applyNumberFormat="1" applyFont="1"/>
    <xf numFmtId="164" fontId="14" fillId="0" borderId="7" xfId="3" applyNumberFormat="1" applyFont="1" applyBorder="1"/>
    <xf numFmtId="164" fontId="3" fillId="0" borderId="7" xfId="2" applyNumberFormat="1" applyBorder="1"/>
    <xf numFmtId="40" fontId="7" fillId="4" borderId="4" xfId="0" applyNumberFormat="1" applyFont="1" applyFill="1" applyBorder="1" applyAlignment="1">
      <alignment horizontal="right" vertical="top" wrapText="1"/>
    </xf>
    <xf numFmtId="0" fontId="20" fillId="0" borderId="0" xfId="0" applyFont="1"/>
    <xf numFmtId="164" fontId="20" fillId="0" borderId="0" xfId="1" applyNumberFormat="1" applyFont="1"/>
    <xf numFmtId="0" fontId="21" fillId="0" borderId="0" xfId="0" applyFont="1"/>
    <xf numFmtId="0" fontId="21" fillId="0" borderId="5" xfId="0" applyFont="1" applyBorder="1"/>
    <xf numFmtId="41" fontId="20" fillId="0" borderId="0" xfId="1" applyNumberFormat="1" applyFont="1"/>
    <xf numFmtId="41" fontId="21" fillId="0" borderId="5" xfId="1" applyNumberFormat="1" applyFont="1" applyBorder="1"/>
    <xf numFmtId="0" fontId="14" fillId="0" borderId="0" xfId="0" applyFont="1"/>
    <xf numFmtId="164" fontId="14" fillId="0" borderId="0" xfId="0" applyNumberFormat="1" applyFont="1"/>
    <xf numFmtId="164" fontId="20" fillId="0" borderId="0" xfId="1" applyNumberFormat="1" applyFont="1" applyFill="1"/>
    <xf numFmtId="164" fontId="21" fillId="0" borderId="5" xfId="1" applyNumberFormat="1" applyFont="1" applyFill="1" applyBorder="1"/>
    <xf numFmtId="41" fontId="20" fillId="0" borderId="0" xfId="1" applyNumberFormat="1" applyFont="1" applyFill="1"/>
    <xf numFmtId="0" fontId="2" fillId="0" borderId="0" xfId="2" applyFont="1"/>
    <xf numFmtId="0" fontId="1" fillId="0" borderId="0" xfId="2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3" fillId="0" borderId="0" xfId="3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lthe\Downloads\MJL-S4%20to%20S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MJL-S4"/>
      <sheetName val="SCHEDULE MJL-S5"/>
      <sheetName val="SCHEDULE MJL-S6"/>
    </sheetNames>
    <sheetDataSet>
      <sheetData sheetId="0">
        <row r="3">
          <cell r="A3" t="str">
            <v>EF-2024-0021 - DECOMMISSIONING OCTOBER 15, 2024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workbookViewId="0"/>
  </sheetViews>
  <sheetFormatPr defaultColWidth="8.7109375" defaultRowHeight="15" x14ac:dyDescent="0.25"/>
  <cols>
    <col min="1" max="1" width="8.7109375" style="47"/>
    <col min="2" max="2" width="59.5703125" style="47" bestFit="1" customWidth="1"/>
    <col min="3" max="3" width="15.28515625" style="48" bestFit="1" customWidth="1"/>
    <col min="4" max="4" width="74.5703125" style="47" bestFit="1" customWidth="1"/>
    <col min="5" max="7" width="8.7109375" style="47"/>
    <col min="8" max="8" width="11.5703125" style="47" bestFit="1" customWidth="1"/>
    <col min="9" max="16384" width="8.7109375" style="47"/>
  </cols>
  <sheetData>
    <row r="1" spans="1:4" x14ac:dyDescent="0.25">
      <c r="A1" s="49" t="s">
        <v>161</v>
      </c>
    </row>
    <row r="2" spans="1:4" x14ac:dyDescent="0.25">
      <c r="A2" s="49" t="s">
        <v>80</v>
      </c>
    </row>
    <row r="3" spans="1:4" x14ac:dyDescent="0.25">
      <c r="A3" s="49" t="s">
        <v>162</v>
      </c>
    </row>
    <row r="4" spans="1:4" x14ac:dyDescent="0.25">
      <c r="A4" s="49" t="s">
        <v>176</v>
      </c>
    </row>
    <row r="5" spans="1:4" x14ac:dyDescent="0.25">
      <c r="A5" s="49"/>
    </row>
    <row r="6" spans="1:4" x14ac:dyDescent="0.25">
      <c r="A6" s="49" t="s">
        <v>182</v>
      </c>
      <c r="C6" s="55"/>
    </row>
    <row r="7" spans="1:4" x14ac:dyDescent="0.25">
      <c r="B7" s="50" t="s">
        <v>164</v>
      </c>
      <c r="C7" s="56" t="s">
        <v>165</v>
      </c>
      <c r="D7" s="50" t="s">
        <v>166</v>
      </c>
    </row>
    <row r="8" spans="1:4" x14ac:dyDescent="0.25">
      <c r="B8" s="47" t="s">
        <v>163</v>
      </c>
      <c r="C8" s="57">
        <f>'21 Depreciation study'!D96</f>
        <v>447398779.36758375</v>
      </c>
      <c r="D8" s="47" t="s">
        <v>184</v>
      </c>
    </row>
    <row r="9" spans="1:4" x14ac:dyDescent="0.25">
      <c r="C9" s="57"/>
    </row>
    <row r="10" spans="1:4" x14ac:dyDescent="0.25">
      <c r="B10" s="47" t="s">
        <v>52</v>
      </c>
      <c r="C10" s="57">
        <f>Additions!L18+'SCHEDULE MJL-S2'!I17</f>
        <v>27024991.504099999</v>
      </c>
      <c r="D10" s="47" t="s">
        <v>185</v>
      </c>
    </row>
    <row r="11" spans="1:4" x14ac:dyDescent="0.25">
      <c r="B11" s="47" t="s">
        <v>173</v>
      </c>
      <c r="C11" s="57">
        <f>Removals!L84</f>
        <v>389140.6</v>
      </c>
      <c r="D11" s="47" t="s">
        <v>186</v>
      </c>
    </row>
    <row r="12" spans="1:4" x14ac:dyDescent="0.25">
      <c r="B12" s="47" t="s">
        <v>175</v>
      </c>
      <c r="C12" s="57">
        <f>Salvage!L10</f>
        <v>-44378.73</v>
      </c>
      <c r="D12" s="47" t="s">
        <v>187</v>
      </c>
    </row>
    <row r="13" spans="1:4" x14ac:dyDescent="0.25">
      <c r="B13" s="47" t="s">
        <v>174</v>
      </c>
      <c r="C13" s="57">
        <f>'21 Depreciation study'!D103</f>
        <v>-1635470.7158665359</v>
      </c>
      <c r="D13" s="47" t="s">
        <v>188</v>
      </c>
    </row>
    <row r="14" spans="1:4" x14ac:dyDescent="0.25">
      <c r="B14" s="47" t="s">
        <v>172</v>
      </c>
      <c r="C14" s="57">
        <f>'SCHEDULE MJL-S2'!Q11-'SCHEDULE MJL-S2'!Q25</f>
        <v>4766.519999999553</v>
      </c>
      <c r="D14" s="47" t="s">
        <v>169</v>
      </c>
    </row>
    <row r="15" spans="1:4" x14ac:dyDescent="0.25">
      <c r="B15" s="47" t="s">
        <v>167</v>
      </c>
      <c r="C15" s="57">
        <f>('SCHEDULE MJL-S2'!Q20-'SCHEDULE MJL-S2'!E34-'SCHEDULE MJL-S2'!O34)*-1</f>
        <v>159595.52066666656</v>
      </c>
      <c r="D15" s="47" t="s">
        <v>171</v>
      </c>
    </row>
    <row r="16" spans="1:4" x14ac:dyDescent="0.25">
      <c r="C16" s="57"/>
    </row>
    <row r="17" spans="1:4" x14ac:dyDescent="0.25">
      <c r="B17" s="47" t="s">
        <v>168</v>
      </c>
      <c r="C17" s="57">
        <f>C19-SUM(C8:C15)</f>
        <v>0.10000026226043701</v>
      </c>
    </row>
    <row r="18" spans="1:4" x14ac:dyDescent="0.25">
      <c r="C18" s="57"/>
    </row>
    <row r="19" spans="1:4" x14ac:dyDescent="0.25">
      <c r="B19" s="47" t="s">
        <v>179</v>
      </c>
      <c r="C19" s="57">
        <f>'SCHEDULE MJL-S2'!Q22-'SCHEDULE MJL-S2'!Q36</f>
        <v>473297424.16648418</v>
      </c>
      <c r="D19" s="47" t="s">
        <v>189</v>
      </c>
    </row>
    <row r="20" spans="1:4" x14ac:dyDescent="0.25">
      <c r="C20" s="57"/>
    </row>
    <row r="21" spans="1:4" x14ac:dyDescent="0.25">
      <c r="C21" s="57"/>
    </row>
    <row r="22" spans="1:4" x14ac:dyDescent="0.25">
      <c r="A22" s="49" t="s">
        <v>183</v>
      </c>
      <c r="C22" s="51"/>
    </row>
    <row r="23" spans="1:4" x14ac:dyDescent="0.25">
      <c r="B23" s="50" t="s">
        <v>164</v>
      </c>
      <c r="C23" s="52" t="s">
        <v>165</v>
      </c>
      <c r="D23" s="50" t="s">
        <v>166</v>
      </c>
    </row>
    <row r="24" spans="1:4" x14ac:dyDescent="0.25">
      <c r="B24" s="47" t="s">
        <v>163</v>
      </c>
      <c r="C24" s="51">
        <f>'21 Depreciation study'!S96</f>
        <v>442870805.36982232</v>
      </c>
      <c r="D24" s="47" t="s">
        <v>190</v>
      </c>
    </row>
    <row r="25" spans="1:4" x14ac:dyDescent="0.25">
      <c r="C25" s="51"/>
    </row>
    <row r="26" spans="1:4" x14ac:dyDescent="0.25">
      <c r="B26" s="47" t="s">
        <v>52</v>
      </c>
      <c r="C26" s="51">
        <f>Additions!L18+'SCHEDULE MJL-S6'!I17</f>
        <v>27024991.504099999</v>
      </c>
      <c r="D26" s="47" t="s">
        <v>191</v>
      </c>
    </row>
    <row r="27" spans="1:4" x14ac:dyDescent="0.25">
      <c r="B27" s="47" t="s">
        <v>173</v>
      </c>
      <c r="C27" s="51">
        <f>Removals!L84</f>
        <v>389140.6</v>
      </c>
      <c r="D27" s="47" t="s">
        <v>192</v>
      </c>
    </row>
    <row r="28" spans="1:4" x14ac:dyDescent="0.25">
      <c r="B28" s="47" t="s">
        <v>175</v>
      </c>
      <c r="C28" s="51">
        <f>Salvage!L10</f>
        <v>-44378.73</v>
      </c>
      <c r="D28" s="47" t="s">
        <v>193</v>
      </c>
    </row>
    <row r="29" spans="1:4" x14ac:dyDescent="0.25">
      <c r="B29" s="47" t="s">
        <v>174</v>
      </c>
      <c r="C29" s="51">
        <f>'21 Depreciation study'!S103</f>
        <v>-1511418.9279211015</v>
      </c>
      <c r="D29" s="47" t="s">
        <v>194</v>
      </c>
    </row>
    <row r="30" spans="1:4" x14ac:dyDescent="0.25">
      <c r="B30" s="47" t="s">
        <v>172</v>
      </c>
      <c r="C30" s="51">
        <f>'SCHEDULE MJL-S6'!Q11-'SCHEDULE MJL-S6'!Q25</f>
        <v>4116.5399999995716</v>
      </c>
      <c r="D30" s="47" t="s">
        <v>169</v>
      </c>
    </row>
    <row r="31" spans="1:4" x14ac:dyDescent="0.25">
      <c r="B31" s="47" t="s">
        <v>167</v>
      </c>
      <c r="C31" s="51">
        <f>('SCHEDULE MJL-S6'!Q20-'SCHEDULE MJL-S6'!E34-'SCHEDULE MJL-S6'!O34)*-1</f>
        <v>192874.07716666657</v>
      </c>
      <c r="D31" s="47" t="s">
        <v>171</v>
      </c>
    </row>
    <row r="32" spans="1:4" x14ac:dyDescent="0.25">
      <c r="C32" s="51"/>
    </row>
    <row r="33" spans="2:4" x14ac:dyDescent="0.25">
      <c r="B33" s="47" t="s">
        <v>168</v>
      </c>
      <c r="C33" s="51">
        <f>C35-SUM(C24:C31)</f>
        <v>0.10000014305114746</v>
      </c>
    </row>
    <row r="34" spans="2:4" x14ac:dyDescent="0.25">
      <c r="C34" s="51"/>
    </row>
    <row r="35" spans="2:4" x14ac:dyDescent="0.25">
      <c r="B35" s="47" t="s">
        <v>180</v>
      </c>
      <c r="C35" s="51">
        <f>'SCHEDULE MJL-S6'!Q22-'SCHEDULE MJL-S6'!Q36</f>
        <v>468926130.53316808</v>
      </c>
      <c r="D35" s="47" t="s">
        <v>195</v>
      </c>
    </row>
  </sheetData>
  <printOptions horizontalCentered="1"/>
  <pageMargins left="0.25" right="0.25" top="0.75" bottom="0.75" header="0.3" footer="0.3"/>
  <pageSetup scale="76" orientation="landscape" r:id="rId1"/>
  <headerFooter>
    <oddFooter>&amp;RSCHEDULE MJL-S9 'RECONCILIATION'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workbookViewId="0">
      <selection activeCell="L18" sqref="L18"/>
    </sheetView>
  </sheetViews>
  <sheetFormatPr defaultRowHeight="15" x14ac:dyDescent="0.25"/>
  <cols>
    <col min="1" max="1" width="24.28515625" customWidth="1"/>
    <col min="2" max="2" width="13.28515625" customWidth="1"/>
    <col min="3" max="3" width="7.42578125" customWidth="1"/>
    <col min="4" max="4" width="6.28515625" customWidth="1"/>
    <col min="5" max="5" width="38.710937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11.28515625" customWidth="1"/>
    <col min="13" max="14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21</v>
      </c>
      <c r="H7" s="4" t="s">
        <v>22</v>
      </c>
      <c r="I7" s="4" t="s">
        <v>23</v>
      </c>
      <c r="J7" s="4" t="s">
        <v>24</v>
      </c>
      <c r="K7" s="4" t="s">
        <v>25</v>
      </c>
      <c r="L7" s="5">
        <v>10831382.58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26</v>
      </c>
      <c r="E8" s="4" t="s">
        <v>27</v>
      </c>
      <c r="F8" s="4" t="s">
        <v>21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5">
        <v>-1998132.67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28</v>
      </c>
      <c r="E9" s="4" t="s">
        <v>29</v>
      </c>
      <c r="F9" s="4" t="s">
        <v>21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5">
        <v>2861276.82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30</v>
      </c>
      <c r="E10" s="4" t="s">
        <v>31</v>
      </c>
      <c r="F10" s="4" t="s">
        <v>21</v>
      </c>
      <c r="G10" s="4" t="s">
        <v>21</v>
      </c>
      <c r="H10" s="4" t="s">
        <v>22</v>
      </c>
      <c r="I10" s="4" t="s">
        <v>23</v>
      </c>
      <c r="J10" s="4" t="s">
        <v>24</v>
      </c>
      <c r="K10" s="4" t="s">
        <v>25</v>
      </c>
      <c r="L10" s="5">
        <v>9119801.8900000006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32</v>
      </c>
      <c r="E11" s="4" t="s">
        <v>33</v>
      </c>
      <c r="F11" s="4" t="s">
        <v>21</v>
      </c>
      <c r="G11" s="4" t="s">
        <v>21</v>
      </c>
      <c r="H11" s="4" t="s">
        <v>22</v>
      </c>
      <c r="I11" s="4" t="s">
        <v>23</v>
      </c>
      <c r="J11" s="4" t="s">
        <v>24</v>
      </c>
      <c r="K11" s="4" t="s">
        <v>25</v>
      </c>
      <c r="L11" s="5">
        <v>3802837.9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34</v>
      </c>
      <c r="E12" s="4" t="s">
        <v>35</v>
      </c>
      <c r="F12" s="4" t="s">
        <v>21</v>
      </c>
      <c r="G12" s="4" t="s">
        <v>21</v>
      </c>
      <c r="H12" s="4" t="s">
        <v>22</v>
      </c>
      <c r="I12" s="4" t="s">
        <v>23</v>
      </c>
      <c r="J12" s="4" t="s">
        <v>36</v>
      </c>
      <c r="K12" s="4" t="s">
        <v>25</v>
      </c>
      <c r="L12" s="5">
        <v>17010.04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34</v>
      </c>
      <c r="E13" s="4" t="s">
        <v>35</v>
      </c>
      <c r="F13" s="4" t="s">
        <v>21</v>
      </c>
      <c r="G13" s="4" t="s">
        <v>21</v>
      </c>
      <c r="H13" s="4" t="s">
        <v>22</v>
      </c>
      <c r="I13" s="4" t="s">
        <v>23</v>
      </c>
      <c r="J13" s="4" t="s">
        <v>24</v>
      </c>
      <c r="K13" s="4" t="s">
        <v>25</v>
      </c>
      <c r="L13" s="5">
        <v>523362.23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37</v>
      </c>
      <c r="E14" s="4" t="s">
        <v>38</v>
      </c>
      <c r="F14" s="4" t="s">
        <v>21</v>
      </c>
      <c r="G14" s="4" t="s">
        <v>21</v>
      </c>
      <c r="H14" s="4" t="s">
        <v>22</v>
      </c>
      <c r="I14" s="4" t="s">
        <v>23</v>
      </c>
      <c r="J14" s="4" t="s">
        <v>36</v>
      </c>
      <c r="K14" s="4" t="s">
        <v>25</v>
      </c>
      <c r="L14" s="5">
        <v>-17010.04</v>
      </c>
    </row>
    <row r="15" spans="1:12" x14ac:dyDescent="0.25">
      <c r="A15" s="4" t="s">
        <v>16</v>
      </c>
      <c r="B15" s="4" t="s">
        <v>17</v>
      </c>
      <c r="C15" s="4" t="s">
        <v>18</v>
      </c>
      <c r="D15" s="4" t="s">
        <v>37</v>
      </c>
      <c r="E15" s="4" t="s">
        <v>38</v>
      </c>
      <c r="F15" s="4" t="s">
        <v>21</v>
      </c>
      <c r="G15" s="4" t="s">
        <v>21</v>
      </c>
      <c r="H15" s="4" t="s">
        <v>22</v>
      </c>
      <c r="I15" s="4" t="s">
        <v>23</v>
      </c>
      <c r="J15" s="4" t="s">
        <v>24</v>
      </c>
      <c r="K15" s="4" t="s">
        <v>25</v>
      </c>
      <c r="L15" s="5">
        <v>7547.27</v>
      </c>
    </row>
    <row r="16" spans="1:12" x14ac:dyDescent="0.25">
      <c r="A16" s="4" t="s">
        <v>16</v>
      </c>
      <c r="B16" s="4" t="s">
        <v>17</v>
      </c>
      <c r="C16" s="4" t="s">
        <v>18</v>
      </c>
      <c r="D16" s="4" t="s">
        <v>39</v>
      </c>
      <c r="E16" s="4" t="s">
        <v>40</v>
      </c>
      <c r="F16" s="4" t="s">
        <v>21</v>
      </c>
      <c r="G16" s="4" t="s">
        <v>21</v>
      </c>
      <c r="H16" s="4" t="s">
        <v>22</v>
      </c>
      <c r="I16" s="4" t="s">
        <v>23</v>
      </c>
      <c r="J16" s="4" t="s">
        <v>24</v>
      </c>
      <c r="K16" s="4" t="s">
        <v>25</v>
      </c>
      <c r="L16" s="5">
        <v>71461.06</v>
      </c>
    </row>
    <row r="17" spans="1:12" x14ac:dyDescent="0.25">
      <c r="A17" s="4" t="s">
        <v>16</v>
      </c>
      <c r="B17" s="4" t="s">
        <v>17</v>
      </c>
      <c r="C17" s="4" t="s">
        <v>18</v>
      </c>
      <c r="D17" s="4" t="s">
        <v>41</v>
      </c>
      <c r="E17" s="4" t="s">
        <v>42</v>
      </c>
      <c r="F17" s="4" t="s">
        <v>21</v>
      </c>
      <c r="G17" s="4" t="s">
        <v>21</v>
      </c>
      <c r="H17" s="4" t="s">
        <v>22</v>
      </c>
      <c r="I17" s="4" t="s">
        <v>23</v>
      </c>
      <c r="J17" s="4" t="s">
        <v>24</v>
      </c>
      <c r="K17" s="4" t="s">
        <v>25</v>
      </c>
      <c r="L17" s="5">
        <v>-30002.52</v>
      </c>
    </row>
    <row r="18" spans="1:12" x14ac:dyDescent="0.25">
      <c r="A18" s="6" t="s">
        <v>43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46">
        <v>25189534.559999999</v>
      </c>
    </row>
    <row r="19" spans="1:12" x14ac:dyDescent="0.25">
      <c r="A19" s="1" t="s">
        <v>2</v>
      </c>
    </row>
    <row r="20" spans="1:12" x14ac:dyDescent="0.25">
      <c r="A20" s="1"/>
      <c r="B20" s="9" t="s">
        <v>44</v>
      </c>
    </row>
    <row r="21" spans="1:12" x14ac:dyDescent="0.25">
      <c r="A21" s="8" t="s">
        <v>45</v>
      </c>
      <c r="B21" s="9" t="s">
        <v>46</v>
      </c>
    </row>
    <row r="22" spans="1:12" x14ac:dyDescent="0.25">
      <c r="A22" s="8" t="s">
        <v>45</v>
      </c>
      <c r="B22" s="9" t="s">
        <v>47</v>
      </c>
    </row>
    <row r="23" spans="1:12" x14ac:dyDescent="0.25">
      <c r="A23" s="8" t="s">
        <v>45</v>
      </c>
      <c r="B23" s="9" t="s">
        <v>48</v>
      </c>
    </row>
    <row r="24" spans="1:12" x14ac:dyDescent="0.25">
      <c r="A24" s="8" t="s">
        <v>45</v>
      </c>
      <c r="B24" s="9" t="s">
        <v>49</v>
      </c>
    </row>
    <row r="25" spans="1:12" x14ac:dyDescent="0.25">
      <c r="A25" s="8" t="s">
        <v>45</v>
      </c>
      <c r="B25" s="9" t="s">
        <v>50</v>
      </c>
    </row>
    <row r="26" spans="1:12" x14ac:dyDescent="0.25">
      <c r="A26" s="8" t="s">
        <v>45</v>
      </c>
      <c r="B26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2" orientation="portrait" r:id="rId1"/>
  <headerFooter>
    <oddFooter>&amp;RSCHEDULE MJL-S9 'ADDITIONS'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>
      <selection activeCell="L84" sqref="L84"/>
    </sheetView>
  </sheetViews>
  <sheetFormatPr defaultRowHeight="15" x14ac:dyDescent="0.25"/>
  <cols>
    <col min="1" max="1" width="24.140625" customWidth="1"/>
    <col min="2" max="2" width="16" customWidth="1"/>
    <col min="3" max="3" width="7.42578125" customWidth="1"/>
    <col min="4" max="4" width="6.28515625" customWidth="1"/>
    <col min="5" max="5" width="27.14062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9" customWidth="1"/>
    <col min="13" max="15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153</v>
      </c>
      <c r="G7" s="4" t="s">
        <v>153</v>
      </c>
      <c r="H7" s="4" t="s">
        <v>108</v>
      </c>
      <c r="I7" s="4" t="s">
        <v>23</v>
      </c>
      <c r="J7" s="4" t="s">
        <v>141</v>
      </c>
      <c r="K7" s="4" t="s">
        <v>139</v>
      </c>
      <c r="L7" s="5">
        <v>1700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153</v>
      </c>
      <c r="G8" s="4" t="s">
        <v>153</v>
      </c>
      <c r="H8" s="4" t="s">
        <v>108</v>
      </c>
      <c r="I8" s="4" t="s">
        <v>23</v>
      </c>
      <c r="J8" s="4" t="s">
        <v>141</v>
      </c>
      <c r="K8" s="4" t="s">
        <v>115</v>
      </c>
      <c r="L8" s="5">
        <v>42000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142</v>
      </c>
      <c r="G9" s="4" t="s">
        <v>142</v>
      </c>
      <c r="H9" s="4" t="s">
        <v>108</v>
      </c>
      <c r="I9" s="4" t="s">
        <v>23</v>
      </c>
      <c r="J9" s="4" t="s">
        <v>141</v>
      </c>
      <c r="K9" s="4" t="s">
        <v>152</v>
      </c>
      <c r="L9" s="5">
        <v>40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103</v>
      </c>
      <c r="G10" s="4" t="s">
        <v>151</v>
      </c>
      <c r="H10" s="4" t="s">
        <v>108</v>
      </c>
      <c r="I10" s="4" t="s">
        <v>23</v>
      </c>
      <c r="J10" s="4" t="s">
        <v>149</v>
      </c>
      <c r="K10" s="4" t="s">
        <v>137</v>
      </c>
      <c r="L10" s="5">
        <v>103783.73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103</v>
      </c>
      <c r="G11" s="4" t="s">
        <v>140</v>
      </c>
      <c r="H11" s="4" t="s">
        <v>108</v>
      </c>
      <c r="I11" s="4" t="s">
        <v>23</v>
      </c>
      <c r="J11" s="4" t="s">
        <v>150</v>
      </c>
      <c r="K11" s="4" t="s">
        <v>110</v>
      </c>
      <c r="L11" s="5">
        <v>440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103</v>
      </c>
      <c r="G12" s="4" t="s">
        <v>140</v>
      </c>
      <c r="H12" s="4" t="s">
        <v>108</v>
      </c>
      <c r="I12" s="4" t="s">
        <v>23</v>
      </c>
      <c r="J12" s="4" t="s">
        <v>150</v>
      </c>
      <c r="K12" s="4" t="s">
        <v>109</v>
      </c>
      <c r="L12" s="5">
        <v>48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103</v>
      </c>
      <c r="G13" s="4" t="s">
        <v>140</v>
      </c>
      <c r="H13" s="4" t="s">
        <v>108</v>
      </c>
      <c r="I13" s="4" t="s">
        <v>23</v>
      </c>
      <c r="J13" s="4" t="s">
        <v>150</v>
      </c>
      <c r="K13" s="4" t="s">
        <v>106</v>
      </c>
      <c r="L13" s="5">
        <v>1269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103</v>
      </c>
      <c r="G14" s="4" t="s">
        <v>103</v>
      </c>
      <c r="H14" s="4" t="s">
        <v>108</v>
      </c>
      <c r="I14" s="4" t="s">
        <v>23</v>
      </c>
      <c r="J14" s="4" t="s">
        <v>150</v>
      </c>
      <c r="K14" s="4" t="s">
        <v>25</v>
      </c>
      <c r="L14" s="5">
        <v>5000</v>
      </c>
    </row>
    <row r="15" spans="1:12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103</v>
      </c>
      <c r="G15" s="4" t="s">
        <v>103</v>
      </c>
      <c r="H15" s="4" t="s">
        <v>108</v>
      </c>
      <c r="I15" s="4" t="s">
        <v>23</v>
      </c>
      <c r="J15" s="4" t="s">
        <v>149</v>
      </c>
      <c r="K15" s="4" t="s">
        <v>110</v>
      </c>
      <c r="L15" s="5">
        <v>270</v>
      </c>
    </row>
    <row r="16" spans="1:12" x14ac:dyDescent="0.25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103</v>
      </c>
      <c r="G16" s="4" t="s">
        <v>103</v>
      </c>
      <c r="H16" s="4" t="s">
        <v>108</v>
      </c>
      <c r="I16" s="4" t="s">
        <v>23</v>
      </c>
      <c r="J16" s="4" t="s">
        <v>149</v>
      </c>
      <c r="K16" s="4" t="s">
        <v>25</v>
      </c>
      <c r="L16" s="5">
        <v>1300</v>
      </c>
    </row>
    <row r="17" spans="1:12" x14ac:dyDescent="0.25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103</v>
      </c>
      <c r="G17" s="4" t="s">
        <v>103</v>
      </c>
      <c r="H17" s="4" t="s">
        <v>108</v>
      </c>
      <c r="I17" s="4" t="s">
        <v>23</v>
      </c>
      <c r="J17" s="4" t="s">
        <v>149</v>
      </c>
      <c r="K17" s="4" t="s">
        <v>109</v>
      </c>
      <c r="L17" s="5">
        <v>28</v>
      </c>
    </row>
    <row r="18" spans="1:12" x14ac:dyDescent="0.25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103</v>
      </c>
      <c r="G18" s="4" t="s">
        <v>103</v>
      </c>
      <c r="H18" s="4" t="s">
        <v>108</v>
      </c>
      <c r="I18" s="4" t="s">
        <v>23</v>
      </c>
      <c r="J18" s="4" t="s">
        <v>149</v>
      </c>
      <c r="K18" s="4" t="s">
        <v>106</v>
      </c>
      <c r="L18" s="5">
        <v>689</v>
      </c>
    </row>
    <row r="19" spans="1:12" x14ac:dyDescent="0.25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103</v>
      </c>
      <c r="G19" s="4" t="s">
        <v>103</v>
      </c>
      <c r="H19" s="4" t="s">
        <v>108</v>
      </c>
      <c r="I19" s="4" t="s">
        <v>23</v>
      </c>
      <c r="J19" s="4" t="s">
        <v>147</v>
      </c>
      <c r="K19" s="4" t="s">
        <v>148</v>
      </c>
      <c r="L19" s="5">
        <v>196</v>
      </c>
    </row>
    <row r="20" spans="1:12" x14ac:dyDescent="0.25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103</v>
      </c>
      <c r="G20" s="4" t="s">
        <v>103</v>
      </c>
      <c r="H20" s="4" t="s">
        <v>108</v>
      </c>
      <c r="I20" s="4" t="s">
        <v>23</v>
      </c>
      <c r="J20" s="4" t="s">
        <v>147</v>
      </c>
      <c r="K20" s="4" t="s">
        <v>110</v>
      </c>
      <c r="L20" s="5">
        <v>8832</v>
      </c>
    </row>
    <row r="21" spans="1:12" x14ac:dyDescent="0.25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103</v>
      </c>
      <c r="G21" s="4" t="s">
        <v>103</v>
      </c>
      <c r="H21" s="4" t="s">
        <v>108</v>
      </c>
      <c r="I21" s="4" t="s">
        <v>23</v>
      </c>
      <c r="J21" s="4" t="s">
        <v>147</v>
      </c>
      <c r="K21" s="4" t="s">
        <v>25</v>
      </c>
      <c r="L21" s="5">
        <v>5000</v>
      </c>
    </row>
    <row r="22" spans="1:12" x14ac:dyDescent="0.25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103</v>
      </c>
      <c r="G22" s="4" t="s">
        <v>103</v>
      </c>
      <c r="H22" s="4" t="s">
        <v>108</v>
      </c>
      <c r="I22" s="4" t="s">
        <v>23</v>
      </c>
      <c r="J22" s="4" t="s">
        <v>147</v>
      </c>
      <c r="K22" s="4" t="s">
        <v>109</v>
      </c>
      <c r="L22" s="5">
        <v>896</v>
      </c>
    </row>
    <row r="23" spans="1:12" x14ac:dyDescent="0.25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103</v>
      </c>
      <c r="G23" s="4" t="s">
        <v>103</v>
      </c>
      <c r="H23" s="4" t="s">
        <v>108</v>
      </c>
      <c r="I23" s="4" t="s">
        <v>23</v>
      </c>
      <c r="J23" s="4" t="s">
        <v>147</v>
      </c>
      <c r="K23" s="4" t="s">
        <v>106</v>
      </c>
      <c r="L23" s="5">
        <v>22540</v>
      </c>
    </row>
    <row r="24" spans="1:12" x14ac:dyDescent="0.25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103</v>
      </c>
      <c r="G24" s="4" t="s">
        <v>103</v>
      </c>
      <c r="H24" s="4" t="s">
        <v>108</v>
      </c>
      <c r="I24" s="4" t="s">
        <v>23</v>
      </c>
      <c r="J24" s="4" t="s">
        <v>146</v>
      </c>
      <c r="K24" s="4" t="s">
        <v>25</v>
      </c>
      <c r="L24" s="5">
        <v>2000</v>
      </c>
    </row>
    <row r="25" spans="1:12" x14ac:dyDescent="0.25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103</v>
      </c>
      <c r="G25" s="4" t="s">
        <v>103</v>
      </c>
      <c r="H25" s="4" t="s">
        <v>108</v>
      </c>
      <c r="I25" s="4" t="s">
        <v>23</v>
      </c>
      <c r="J25" s="4" t="s">
        <v>126</v>
      </c>
      <c r="K25" s="4" t="s">
        <v>110</v>
      </c>
      <c r="L25" s="5">
        <v>34</v>
      </c>
    </row>
    <row r="26" spans="1:12" x14ac:dyDescent="0.25">
      <c r="A26" s="4" t="s">
        <v>16</v>
      </c>
      <c r="B26" s="4" t="s">
        <v>17</v>
      </c>
      <c r="C26" s="4" t="s">
        <v>18</v>
      </c>
      <c r="D26" s="4" t="s">
        <v>19</v>
      </c>
      <c r="E26" s="4" t="s">
        <v>20</v>
      </c>
      <c r="F26" s="4" t="s">
        <v>103</v>
      </c>
      <c r="G26" s="4" t="s">
        <v>103</v>
      </c>
      <c r="H26" s="4" t="s">
        <v>108</v>
      </c>
      <c r="I26" s="4" t="s">
        <v>23</v>
      </c>
      <c r="J26" s="4" t="s">
        <v>126</v>
      </c>
      <c r="K26" s="4" t="s">
        <v>109</v>
      </c>
      <c r="L26" s="5">
        <v>3</v>
      </c>
    </row>
    <row r="27" spans="1:12" x14ac:dyDescent="0.25">
      <c r="A27" s="4" t="s">
        <v>16</v>
      </c>
      <c r="B27" s="4" t="s">
        <v>17</v>
      </c>
      <c r="C27" s="4" t="s">
        <v>18</v>
      </c>
      <c r="D27" s="4" t="s">
        <v>19</v>
      </c>
      <c r="E27" s="4" t="s">
        <v>20</v>
      </c>
      <c r="F27" s="4" t="s">
        <v>103</v>
      </c>
      <c r="G27" s="4" t="s">
        <v>103</v>
      </c>
      <c r="H27" s="4" t="s">
        <v>108</v>
      </c>
      <c r="I27" s="4" t="s">
        <v>23</v>
      </c>
      <c r="J27" s="4" t="s">
        <v>126</v>
      </c>
      <c r="K27" s="4" t="s">
        <v>106</v>
      </c>
      <c r="L27" s="5">
        <v>86</v>
      </c>
    </row>
    <row r="28" spans="1:12" x14ac:dyDescent="0.25">
      <c r="A28" s="4" t="s">
        <v>16</v>
      </c>
      <c r="B28" s="4" t="s">
        <v>17</v>
      </c>
      <c r="C28" s="4" t="s">
        <v>18</v>
      </c>
      <c r="D28" s="4" t="s">
        <v>26</v>
      </c>
      <c r="E28" s="4" t="s">
        <v>27</v>
      </c>
      <c r="F28" s="4" t="s">
        <v>145</v>
      </c>
      <c r="G28" s="4" t="s">
        <v>145</v>
      </c>
      <c r="H28" s="4" t="s">
        <v>108</v>
      </c>
      <c r="I28" s="4" t="s">
        <v>23</v>
      </c>
      <c r="J28" s="4" t="s">
        <v>144</v>
      </c>
      <c r="K28" s="4" t="s">
        <v>110</v>
      </c>
      <c r="L28" s="5">
        <v>77</v>
      </c>
    </row>
    <row r="29" spans="1:12" x14ac:dyDescent="0.25">
      <c r="A29" s="4" t="s">
        <v>16</v>
      </c>
      <c r="B29" s="4" t="s">
        <v>17</v>
      </c>
      <c r="C29" s="4" t="s">
        <v>18</v>
      </c>
      <c r="D29" s="4" t="s">
        <v>26</v>
      </c>
      <c r="E29" s="4" t="s">
        <v>27</v>
      </c>
      <c r="F29" s="4" t="s">
        <v>145</v>
      </c>
      <c r="G29" s="4" t="s">
        <v>145</v>
      </c>
      <c r="H29" s="4" t="s">
        <v>108</v>
      </c>
      <c r="I29" s="4" t="s">
        <v>23</v>
      </c>
      <c r="J29" s="4" t="s">
        <v>144</v>
      </c>
      <c r="K29" s="4" t="s">
        <v>120</v>
      </c>
      <c r="L29" s="5">
        <v>44</v>
      </c>
    </row>
    <row r="30" spans="1:12" x14ac:dyDescent="0.25">
      <c r="A30" s="4" t="s">
        <v>16</v>
      </c>
      <c r="B30" s="4" t="s">
        <v>17</v>
      </c>
      <c r="C30" s="4" t="s">
        <v>18</v>
      </c>
      <c r="D30" s="4" t="s">
        <v>26</v>
      </c>
      <c r="E30" s="4" t="s">
        <v>27</v>
      </c>
      <c r="F30" s="4" t="s">
        <v>145</v>
      </c>
      <c r="G30" s="4" t="s">
        <v>145</v>
      </c>
      <c r="H30" s="4" t="s">
        <v>108</v>
      </c>
      <c r="I30" s="4" t="s">
        <v>23</v>
      </c>
      <c r="J30" s="4" t="s">
        <v>144</v>
      </c>
      <c r="K30" s="4" t="s">
        <v>119</v>
      </c>
      <c r="L30" s="5">
        <v>140</v>
      </c>
    </row>
    <row r="31" spans="1:12" x14ac:dyDescent="0.25">
      <c r="A31" s="4" t="s">
        <v>16</v>
      </c>
      <c r="B31" s="4" t="s">
        <v>17</v>
      </c>
      <c r="C31" s="4" t="s">
        <v>18</v>
      </c>
      <c r="D31" s="4" t="s">
        <v>26</v>
      </c>
      <c r="E31" s="4" t="s">
        <v>27</v>
      </c>
      <c r="F31" s="4" t="s">
        <v>145</v>
      </c>
      <c r="G31" s="4" t="s">
        <v>145</v>
      </c>
      <c r="H31" s="4" t="s">
        <v>108</v>
      </c>
      <c r="I31" s="4" t="s">
        <v>23</v>
      </c>
      <c r="J31" s="4" t="s">
        <v>144</v>
      </c>
      <c r="K31" s="4" t="s">
        <v>143</v>
      </c>
      <c r="L31" s="5">
        <v>73</v>
      </c>
    </row>
    <row r="32" spans="1:12" x14ac:dyDescent="0.25">
      <c r="A32" s="4" t="s">
        <v>16</v>
      </c>
      <c r="B32" s="4" t="s">
        <v>17</v>
      </c>
      <c r="C32" s="4" t="s">
        <v>18</v>
      </c>
      <c r="D32" s="4" t="s">
        <v>26</v>
      </c>
      <c r="E32" s="4" t="s">
        <v>27</v>
      </c>
      <c r="F32" s="4" t="s">
        <v>103</v>
      </c>
      <c r="G32" s="4" t="s">
        <v>142</v>
      </c>
      <c r="H32" s="4" t="s">
        <v>108</v>
      </c>
      <c r="I32" s="4" t="s">
        <v>23</v>
      </c>
      <c r="J32" s="4" t="s">
        <v>141</v>
      </c>
      <c r="K32" s="4" t="s">
        <v>110</v>
      </c>
      <c r="L32" s="5">
        <v>130</v>
      </c>
    </row>
    <row r="33" spans="1:12" x14ac:dyDescent="0.25">
      <c r="A33" s="4" t="s">
        <v>16</v>
      </c>
      <c r="B33" s="4" t="s">
        <v>17</v>
      </c>
      <c r="C33" s="4" t="s">
        <v>18</v>
      </c>
      <c r="D33" s="4" t="s">
        <v>26</v>
      </c>
      <c r="E33" s="4" t="s">
        <v>27</v>
      </c>
      <c r="F33" s="4" t="s">
        <v>103</v>
      </c>
      <c r="G33" s="4" t="s">
        <v>142</v>
      </c>
      <c r="H33" s="4" t="s">
        <v>108</v>
      </c>
      <c r="I33" s="4" t="s">
        <v>23</v>
      </c>
      <c r="J33" s="4" t="s">
        <v>141</v>
      </c>
      <c r="K33" s="4" t="s">
        <v>120</v>
      </c>
      <c r="L33" s="5">
        <v>25</v>
      </c>
    </row>
    <row r="34" spans="1:12" x14ac:dyDescent="0.25">
      <c r="A34" s="4" t="s">
        <v>16</v>
      </c>
      <c r="B34" s="4" t="s">
        <v>17</v>
      </c>
      <c r="C34" s="4" t="s">
        <v>18</v>
      </c>
      <c r="D34" s="4" t="s">
        <v>26</v>
      </c>
      <c r="E34" s="4" t="s">
        <v>27</v>
      </c>
      <c r="F34" s="4" t="s">
        <v>103</v>
      </c>
      <c r="G34" s="4" t="s">
        <v>142</v>
      </c>
      <c r="H34" s="4" t="s">
        <v>108</v>
      </c>
      <c r="I34" s="4" t="s">
        <v>23</v>
      </c>
      <c r="J34" s="4" t="s">
        <v>141</v>
      </c>
      <c r="K34" s="4" t="s">
        <v>119</v>
      </c>
      <c r="L34" s="5">
        <v>306</v>
      </c>
    </row>
    <row r="35" spans="1:12" x14ac:dyDescent="0.25">
      <c r="A35" s="4" t="s">
        <v>16</v>
      </c>
      <c r="B35" s="4" t="s">
        <v>17</v>
      </c>
      <c r="C35" s="4" t="s">
        <v>18</v>
      </c>
      <c r="D35" s="4" t="s">
        <v>26</v>
      </c>
      <c r="E35" s="4" t="s">
        <v>27</v>
      </c>
      <c r="F35" s="4" t="s">
        <v>103</v>
      </c>
      <c r="G35" s="4" t="s">
        <v>140</v>
      </c>
      <c r="H35" s="4" t="s">
        <v>108</v>
      </c>
      <c r="I35" s="4" t="s">
        <v>23</v>
      </c>
      <c r="J35" s="4" t="s">
        <v>126</v>
      </c>
      <c r="K35" s="4" t="s">
        <v>110</v>
      </c>
      <c r="L35" s="5">
        <v>627</v>
      </c>
    </row>
    <row r="36" spans="1:12" x14ac:dyDescent="0.25">
      <c r="A36" s="4" t="s">
        <v>16</v>
      </c>
      <c r="B36" s="4" t="s">
        <v>17</v>
      </c>
      <c r="C36" s="4" t="s">
        <v>18</v>
      </c>
      <c r="D36" s="4" t="s">
        <v>26</v>
      </c>
      <c r="E36" s="4" t="s">
        <v>27</v>
      </c>
      <c r="F36" s="4" t="s">
        <v>103</v>
      </c>
      <c r="G36" s="4" t="s">
        <v>140</v>
      </c>
      <c r="H36" s="4" t="s">
        <v>108</v>
      </c>
      <c r="I36" s="4" t="s">
        <v>23</v>
      </c>
      <c r="J36" s="4" t="s">
        <v>126</v>
      </c>
      <c r="K36" s="4" t="s">
        <v>109</v>
      </c>
      <c r="L36" s="5">
        <v>142</v>
      </c>
    </row>
    <row r="37" spans="1:12" x14ac:dyDescent="0.25">
      <c r="A37" s="4" t="s">
        <v>16</v>
      </c>
      <c r="B37" s="4" t="s">
        <v>17</v>
      </c>
      <c r="C37" s="4" t="s">
        <v>18</v>
      </c>
      <c r="D37" s="4" t="s">
        <v>26</v>
      </c>
      <c r="E37" s="4" t="s">
        <v>27</v>
      </c>
      <c r="F37" s="4" t="s">
        <v>103</v>
      </c>
      <c r="G37" s="4" t="s">
        <v>140</v>
      </c>
      <c r="H37" s="4" t="s">
        <v>108</v>
      </c>
      <c r="I37" s="4" t="s">
        <v>23</v>
      </c>
      <c r="J37" s="4" t="s">
        <v>126</v>
      </c>
      <c r="K37" s="4" t="s">
        <v>106</v>
      </c>
      <c r="L37" s="5">
        <v>1519</v>
      </c>
    </row>
    <row r="38" spans="1:12" x14ac:dyDescent="0.25">
      <c r="A38" s="4" t="s">
        <v>16</v>
      </c>
      <c r="B38" s="4" t="s">
        <v>17</v>
      </c>
      <c r="C38" s="4" t="s">
        <v>18</v>
      </c>
      <c r="D38" s="4" t="s">
        <v>26</v>
      </c>
      <c r="E38" s="4" t="s">
        <v>27</v>
      </c>
      <c r="F38" s="4" t="s">
        <v>103</v>
      </c>
      <c r="G38" s="4" t="s">
        <v>103</v>
      </c>
      <c r="H38" s="4" t="s">
        <v>108</v>
      </c>
      <c r="I38" s="4" t="s">
        <v>23</v>
      </c>
      <c r="J38" s="4" t="s">
        <v>138</v>
      </c>
      <c r="K38" s="4" t="s">
        <v>139</v>
      </c>
      <c r="L38" s="5">
        <v>-91.14</v>
      </c>
    </row>
    <row r="39" spans="1:12" x14ac:dyDescent="0.25">
      <c r="A39" s="4" t="s">
        <v>16</v>
      </c>
      <c r="B39" s="4" t="s">
        <v>17</v>
      </c>
      <c r="C39" s="4" t="s">
        <v>18</v>
      </c>
      <c r="D39" s="4" t="s">
        <v>26</v>
      </c>
      <c r="E39" s="4" t="s">
        <v>27</v>
      </c>
      <c r="F39" s="4" t="s">
        <v>103</v>
      </c>
      <c r="G39" s="4" t="s">
        <v>103</v>
      </c>
      <c r="H39" s="4" t="s">
        <v>108</v>
      </c>
      <c r="I39" s="4" t="s">
        <v>23</v>
      </c>
      <c r="J39" s="4" t="s">
        <v>138</v>
      </c>
      <c r="K39" s="4" t="s">
        <v>137</v>
      </c>
      <c r="L39" s="5">
        <v>-2940.06</v>
      </c>
    </row>
    <row r="40" spans="1:12" x14ac:dyDescent="0.25">
      <c r="A40" s="4" t="s">
        <v>16</v>
      </c>
      <c r="B40" s="4" t="s">
        <v>17</v>
      </c>
      <c r="C40" s="4" t="s">
        <v>18</v>
      </c>
      <c r="D40" s="4" t="s">
        <v>26</v>
      </c>
      <c r="E40" s="4" t="s">
        <v>27</v>
      </c>
      <c r="F40" s="4" t="s">
        <v>103</v>
      </c>
      <c r="G40" s="4" t="s">
        <v>103</v>
      </c>
      <c r="H40" s="4" t="s">
        <v>108</v>
      </c>
      <c r="I40" s="4" t="s">
        <v>23</v>
      </c>
      <c r="J40" s="4" t="s">
        <v>136</v>
      </c>
      <c r="K40" s="4" t="s">
        <v>25</v>
      </c>
      <c r="L40" s="5">
        <v>6300</v>
      </c>
    </row>
    <row r="41" spans="1:12" x14ac:dyDescent="0.25">
      <c r="A41" s="4" t="s">
        <v>16</v>
      </c>
      <c r="B41" s="4" t="s">
        <v>17</v>
      </c>
      <c r="C41" s="4" t="s">
        <v>18</v>
      </c>
      <c r="D41" s="4" t="s">
        <v>26</v>
      </c>
      <c r="E41" s="4" t="s">
        <v>27</v>
      </c>
      <c r="F41" s="4" t="s">
        <v>103</v>
      </c>
      <c r="G41" s="4" t="s">
        <v>103</v>
      </c>
      <c r="H41" s="4" t="s">
        <v>108</v>
      </c>
      <c r="I41" s="4" t="s">
        <v>23</v>
      </c>
      <c r="J41" s="4" t="s">
        <v>135</v>
      </c>
      <c r="K41" s="4" t="s">
        <v>110</v>
      </c>
      <c r="L41" s="5">
        <v>267</v>
      </c>
    </row>
    <row r="42" spans="1:12" x14ac:dyDescent="0.25">
      <c r="A42" s="4" t="s">
        <v>16</v>
      </c>
      <c r="B42" s="4" t="s">
        <v>17</v>
      </c>
      <c r="C42" s="4" t="s">
        <v>18</v>
      </c>
      <c r="D42" s="4" t="s">
        <v>26</v>
      </c>
      <c r="E42" s="4" t="s">
        <v>27</v>
      </c>
      <c r="F42" s="4" t="s">
        <v>103</v>
      </c>
      <c r="G42" s="4" t="s">
        <v>103</v>
      </c>
      <c r="H42" s="4" t="s">
        <v>108</v>
      </c>
      <c r="I42" s="4" t="s">
        <v>23</v>
      </c>
      <c r="J42" s="4" t="s">
        <v>135</v>
      </c>
      <c r="K42" s="4" t="s">
        <v>25</v>
      </c>
      <c r="L42" s="5">
        <v>6500</v>
      </c>
    </row>
    <row r="43" spans="1:12" x14ac:dyDescent="0.25">
      <c r="A43" s="4" t="s">
        <v>16</v>
      </c>
      <c r="B43" s="4" t="s">
        <v>17</v>
      </c>
      <c r="C43" s="4" t="s">
        <v>18</v>
      </c>
      <c r="D43" s="4" t="s">
        <v>26</v>
      </c>
      <c r="E43" s="4" t="s">
        <v>27</v>
      </c>
      <c r="F43" s="4" t="s">
        <v>103</v>
      </c>
      <c r="G43" s="4" t="s">
        <v>103</v>
      </c>
      <c r="H43" s="4" t="s">
        <v>108</v>
      </c>
      <c r="I43" s="4" t="s">
        <v>23</v>
      </c>
      <c r="J43" s="4" t="s">
        <v>135</v>
      </c>
      <c r="K43" s="4" t="s">
        <v>109</v>
      </c>
      <c r="L43" s="5">
        <v>24</v>
      </c>
    </row>
    <row r="44" spans="1:12" x14ac:dyDescent="0.25">
      <c r="A44" s="4" t="s">
        <v>16</v>
      </c>
      <c r="B44" s="4" t="s">
        <v>17</v>
      </c>
      <c r="C44" s="4" t="s">
        <v>18</v>
      </c>
      <c r="D44" s="4" t="s">
        <v>26</v>
      </c>
      <c r="E44" s="4" t="s">
        <v>27</v>
      </c>
      <c r="F44" s="4" t="s">
        <v>103</v>
      </c>
      <c r="G44" s="4" t="s">
        <v>103</v>
      </c>
      <c r="H44" s="4" t="s">
        <v>108</v>
      </c>
      <c r="I44" s="4" t="s">
        <v>23</v>
      </c>
      <c r="J44" s="4" t="s">
        <v>135</v>
      </c>
      <c r="K44" s="4" t="s">
        <v>120</v>
      </c>
      <c r="L44" s="5">
        <v>6</v>
      </c>
    </row>
    <row r="45" spans="1:12" x14ac:dyDescent="0.25">
      <c r="A45" s="4" t="s">
        <v>16</v>
      </c>
      <c r="B45" s="4" t="s">
        <v>17</v>
      </c>
      <c r="C45" s="4" t="s">
        <v>18</v>
      </c>
      <c r="D45" s="4" t="s">
        <v>26</v>
      </c>
      <c r="E45" s="4" t="s">
        <v>27</v>
      </c>
      <c r="F45" s="4" t="s">
        <v>103</v>
      </c>
      <c r="G45" s="4" t="s">
        <v>103</v>
      </c>
      <c r="H45" s="4" t="s">
        <v>108</v>
      </c>
      <c r="I45" s="4" t="s">
        <v>23</v>
      </c>
      <c r="J45" s="4" t="s">
        <v>135</v>
      </c>
      <c r="K45" s="4" t="s">
        <v>119</v>
      </c>
      <c r="L45" s="5">
        <v>99</v>
      </c>
    </row>
    <row r="46" spans="1:12" x14ac:dyDescent="0.25">
      <c r="A46" s="4" t="s">
        <v>16</v>
      </c>
      <c r="B46" s="4" t="s">
        <v>17</v>
      </c>
      <c r="C46" s="4" t="s">
        <v>18</v>
      </c>
      <c r="D46" s="4" t="s">
        <v>26</v>
      </c>
      <c r="E46" s="4" t="s">
        <v>27</v>
      </c>
      <c r="F46" s="4" t="s">
        <v>103</v>
      </c>
      <c r="G46" s="4" t="s">
        <v>103</v>
      </c>
      <c r="H46" s="4" t="s">
        <v>108</v>
      </c>
      <c r="I46" s="4" t="s">
        <v>23</v>
      </c>
      <c r="J46" s="4" t="s">
        <v>135</v>
      </c>
      <c r="K46" s="4" t="s">
        <v>106</v>
      </c>
      <c r="L46" s="5">
        <v>664</v>
      </c>
    </row>
    <row r="47" spans="1:12" x14ac:dyDescent="0.25">
      <c r="A47" s="4" t="s">
        <v>16</v>
      </c>
      <c r="B47" s="4" t="s">
        <v>17</v>
      </c>
      <c r="C47" s="4" t="s">
        <v>18</v>
      </c>
      <c r="D47" s="4" t="s">
        <v>26</v>
      </c>
      <c r="E47" s="4" t="s">
        <v>27</v>
      </c>
      <c r="F47" s="4" t="s">
        <v>103</v>
      </c>
      <c r="G47" s="4" t="s">
        <v>103</v>
      </c>
      <c r="H47" s="4" t="s">
        <v>108</v>
      </c>
      <c r="I47" s="4" t="s">
        <v>23</v>
      </c>
      <c r="J47" s="4" t="s">
        <v>134</v>
      </c>
      <c r="K47" s="4" t="s">
        <v>25</v>
      </c>
      <c r="L47" s="5">
        <v>26700</v>
      </c>
    </row>
    <row r="48" spans="1:12" x14ac:dyDescent="0.25">
      <c r="A48" s="4" t="s">
        <v>16</v>
      </c>
      <c r="B48" s="4" t="s">
        <v>17</v>
      </c>
      <c r="C48" s="4" t="s">
        <v>18</v>
      </c>
      <c r="D48" s="4" t="s">
        <v>26</v>
      </c>
      <c r="E48" s="4" t="s">
        <v>27</v>
      </c>
      <c r="F48" s="4" t="s">
        <v>103</v>
      </c>
      <c r="G48" s="4" t="s">
        <v>103</v>
      </c>
      <c r="H48" s="4" t="s">
        <v>108</v>
      </c>
      <c r="I48" s="4" t="s">
        <v>23</v>
      </c>
      <c r="J48" s="4" t="s">
        <v>133</v>
      </c>
      <c r="K48" s="4" t="s">
        <v>25</v>
      </c>
      <c r="L48" s="5">
        <v>3400</v>
      </c>
    </row>
    <row r="49" spans="1:12" x14ac:dyDescent="0.25">
      <c r="A49" s="4" t="s">
        <v>16</v>
      </c>
      <c r="B49" s="4" t="s">
        <v>17</v>
      </c>
      <c r="C49" s="4" t="s">
        <v>18</v>
      </c>
      <c r="D49" s="4" t="s">
        <v>26</v>
      </c>
      <c r="E49" s="4" t="s">
        <v>27</v>
      </c>
      <c r="F49" s="4" t="s">
        <v>103</v>
      </c>
      <c r="G49" s="4" t="s">
        <v>103</v>
      </c>
      <c r="H49" s="4" t="s">
        <v>108</v>
      </c>
      <c r="I49" s="4" t="s">
        <v>23</v>
      </c>
      <c r="J49" s="4" t="s">
        <v>132</v>
      </c>
      <c r="K49" s="4" t="s">
        <v>25</v>
      </c>
      <c r="L49" s="5">
        <v>4000</v>
      </c>
    </row>
    <row r="50" spans="1:12" x14ac:dyDescent="0.25">
      <c r="A50" s="4" t="s">
        <v>16</v>
      </c>
      <c r="B50" s="4" t="s">
        <v>17</v>
      </c>
      <c r="C50" s="4" t="s">
        <v>18</v>
      </c>
      <c r="D50" s="4" t="s">
        <v>26</v>
      </c>
      <c r="E50" s="4" t="s">
        <v>27</v>
      </c>
      <c r="F50" s="4" t="s">
        <v>103</v>
      </c>
      <c r="G50" s="4" t="s">
        <v>103</v>
      </c>
      <c r="H50" s="4" t="s">
        <v>108</v>
      </c>
      <c r="I50" s="4" t="s">
        <v>23</v>
      </c>
      <c r="J50" s="4" t="s">
        <v>131</v>
      </c>
      <c r="K50" s="4" t="s">
        <v>25</v>
      </c>
      <c r="L50" s="5">
        <v>5000</v>
      </c>
    </row>
    <row r="51" spans="1:12" x14ac:dyDescent="0.25">
      <c r="A51" s="4" t="s">
        <v>16</v>
      </c>
      <c r="B51" s="4" t="s">
        <v>17</v>
      </c>
      <c r="C51" s="4" t="s">
        <v>18</v>
      </c>
      <c r="D51" s="4" t="s">
        <v>26</v>
      </c>
      <c r="E51" s="4" t="s">
        <v>27</v>
      </c>
      <c r="F51" s="4" t="s">
        <v>103</v>
      </c>
      <c r="G51" s="4" t="s">
        <v>103</v>
      </c>
      <c r="H51" s="4" t="s">
        <v>108</v>
      </c>
      <c r="I51" s="4" t="s">
        <v>23</v>
      </c>
      <c r="J51" s="4" t="s">
        <v>130</v>
      </c>
      <c r="K51" s="4" t="s">
        <v>25</v>
      </c>
      <c r="L51" s="5">
        <v>2000</v>
      </c>
    </row>
    <row r="52" spans="1:12" x14ac:dyDescent="0.25">
      <c r="A52" s="4" t="s">
        <v>16</v>
      </c>
      <c r="B52" s="4" t="s">
        <v>17</v>
      </c>
      <c r="C52" s="4" t="s">
        <v>18</v>
      </c>
      <c r="D52" s="4" t="s">
        <v>26</v>
      </c>
      <c r="E52" s="4" t="s">
        <v>27</v>
      </c>
      <c r="F52" s="4" t="s">
        <v>103</v>
      </c>
      <c r="G52" s="4" t="s">
        <v>103</v>
      </c>
      <c r="H52" s="4" t="s">
        <v>108</v>
      </c>
      <c r="I52" s="4" t="s">
        <v>23</v>
      </c>
      <c r="J52" s="4" t="s">
        <v>129</v>
      </c>
      <c r="K52" s="4" t="s">
        <v>25</v>
      </c>
      <c r="L52" s="5">
        <v>2700</v>
      </c>
    </row>
    <row r="53" spans="1:12" x14ac:dyDescent="0.25">
      <c r="A53" s="4" t="s">
        <v>16</v>
      </c>
      <c r="B53" s="4" t="s">
        <v>17</v>
      </c>
      <c r="C53" s="4" t="s">
        <v>18</v>
      </c>
      <c r="D53" s="4" t="s">
        <v>26</v>
      </c>
      <c r="E53" s="4" t="s">
        <v>27</v>
      </c>
      <c r="F53" s="4" t="s">
        <v>103</v>
      </c>
      <c r="G53" s="4" t="s">
        <v>103</v>
      </c>
      <c r="H53" s="4" t="s">
        <v>108</v>
      </c>
      <c r="I53" s="4" t="s">
        <v>23</v>
      </c>
      <c r="J53" s="4" t="s">
        <v>128</v>
      </c>
      <c r="K53" s="4" t="s">
        <v>25</v>
      </c>
      <c r="L53" s="5">
        <v>5900</v>
      </c>
    </row>
    <row r="54" spans="1:12" x14ac:dyDescent="0.25">
      <c r="A54" s="4" t="s">
        <v>16</v>
      </c>
      <c r="B54" s="4" t="s">
        <v>17</v>
      </c>
      <c r="C54" s="4" t="s">
        <v>18</v>
      </c>
      <c r="D54" s="4" t="s">
        <v>26</v>
      </c>
      <c r="E54" s="4" t="s">
        <v>27</v>
      </c>
      <c r="F54" s="4" t="s">
        <v>103</v>
      </c>
      <c r="G54" s="4" t="s">
        <v>103</v>
      </c>
      <c r="H54" s="4" t="s">
        <v>108</v>
      </c>
      <c r="I54" s="4" t="s">
        <v>23</v>
      </c>
      <c r="J54" s="4" t="s">
        <v>127</v>
      </c>
      <c r="K54" s="4" t="s">
        <v>25</v>
      </c>
      <c r="L54" s="5">
        <v>5000</v>
      </c>
    </row>
    <row r="55" spans="1:12" x14ac:dyDescent="0.25">
      <c r="A55" s="4" t="s">
        <v>16</v>
      </c>
      <c r="B55" s="4" t="s">
        <v>17</v>
      </c>
      <c r="C55" s="4" t="s">
        <v>18</v>
      </c>
      <c r="D55" s="4" t="s">
        <v>26</v>
      </c>
      <c r="E55" s="4" t="s">
        <v>27</v>
      </c>
      <c r="F55" s="4" t="s">
        <v>103</v>
      </c>
      <c r="G55" s="4" t="s">
        <v>103</v>
      </c>
      <c r="H55" s="4" t="s">
        <v>108</v>
      </c>
      <c r="I55" s="4" t="s">
        <v>23</v>
      </c>
      <c r="J55" s="4" t="s">
        <v>126</v>
      </c>
      <c r="K55" s="4" t="s">
        <v>110</v>
      </c>
      <c r="L55" s="5">
        <v>162</v>
      </c>
    </row>
    <row r="56" spans="1:12" x14ac:dyDescent="0.25">
      <c r="A56" s="4" t="s">
        <v>16</v>
      </c>
      <c r="B56" s="4" t="s">
        <v>17</v>
      </c>
      <c r="C56" s="4" t="s">
        <v>18</v>
      </c>
      <c r="D56" s="4" t="s">
        <v>26</v>
      </c>
      <c r="E56" s="4" t="s">
        <v>27</v>
      </c>
      <c r="F56" s="4" t="s">
        <v>103</v>
      </c>
      <c r="G56" s="4" t="s">
        <v>103</v>
      </c>
      <c r="H56" s="4" t="s">
        <v>108</v>
      </c>
      <c r="I56" s="4" t="s">
        <v>23</v>
      </c>
      <c r="J56" s="4" t="s">
        <v>126</v>
      </c>
      <c r="K56" s="4" t="s">
        <v>25</v>
      </c>
      <c r="L56" s="5">
        <v>2665.29</v>
      </c>
    </row>
    <row r="57" spans="1:12" x14ac:dyDescent="0.25">
      <c r="A57" s="4" t="s">
        <v>16</v>
      </c>
      <c r="B57" s="4" t="s">
        <v>17</v>
      </c>
      <c r="C57" s="4" t="s">
        <v>18</v>
      </c>
      <c r="D57" s="4" t="s">
        <v>26</v>
      </c>
      <c r="E57" s="4" t="s">
        <v>27</v>
      </c>
      <c r="F57" s="4" t="s">
        <v>103</v>
      </c>
      <c r="G57" s="4" t="s">
        <v>103</v>
      </c>
      <c r="H57" s="4" t="s">
        <v>108</v>
      </c>
      <c r="I57" s="4" t="s">
        <v>23</v>
      </c>
      <c r="J57" s="4" t="s">
        <v>126</v>
      </c>
      <c r="K57" s="4" t="s">
        <v>109</v>
      </c>
      <c r="L57" s="5">
        <v>17</v>
      </c>
    </row>
    <row r="58" spans="1:12" x14ac:dyDescent="0.25">
      <c r="A58" s="4" t="s">
        <v>16</v>
      </c>
      <c r="B58" s="4" t="s">
        <v>17</v>
      </c>
      <c r="C58" s="4" t="s">
        <v>18</v>
      </c>
      <c r="D58" s="4" t="s">
        <v>26</v>
      </c>
      <c r="E58" s="4" t="s">
        <v>27</v>
      </c>
      <c r="F58" s="4" t="s">
        <v>103</v>
      </c>
      <c r="G58" s="4" t="s">
        <v>103</v>
      </c>
      <c r="H58" s="4" t="s">
        <v>108</v>
      </c>
      <c r="I58" s="4" t="s">
        <v>23</v>
      </c>
      <c r="J58" s="4" t="s">
        <v>126</v>
      </c>
      <c r="K58" s="4" t="s">
        <v>106</v>
      </c>
      <c r="L58" s="5">
        <v>415</v>
      </c>
    </row>
    <row r="59" spans="1:12" x14ac:dyDescent="0.25">
      <c r="A59" s="4" t="s">
        <v>16</v>
      </c>
      <c r="B59" s="4" t="s">
        <v>17</v>
      </c>
      <c r="C59" s="4" t="s">
        <v>18</v>
      </c>
      <c r="D59" s="4" t="s">
        <v>26</v>
      </c>
      <c r="E59" s="4" t="s">
        <v>27</v>
      </c>
      <c r="F59" s="4" t="s">
        <v>103</v>
      </c>
      <c r="G59" s="4" t="s">
        <v>103</v>
      </c>
      <c r="H59" s="4" t="s">
        <v>108</v>
      </c>
      <c r="I59" s="4" t="s">
        <v>23</v>
      </c>
      <c r="J59" s="4" t="s">
        <v>125</v>
      </c>
      <c r="K59" s="4" t="s">
        <v>25</v>
      </c>
      <c r="L59" s="5">
        <v>2800</v>
      </c>
    </row>
    <row r="60" spans="1:12" x14ac:dyDescent="0.25">
      <c r="A60" s="4" t="s">
        <v>16</v>
      </c>
      <c r="B60" s="4" t="s">
        <v>17</v>
      </c>
      <c r="C60" s="4" t="s">
        <v>18</v>
      </c>
      <c r="D60" s="4" t="s">
        <v>26</v>
      </c>
      <c r="E60" s="4" t="s">
        <v>27</v>
      </c>
      <c r="F60" s="4" t="s">
        <v>103</v>
      </c>
      <c r="G60" s="4" t="s">
        <v>103</v>
      </c>
      <c r="H60" s="4" t="s">
        <v>108</v>
      </c>
      <c r="I60" s="4" t="s">
        <v>23</v>
      </c>
      <c r="J60" s="4" t="s">
        <v>124</v>
      </c>
      <c r="K60" s="4" t="s">
        <v>25</v>
      </c>
      <c r="L60" s="5">
        <v>1400</v>
      </c>
    </row>
    <row r="61" spans="1:12" x14ac:dyDescent="0.25">
      <c r="A61" s="4" t="s">
        <v>16</v>
      </c>
      <c r="B61" s="4" t="s">
        <v>17</v>
      </c>
      <c r="C61" s="4" t="s">
        <v>18</v>
      </c>
      <c r="D61" s="4" t="s">
        <v>26</v>
      </c>
      <c r="E61" s="4" t="s">
        <v>27</v>
      </c>
      <c r="F61" s="4" t="s">
        <v>103</v>
      </c>
      <c r="G61" s="4" t="s">
        <v>103</v>
      </c>
      <c r="H61" s="4" t="s">
        <v>108</v>
      </c>
      <c r="I61" s="4" t="s">
        <v>23</v>
      </c>
      <c r="J61" s="4" t="s">
        <v>121</v>
      </c>
      <c r="K61" s="4" t="s">
        <v>123</v>
      </c>
      <c r="L61" s="5">
        <v>29.94</v>
      </c>
    </row>
    <row r="62" spans="1:12" x14ac:dyDescent="0.25">
      <c r="A62" s="4" t="s">
        <v>16</v>
      </c>
      <c r="B62" s="4" t="s">
        <v>17</v>
      </c>
      <c r="C62" s="4" t="s">
        <v>18</v>
      </c>
      <c r="D62" s="4" t="s">
        <v>26</v>
      </c>
      <c r="E62" s="4" t="s">
        <v>27</v>
      </c>
      <c r="F62" s="4" t="s">
        <v>103</v>
      </c>
      <c r="G62" s="4" t="s">
        <v>103</v>
      </c>
      <c r="H62" s="4" t="s">
        <v>108</v>
      </c>
      <c r="I62" s="4" t="s">
        <v>23</v>
      </c>
      <c r="J62" s="4" t="s">
        <v>121</v>
      </c>
      <c r="K62" s="4" t="s">
        <v>122</v>
      </c>
      <c r="L62" s="5">
        <v>229.35</v>
      </c>
    </row>
    <row r="63" spans="1:12" x14ac:dyDescent="0.25">
      <c r="A63" s="4" t="s">
        <v>16</v>
      </c>
      <c r="B63" s="4" t="s">
        <v>17</v>
      </c>
      <c r="C63" s="4" t="s">
        <v>18</v>
      </c>
      <c r="D63" s="4" t="s">
        <v>26</v>
      </c>
      <c r="E63" s="4" t="s">
        <v>27</v>
      </c>
      <c r="F63" s="4" t="s">
        <v>103</v>
      </c>
      <c r="G63" s="4" t="s">
        <v>103</v>
      </c>
      <c r="H63" s="4" t="s">
        <v>108</v>
      </c>
      <c r="I63" s="4" t="s">
        <v>23</v>
      </c>
      <c r="J63" s="4" t="s">
        <v>121</v>
      </c>
      <c r="K63" s="4" t="s">
        <v>25</v>
      </c>
      <c r="L63" s="5">
        <v>11400</v>
      </c>
    </row>
    <row r="64" spans="1:12" x14ac:dyDescent="0.25">
      <c r="A64" s="4" t="s">
        <v>16</v>
      </c>
      <c r="B64" s="4" t="s">
        <v>17</v>
      </c>
      <c r="C64" s="4" t="s">
        <v>18</v>
      </c>
      <c r="D64" s="4" t="s">
        <v>26</v>
      </c>
      <c r="E64" s="4" t="s">
        <v>27</v>
      </c>
      <c r="F64" s="4" t="s">
        <v>103</v>
      </c>
      <c r="G64" s="4" t="s">
        <v>103</v>
      </c>
      <c r="H64" s="4" t="s">
        <v>108</v>
      </c>
      <c r="I64" s="4" t="s">
        <v>23</v>
      </c>
      <c r="J64" s="4" t="s">
        <v>118</v>
      </c>
      <c r="K64" s="4" t="s">
        <v>110</v>
      </c>
      <c r="L64" s="5">
        <v>753</v>
      </c>
    </row>
    <row r="65" spans="1:12" x14ac:dyDescent="0.25">
      <c r="A65" s="4" t="s">
        <v>16</v>
      </c>
      <c r="B65" s="4" t="s">
        <v>17</v>
      </c>
      <c r="C65" s="4" t="s">
        <v>18</v>
      </c>
      <c r="D65" s="4" t="s">
        <v>26</v>
      </c>
      <c r="E65" s="4" t="s">
        <v>27</v>
      </c>
      <c r="F65" s="4" t="s">
        <v>103</v>
      </c>
      <c r="G65" s="4" t="s">
        <v>103</v>
      </c>
      <c r="H65" s="4" t="s">
        <v>108</v>
      </c>
      <c r="I65" s="4" t="s">
        <v>23</v>
      </c>
      <c r="J65" s="4" t="s">
        <v>118</v>
      </c>
      <c r="K65" s="4" t="s">
        <v>109</v>
      </c>
      <c r="L65" s="5">
        <v>51</v>
      </c>
    </row>
    <row r="66" spans="1:12" x14ac:dyDescent="0.25">
      <c r="A66" s="4" t="s">
        <v>16</v>
      </c>
      <c r="B66" s="4" t="s">
        <v>17</v>
      </c>
      <c r="C66" s="4" t="s">
        <v>18</v>
      </c>
      <c r="D66" s="4" t="s">
        <v>26</v>
      </c>
      <c r="E66" s="4" t="s">
        <v>27</v>
      </c>
      <c r="F66" s="4" t="s">
        <v>103</v>
      </c>
      <c r="G66" s="4" t="s">
        <v>103</v>
      </c>
      <c r="H66" s="4" t="s">
        <v>108</v>
      </c>
      <c r="I66" s="4" t="s">
        <v>23</v>
      </c>
      <c r="J66" s="4" t="s">
        <v>118</v>
      </c>
      <c r="K66" s="4" t="s">
        <v>120</v>
      </c>
      <c r="L66" s="5">
        <v>15</v>
      </c>
    </row>
    <row r="67" spans="1:12" x14ac:dyDescent="0.25">
      <c r="A67" s="4" t="s">
        <v>16</v>
      </c>
      <c r="B67" s="4" t="s">
        <v>17</v>
      </c>
      <c r="C67" s="4" t="s">
        <v>18</v>
      </c>
      <c r="D67" s="4" t="s">
        <v>26</v>
      </c>
      <c r="E67" s="4" t="s">
        <v>27</v>
      </c>
      <c r="F67" s="4" t="s">
        <v>103</v>
      </c>
      <c r="G67" s="4" t="s">
        <v>103</v>
      </c>
      <c r="H67" s="4" t="s">
        <v>108</v>
      </c>
      <c r="I67" s="4" t="s">
        <v>23</v>
      </c>
      <c r="J67" s="4" t="s">
        <v>118</v>
      </c>
      <c r="K67" s="4" t="s">
        <v>119</v>
      </c>
      <c r="L67" s="5">
        <v>153</v>
      </c>
    </row>
    <row r="68" spans="1:12" x14ac:dyDescent="0.25">
      <c r="A68" s="4" t="s">
        <v>16</v>
      </c>
      <c r="B68" s="4" t="s">
        <v>17</v>
      </c>
      <c r="C68" s="4" t="s">
        <v>18</v>
      </c>
      <c r="D68" s="4" t="s">
        <v>26</v>
      </c>
      <c r="E68" s="4" t="s">
        <v>27</v>
      </c>
      <c r="F68" s="4" t="s">
        <v>103</v>
      </c>
      <c r="G68" s="4" t="s">
        <v>103</v>
      </c>
      <c r="H68" s="4" t="s">
        <v>108</v>
      </c>
      <c r="I68" s="4" t="s">
        <v>23</v>
      </c>
      <c r="J68" s="4" t="s">
        <v>118</v>
      </c>
      <c r="K68" s="4" t="s">
        <v>106</v>
      </c>
      <c r="L68" s="5">
        <v>1732</v>
      </c>
    </row>
    <row r="69" spans="1:12" x14ac:dyDescent="0.25">
      <c r="A69" s="4" t="s">
        <v>16</v>
      </c>
      <c r="B69" s="4" t="s">
        <v>17</v>
      </c>
      <c r="C69" s="4" t="s">
        <v>18</v>
      </c>
      <c r="D69" s="4" t="s">
        <v>26</v>
      </c>
      <c r="E69" s="4" t="s">
        <v>27</v>
      </c>
      <c r="F69" s="4" t="s">
        <v>103</v>
      </c>
      <c r="G69" s="4" t="s">
        <v>103</v>
      </c>
      <c r="H69" s="4" t="s">
        <v>108</v>
      </c>
      <c r="I69" s="4" t="s">
        <v>23</v>
      </c>
      <c r="J69" s="4" t="s">
        <v>117</v>
      </c>
      <c r="K69" s="4" t="s">
        <v>25</v>
      </c>
      <c r="L69" s="5">
        <v>25000</v>
      </c>
    </row>
    <row r="70" spans="1:12" x14ac:dyDescent="0.25">
      <c r="A70" s="4" t="s">
        <v>16</v>
      </c>
      <c r="B70" s="4" t="s">
        <v>17</v>
      </c>
      <c r="C70" s="4" t="s">
        <v>18</v>
      </c>
      <c r="D70" s="4" t="s">
        <v>28</v>
      </c>
      <c r="E70" s="4" t="s">
        <v>29</v>
      </c>
      <c r="F70" s="4" t="s">
        <v>103</v>
      </c>
      <c r="G70" s="4" t="s">
        <v>103</v>
      </c>
      <c r="H70" s="4" t="s">
        <v>108</v>
      </c>
      <c r="I70" s="4" t="s">
        <v>23</v>
      </c>
      <c r="J70" s="4" t="s">
        <v>116</v>
      </c>
      <c r="K70" s="4" t="s">
        <v>25</v>
      </c>
      <c r="L70" s="5">
        <v>3900</v>
      </c>
    </row>
    <row r="71" spans="1:12" x14ac:dyDescent="0.25">
      <c r="A71" s="4" t="s">
        <v>16</v>
      </c>
      <c r="B71" s="4" t="s">
        <v>17</v>
      </c>
      <c r="C71" s="4" t="s">
        <v>18</v>
      </c>
      <c r="D71" s="4" t="s">
        <v>28</v>
      </c>
      <c r="E71" s="4" t="s">
        <v>29</v>
      </c>
      <c r="F71" s="4" t="s">
        <v>103</v>
      </c>
      <c r="G71" s="4" t="s">
        <v>103</v>
      </c>
      <c r="H71" s="4" t="s">
        <v>108</v>
      </c>
      <c r="I71" s="4" t="s">
        <v>23</v>
      </c>
      <c r="J71" s="4" t="s">
        <v>114</v>
      </c>
      <c r="K71" s="4" t="s">
        <v>110</v>
      </c>
      <c r="L71" s="5">
        <v>4091</v>
      </c>
    </row>
    <row r="72" spans="1:12" x14ac:dyDescent="0.25">
      <c r="A72" s="4" t="s">
        <v>16</v>
      </c>
      <c r="B72" s="4" t="s">
        <v>17</v>
      </c>
      <c r="C72" s="4" t="s">
        <v>18</v>
      </c>
      <c r="D72" s="4" t="s">
        <v>28</v>
      </c>
      <c r="E72" s="4" t="s">
        <v>29</v>
      </c>
      <c r="F72" s="4" t="s">
        <v>103</v>
      </c>
      <c r="G72" s="4" t="s">
        <v>103</v>
      </c>
      <c r="H72" s="4" t="s">
        <v>108</v>
      </c>
      <c r="I72" s="4" t="s">
        <v>23</v>
      </c>
      <c r="J72" s="4" t="s">
        <v>114</v>
      </c>
      <c r="K72" s="4" t="s">
        <v>25</v>
      </c>
      <c r="L72" s="5">
        <v>20000</v>
      </c>
    </row>
    <row r="73" spans="1:12" x14ac:dyDescent="0.25">
      <c r="A73" s="4" t="s">
        <v>16</v>
      </c>
      <c r="B73" s="4" t="s">
        <v>17</v>
      </c>
      <c r="C73" s="4" t="s">
        <v>18</v>
      </c>
      <c r="D73" s="4" t="s">
        <v>28</v>
      </c>
      <c r="E73" s="4" t="s">
        <v>29</v>
      </c>
      <c r="F73" s="4" t="s">
        <v>103</v>
      </c>
      <c r="G73" s="4" t="s">
        <v>103</v>
      </c>
      <c r="H73" s="4" t="s">
        <v>108</v>
      </c>
      <c r="I73" s="4" t="s">
        <v>23</v>
      </c>
      <c r="J73" s="4" t="s">
        <v>114</v>
      </c>
      <c r="K73" s="4" t="s">
        <v>115</v>
      </c>
      <c r="L73" s="5">
        <v>743.75</v>
      </c>
    </row>
    <row r="74" spans="1:12" x14ac:dyDescent="0.25">
      <c r="A74" s="4" t="s">
        <v>16</v>
      </c>
      <c r="B74" s="4" t="s">
        <v>17</v>
      </c>
      <c r="C74" s="4" t="s">
        <v>18</v>
      </c>
      <c r="D74" s="4" t="s">
        <v>28</v>
      </c>
      <c r="E74" s="4" t="s">
        <v>29</v>
      </c>
      <c r="F74" s="4" t="s">
        <v>103</v>
      </c>
      <c r="G74" s="4" t="s">
        <v>103</v>
      </c>
      <c r="H74" s="4" t="s">
        <v>108</v>
      </c>
      <c r="I74" s="4" t="s">
        <v>23</v>
      </c>
      <c r="J74" s="4" t="s">
        <v>114</v>
      </c>
      <c r="K74" s="4" t="s">
        <v>109</v>
      </c>
      <c r="L74" s="5">
        <v>458</v>
      </c>
    </row>
    <row r="75" spans="1:12" x14ac:dyDescent="0.25">
      <c r="A75" s="4" t="s">
        <v>16</v>
      </c>
      <c r="B75" s="4" t="s">
        <v>17</v>
      </c>
      <c r="C75" s="4" t="s">
        <v>18</v>
      </c>
      <c r="D75" s="4" t="s">
        <v>28</v>
      </c>
      <c r="E75" s="4" t="s">
        <v>29</v>
      </c>
      <c r="F75" s="4" t="s">
        <v>103</v>
      </c>
      <c r="G75" s="4" t="s">
        <v>103</v>
      </c>
      <c r="H75" s="4" t="s">
        <v>108</v>
      </c>
      <c r="I75" s="4" t="s">
        <v>23</v>
      </c>
      <c r="J75" s="4" t="s">
        <v>114</v>
      </c>
      <c r="K75" s="4" t="s">
        <v>106</v>
      </c>
      <c r="L75" s="5">
        <v>11352</v>
      </c>
    </row>
    <row r="76" spans="1:12" x14ac:dyDescent="0.25">
      <c r="A76" s="4" t="s">
        <v>16</v>
      </c>
      <c r="B76" s="4" t="s">
        <v>17</v>
      </c>
      <c r="C76" s="4" t="s">
        <v>18</v>
      </c>
      <c r="D76" s="4" t="s">
        <v>28</v>
      </c>
      <c r="E76" s="4" t="s">
        <v>29</v>
      </c>
      <c r="F76" s="4" t="s">
        <v>103</v>
      </c>
      <c r="G76" s="4" t="s">
        <v>103</v>
      </c>
      <c r="H76" s="4" t="s">
        <v>108</v>
      </c>
      <c r="I76" s="4" t="s">
        <v>23</v>
      </c>
      <c r="J76" s="4" t="s">
        <v>113</v>
      </c>
      <c r="K76" s="4" t="s">
        <v>25</v>
      </c>
      <c r="L76" s="5">
        <v>20000</v>
      </c>
    </row>
    <row r="77" spans="1:12" ht="22.5" x14ac:dyDescent="0.25">
      <c r="A77" s="4" t="s">
        <v>16</v>
      </c>
      <c r="B77" s="4" t="s">
        <v>17</v>
      </c>
      <c r="C77" s="4" t="s">
        <v>18</v>
      </c>
      <c r="D77" s="4" t="s">
        <v>30</v>
      </c>
      <c r="E77" s="4" t="s">
        <v>31</v>
      </c>
      <c r="F77" s="4" t="s">
        <v>103</v>
      </c>
      <c r="G77" s="4" t="s">
        <v>103</v>
      </c>
      <c r="H77" s="4" t="s">
        <v>108</v>
      </c>
      <c r="I77" s="4" t="s">
        <v>23</v>
      </c>
      <c r="J77" s="4" t="s">
        <v>112</v>
      </c>
      <c r="K77" s="4" t="s">
        <v>25</v>
      </c>
      <c r="L77" s="5">
        <v>15571.74</v>
      </c>
    </row>
    <row r="78" spans="1:12" ht="22.5" x14ac:dyDescent="0.25">
      <c r="A78" s="4" t="s">
        <v>16</v>
      </c>
      <c r="B78" s="4" t="s">
        <v>17</v>
      </c>
      <c r="C78" s="4" t="s">
        <v>18</v>
      </c>
      <c r="D78" s="4" t="s">
        <v>32</v>
      </c>
      <c r="E78" s="4" t="s">
        <v>33</v>
      </c>
      <c r="F78" s="4" t="s">
        <v>103</v>
      </c>
      <c r="G78" s="4" t="s">
        <v>103</v>
      </c>
      <c r="H78" s="4" t="s">
        <v>108</v>
      </c>
      <c r="I78" s="4" t="s">
        <v>23</v>
      </c>
      <c r="J78" s="4" t="s">
        <v>111</v>
      </c>
      <c r="K78" s="4" t="s">
        <v>110</v>
      </c>
      <c r="L78" s="5">
        <v>39</v>
      </c>
    </row>
    <row r="79" spans="1:12" ht="22.5" x14ac:dyDescent="0.25">
      <c r="A79" s="4" t="s">
        <v>16</v>
      </c>
      <c r="B79" s="4" t="s">
        <v>17</v>
      </c>
      <c r="C79" s="4" t="s">
        <v>18</v>
      </c>
      <c r="D79" s="4" t="s">
        <v>32</v>
      </c>
      <c r="E79" s="4" t="s">
        <v>33</v>
      </c>
      <c r="F79" s="4" t="s">
        <v>103</v>
      </c>
      <c r="G79" s="4" t="s">
        <v>103</v>
      </c>
      <c r="H79" s="4" t="s">
        <v>108</v>
      </c>
      <c r="I79" s="4" t="s">
        <v>23</v>
      </c>
      <c r="J79" s="4" t="s">
        <v>111</v>
      </c>
      <c r="K79" s="4" t="s">
        <v>109</v>
      </c>
      <c r="L79" s="5">
        <v>2</v>
      </c>
    </row>
    <row r="80" spans="1:12" ht="22.5" x14ac:dyDescent="0.25">
      <c r="A80" s="4" t="s">
        <v>16</v>
      </c>
      <c r="B80" s="4" t="s">
        <v>17</v>
      </c>
      <c r="C80" s="4" t="s">
        <v>18</v>
      </c>
      <c r="D80" s="4" t="s">
        <v>32</v>
      </c>
      <c r="E80" s="4" t="s">
        <v>33</v>
      </c>
      <c r="F80" s="4" t="s">
        <v>103</v>
      </c>
      <c r="G80" s="4" t="s">
        <v>103</v>
      </c>
      <c r="H80" s="4" t="s">
        <v>108</v>
      </c>
      <c r="I80" s="4" t="s">
        <v>23</v>
      </c>
      <c r="J80" s="4" t="s">
        <v>111</v>
      </c>
      <c r="K80" s="4" t="s">
        <v>106</v>
      </c>
      <c r="L80" s="5">
        <v>100</v>
      </c>
    </row>
    <row r="81" spans="1:12" ht="22.5" x14ac:dyDescent="0.25">
      <c r="A81" s="4" t="s">
        <v>16</v>
      </c>
      <c r="B81" s="4" t="s">
        <v>17</v>
      </c>
      <c r="C81" s="4" t="s">
        <v>18</v>
      </c>
      <c r="D81" s="4" t="s">
        <v>34</v>
      </c>
      <c r="E81" s="4" t="s">
        <v>35</v>
      </c>
      <c r="F81" s="4" t="s">
        <v>103</v>
      </c>
      <c r="G81" s="4" t="s">
        <v>103</v>
      </c>
      <c r="H81" s="4" t="s">
        <v>108</v>
      </c>
      <c r="I81" s="4" t="s">
        <v>23</v>
      </c>
      <c r="J81" s="4" t="s">
        <v>107</v>
      </c>
      <c r="K81" s="4" t="s">
        <v>110</v>
      </c>
      <c r="L81" s="5">
        <v>338</v>
      </c>
    </row>
    <row r="82" spans="1:12" ht="22.5" x14ac:dyDescent="0.25">
      <c r="A82" s="4" t="s">
        <v>16</v>
      </c>
      <c r="B82" s="4" t="s">
        <v>17</v>
      </c>
      <c r="C82" s="4" t="s">
        <v>18</v>
      </c>
      <c r="D82" s="4" t="s">
        <v>34</v>
      </c>
      <c r="E82" s="4" t="s">
        <v>35</v>
      </c>
      <c r="F82" s="4" t="s">
        <v>103</v>
      </c>
      <c r="G82" s="4" t="s">
        <v>103</v>
      </c>
      <c r="H82" s="4" t="s">
        <v>108</v>
      </c>
      <c r="I82" s="4" t="s">
        <v>23</v>
      </c>
      <c r="J82" s="4" t="s">
        <v>107</v>
      </c>
      <c r="K82" s="4" t="s">
        <v>109</v>
      </c>
      <c r="L82" s="5">
        <v>46</v>
      </c>
    </row>
    <row r="83" spans="1:12" ht="22.5" x14ac:dyDescent="0.25">
      <c r="A83" s="4" t="s">
        <v>16</v>
      </c>
      <c r="B83" s="4" t="s">
        <v>17</v>
      </c>
      <c r="C83" s="4" t="s">
        <v>18</v>
      </c>
      <c r="D83" s="4" t="s">
        <v>34</v>
      </c>
      <c r="E83" s="4" t="s">
        <v>35</v>
      </c>
      <c r="F83" s="4" t="s">
        <v>103</v>
      </c>
      <c r="G83" s="4" t="s">
        <v>103</v>
      </c>
      <c r="H83" s="4" t="s">
        <v>108</v>
      </c>
      <c r="I83" s="4" t="s">
        <v>23</v>
      </c>
      <c r="J83" s="4" t="s">
        <v>107</v>
      </c>
      <c r="K83" s="4" t="s">
        <v>106</v>
      </c>
      <c r="L83" s="5">
        <v>910</v>
      </c>
    </row>
    <row r="84" spans="1:12" x14ac:dyDescent="0.25">
      <c r="A84" s="6" t="s">
        <v>43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46">
        <v>389140.6</v>
      </c>
    </row>
    <row r="85" spans="1:12" x14ac:dyDescent="0.25">
      <c r="A85" s="1" t="s">
        <v>2</v>
      </c>
    </row>
    <row r="86" spans="1:12" x14ac:dyDescent="0.25">
      <c r="A86" s="1"/>
      <c r="B86" s="9" t="s">
        <v>44</v>
      </c>
    </row>
    <row r="87" spans="1:12" x14ac:dyDescent="0.25">
      <c r="A87" s="8" t="s">
        <v>45</v>
      </c>
      <c r="B87" s="9" t="s">
        <v>46</v>
      </c>
    </row>
    <row r="88" spans="1:12" x14ac:dyDescent="0.25">
      <c r="A88" s="8" t="s">
        <v>45</v>
      </c>
      <c r="B88" s="9" t="s">
        <v>47</v>
      </c>
    </row>
    <row r="89" spans="1:12" x14ac:dyDescent="0.25">
      <c r="A89" s="8" t="s">
        <v>45</v>
      </c>
      <c r="B89" s="9" t="s">
        <v>105</v>
      </c>
    </row>
    <row r="90" spans="1:12" x14ac:dyDescent="0.25">
      <c r="A90" s="8" t="s">
        <v>45</v>
      </c>
      <c r="B90" s="9" t="s">
        <v>49</v>
      </c>
    </row>
    <row r="91" spans="1:12" x14ac:dyDescent="0.25">
      <c r="A91" s="8" t="s">
        <v>45</v>
      </c>
      <c r="B91" s="9" t="s">
        <v>50</v>
      </c>
    </row>
    <row r="92" spans="1:12" x14ac:dyDescent="0.25">
      <c r="A92" s="8" t="s">
        <v>45</v>
      </c>
      <c r="B92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9" fitToHeight="2" orientation="portrait" r:id="rId1"/>
  <headerFooter>
    <oddFooter>&amp;Cpage &amp;P of &amp;N&amp;RSCHEDULE MJL-S9 'REMOVALS'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workbookViewId="0">
      <selection activeCell="L10" sqref="L10"/>
    </sheetView>
  </sheetViews>
  <sheetFormatPr defaultRowHeight="15" x14ac:dyDescent="0.25"/>
  <cols>
    <col min="1" max="1" width="29.140625" customWidth="1"/>
    <col min="2" max="2" width="11.85546875" customWidth="1"/>
    <col min="3" max="3" width="7.42578125" customWidth="1"/>
    <col min="4" max="4" width="6.28515625" customWidth="1"/>
    <col min="5" max="5" width="29.8554687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9.140625" customWidth="1"/>
    <col min="13" max="15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26</v>
      </c>
      <c r="E7" s="4" t="s">
        <v>27</v>
      </c>
      <c r="F7" s="4" t="s">
        <v>103</v>
      </c>
      <c r="G7" s="4" t="s">
        <v>103</v>
      </c>
      <c r="H7" s="4" t="s">
        <v>102</v>
      </c>
      <c r="I7" s="4" t="s">
        <v>23</v>
      </c>
      <c r="J7" s="4" t="s">
        <v>101</v>
      </c>
      <c r="K7" s="4" t="s">
        <v>104</v>
      </c>
      <c r="L7" s="5">
        <v>-4878.7299999999996</v>
      </c>
    </row>
    <row r="8" spans="1:12" ht="22.5" x14ac:dyDescent="0.25">
      <c r="A8" s="4" t="s">
        <v>16</v>
      </c>
      <c r="B8" s="4" t="s">
        <v>17</v>
      </c>
      <c r="C8" s="4" t="s">
        <v>18</v>
      </c>
      <c r="D8" s="4" t="s">
        <v>34</v>
      </c>
      <c r="E8" s="4" t="s">
        <v>35</v>
      </c>
      <c r="F8" s="4" t="s">
        <v>103</v>
      </c>
      <c r="G8" s="4" t="s">
        <v>103</v>
      </c>
      <c r="H8" s="4" t="s">
        <v>102</v>
      </c>
      <c r="I8" s="4" t="s">
        <v>23</v>
      </c>
      <c r="J8" s="4" t="s">
        <v>101</v>
      </c>
      <c r="K8" s="4" t="s">
        <v>104</v>
      </c>
      <c r="L8" s="5">
        <v>-2500</v>
      </c>
    </row>
    <row r="9" spans="1:12" ht="22.5" x14ac:dyDescent="0.25">
      <c r="A9" s="4" t="s">
        <v>16</v>
      </c>
      <c r="B9" s="4" t="s">
        <v>17</v>
      </c>
      <c r="C9" s="4" t="s">
        <v>18</v>
      </c>
      <c r="D9" s="4" t="s">
        <v>34</v>
      </c>
      <c r="E9" s="4" t="s">
        <v>35</v>
      </c>
      <c r="F9" s="4" t="s">
        <v>103</v>
      </c>
      <c r="G9" s="4" t="s">
        <v>103</v>
      </c>
      <c r="H9" s="4" t="s">
        <v>102</v>
      </c>
      <c r="I9" s="4" t="s">
        <v>23</v>
      </c>
      <c r="J9" s="4" t="s">
        <v>101</v>
      </c>
      <c r="K9" s="4" t="s">
        <v>25</v>
      </c>
      <c r="L9" s="5">
        <v>-37000</v>
      </c>
    </row>
    <row r="10" spans="1:12" x14ac:dyDescent="0.25">
      <c r="A10" s="6" t="s">
        <v>43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46">
        <v>-44378.73</v>
      </c>
    </row>
    <row r="11" spans="1:12" x14ac:dyDescent="0.25">
      <c r="A11" s="1" t="s">
        <v>2</v>
      </c>
    </row>
    <row r="12" spans="1:12" x14ac:dyDescent="0.25">
      <c r="A12" s="1"/>
      <c r="B12" s="9" t="s">
        <v>44</v>
      </c>
    </row>
    <row r="13" spans="1:12" x14ac:dyDescent="0.25">
      <c r="A13" s="8" t="s">
        <v>45</v>
      </c>
      <c r="B13" s="9" t="s">
        <v>46</v>
      </c>
    </row>
    <row r="14" spans="1:12" x14ac:dyDescent="0.25">
      <c r="A14" s="8" t="s">
        <v>45</v>
      </c>
      <c r="B14" s="9" t="s">
        <v>47</v>
      </c>
    </row>
    <row r="15" spans="1:12" x14ac:dyDescent="0.25">
      <c r="A15" s="8" t="s">
        <v>45</v>
      </c>
      <c r="B15" s="9" t="s">
        <v>100</v>
      </c>
    </row>
    <row r="16" spans="1:12" x14ac:dyDescent="0.25">
      <c r="A16" s="8" t="s">
        <v>45</v>
      </c>
      <c r="B16" s="9" t="s">
        <v>49</v>
      </c>
    </row>
    <row r="17" spans="1:2" x14ac:dyDescent="0.25">
      <c r="A17" s="8" t="s">
        <v>45</v>
      </c>
      <c r="B17" s="9" t="s">
        <v>50</v>
      </c>
    </row>
    <row r="18" spans="1:2" x14ac:dyDescent="0.25">
      <c r="A18" s="8" t="s">
        <v>45</v>
      </c>
      <c r="B18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6" orientation="portrait" r:id="rId1"/>
  <headerFooter>
    <oddFooter>&amp;RSCHEDULE  MJL-S9 'SALVAGE'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workbookViewId="0">
      <selection activeCell="L16" sqref="L16"/>
    </sheetView>
  </sheetViews>
  <sheetFormatPr defaultRowHeight="15" x14ac:dyDescent="0.25"/>
  <cols>
    <col min="1" max="1" width="28.7109375" customWidth="1"/>
    <col min="2" max="2" width="10.85546875" customWidth="1"/>
    <col min="3" max="3" width="7.42578125" customWidth="1"/>
    <col min="4" max="4" width="6.28515625" customWidth="1"/>
    <col min="5" max="5" width="36.2851562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12.140625" customWidth="1"/>
    <col min="13" max="14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160</v>
      </c>
      <c r="E7" s="4" t="s">
        <v>158</v>
      </c>
      <c r="F7" s="4" t="s">
        <v>157</v>
      </c>
      <c r="G7" s="4" t="s">
        <v>157</v>
      </c>
      <c r="H7" s="4" t="s">
        <v>156</v>
      </c>
      <c r="I7" s="4" t="s">
        <v>23</v>
      </c>
      <c r="J7" s="4" t="s">
        <v>88</v>
      </c>
      <c r="K7" s="4" t="s">
        <v>155</v>
      </c>
      <c r="L7" s="5">
        <v>-5445057.6200000001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26</v>
      </c>
      <c r="E8" s="4" t="s">
        <v>27</v>
      </c>
      <c r="F8" s="4" t="s">
        <v>157</v>
      </c>
      <c r="G8" s="4" t="s">
        <v>157</v>
      </c>
      <c r="H8" s="4" t="s">
        <v>156</v>
      </c>
      <c r="I8" s="4" t="s">
        <v>23</v>
      </c>
      <c r="J8" s="4" t="s">
        <v>88</v>
      </c>
      <c r="K8" s="4" t="s">
        <v>155</v>
      </c>
      <c r="L8" s="5">
        <v>-32032359.82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28</v>
      </c>
      <c r="E9" s="4" t="s">
        <v>29</v>
      </c>
      <c r="F9" s="4" t="s">
        <v>157</v>
      </c>
      <c r="G9" s="4" t="s">
        <v>157</v>
      </c>
      <c r="H9" s="4" t="s">
        <v>156</v>
      </c>
      <c r="I9" s="4" t="s">
        <v>23</v>
      </c>
      <c r="J9" s="4" t="s">
        <v>88</v>
      </c>
      <c r="K9" s="4" t="s">
        <v>155</v>
      </c>
      <c r="L9" s="5">
        <v>-8618337.2300000004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30</v>
      </c>
      <c r="E10" s="4" t="s">
        <v>31</v>
      </c>
      <c r="F10" s="4" t="s">
        <v>157</v>
      </c>
      <c r="G10" s="4" t="s">
        <v>157</v>
      </c>
      <c r="H10" s="4" t="s">
        <v>156</v>
      </c>
      <c r="I10" s="4" t="s">
        <v>23</v>
      </c>
      <c r="J10" s="4" t="s">
        <v>88</v>
      </c>
      <c r="K10" s="4" t="s">
        <v>155</v>
      </c>
      <c r="L10" s="5">
        <v>-3563245.34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37</v>
      </c>
      <c r="E11" s="4" t="s">
        <v>38</v>
      </c>
      <c r="F11" s="4" t="s">
        <v>157</v>
      </c>
      <c r="G11" s="4" t="s">
        <v>157</v>
      </c>
      <c r="H11" s="4" t="s">
        <v>156</v>
      </c>
      <c r="I11" s="4" t="s">
        <v>23</v>
      </c>
      <c r="J11" s="4" t="s">
        <v>88</v>
      </c>
      <c r="K11" s="4" t="s">
        <v>155</v>
      </c>
      <c r="L11" s="5">
        <v>-47096.85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39</v>
      </c>
      <c r="E12" s="4" t="s">
        <v>40</v>
      </c>
      <c r="F12" s="4" t="s">
        <v>157</v>
      </c>
      <c r="G12" s="4" t="s">
        <v>157</v>
      </c>
      <c r="H12" s="4" t="s">
        <v>156</v>
      </c>
      <c r="I12" s="4" t="s">
        <v>23</v>
      </c>
      <c r="J12" s="4" t="s">
        <v>88</v>
      </c>
      <c r="K12" s="4" t="s">
        <v>155</v>
      </c>
      <c r="L12" s="5">
        <v>-49523.26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41</v>
      </c>
      <c r="E13" s="4" t="s">
        <v>42</v>
      </c>
      <c r="F13" s="4" t="s">
        <v>157</v>
      </c>
      <c r="G13" s="4" t="s">
        <v>157</v>
      </c>
      <c r="H13" s="4" t="s">
        <v>156</v>
      </c>
      <c r="I13" s="4" t="s">
        <v>23</v>
      </c>
      <c r="J13" s="4" t="s">
        <v>88</v>
      </c>
      <c r="K13" s="4" t="s">
        <v>155</v>
      </c>
      <c r="L13" s="5">
        <v>-412402.21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159</v>
      </c>
      <c r="E14" s="4" t="s">
        <v>158</v>
      </c>
      <c r="F14" s="4" t="s">
        <v>157</v>
      </c>
      <c r="G14" s="4" t="s">
        <v>157</v>
      </c>
      <c r="H14" s="4" t="s">
        <v>156</v>
      </c>
      <c r="I14" s="4" t="s">
        <v>23</v>
      </c>
      <c r="J14" s="4" t="s">
        <v>88</v>
      </c>
      <c r="K14" s="4" t="s">
        <v>155</v>
      </c>
      <c r="L14" s="5">
        <v>-1500300.3</v>
      </c>
    </row>
    <row r="15" spans="1:12" x14ac:dyDescent="0.25">
      <c r="A15" s="6" t="s">
        <v>43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46">
        <v>-51668322.630000003</v>
      </c>
    </row>
    <row r="16" spans="1:12" x14ac:dyDescent="0.25">
      <c r="A16" s="1" t="s">
        <v>2</v>
      </c>
    </row>
    <row r="17" spans="1:2" x14ac:dyDescent="0.25">
      <c r="A17" s="1"/>
      <c r="B17" s="9" t="s">
        <v>44</v>
      </c>
    </row>
    <row r="18" spans="1:2" x14ac:dyDescent="0.25">
      <c r="A18" s="8" t="s">
        <v>45</v>
      </c>
      <c r="B18" s="9" t="s">
        <v>46</v>
      </c>
    </row>
    <row r="19" spans="1:2" x14ac:dyDescent="0.25">
      <c r="A19" s="8" t="s">
        <v>45</v>
      </c>
      <c r="B19" s="9" t="s">
        <v>47</v>
      </c>
    </row>
    <row r="20" spans="1:2" x14ac:dyDescent="0.25">
      <c r="A20" s="8" t="s">
        <v>45</v>
      </c>
      <c r="B20" s="9" t="s">
        <v>154</v>
      </c>
    </row>
    <row r="21" spans="1:2" x14ac:dyDescent="0.25">
      <c r="A21" s="8" t="s">
        <v>45</v>
      </c>
      <c r="B21" s="9" t="s">
        <v>49</v>
      </c>
    </row>
    <row r="22" spans="1:2" x14ac:dyDescent="0.25">
      <c r="A22" s="8" t="s">
        <v>45</v>
      </c>
      <c r="B22" s="9" t="s">
        <v>50</v>
      </c>
    </row>
    <row r="23" spans="1:2" x14ac:dyDescent="0.25">
      <c r="A23" s="8" t="s">
        <v>45</v>
      </c>
      <c r="B23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2" orientation="portrait" r:id="rId1"/>
  <headerFooter>
    <oddFooter>&amp;RSCHEDULE MJL-S9 'DEPRECIATION'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opLeftCell="A73" zoomScale="90" zoomScaleNormal="90" workbookViewId="0">
      <selection activeCell="T102" sqref="T102"/>
    </sheetView>
  </sheetViews>
  <sheetFormatPr defaultColWidth="9.140625" defaultRowHeight="15" x14ac:dyDescent="0.25"/>
  <cols>
    <col min="1" max="1" width="10.140625" style="10" customWidth="1"/>
    <col min="2" max="2" width="27.42578125" style="10" bestFit="1" customWidth="1"/>
    <col min="3" max="3" width="22.42578125" style="10" customWidth="1"/>
    <col min="4" max="4" width="14.5703125" style="10" bestFit="1" customWidth="1"/>
    <col min="5" max="5" width="8.7109375" style="10" bestFit="1" customWidth="1"/>
    <col min="6" max="6" width="12.7109375" style="10" customWidth="1"/>
    <col min="7" max="7" width="27.42578125" style="10" bestFit="1" customWidth="1"/>
    <col min="8" max="9" width="14.5703125" style="10" bestFit="1" customWidth="1"/>
    <col min="10" max="10" width="8.85546875" style="10" customWidth="1"/>
    <col min="11" max="11" width="15.7109375" style="10" customWidth="1"/>
    <col min="12" max="12" width="27.42578125" style="10" bestFit="1" customWidth="1"/>
    <col min="13" max="14" width="14.5703125" style="10" bestFit="1" customWidth="1"/>
    <col min="15" max="15" width="9.140625" style="10"/>
    <col min="16" max="16" width="10.42578125" style="10" customWidth="1"/>
    <col min="17" max="17" width="27.42578125" style="10" bestFit="1" customWidth="1"/>
    <col min="18" max="18" width="14.5703125" style="10" bestFit="1" customWidth="1"/>
    <col min="19" max="19" width="16.28515625" style="10" customWidth="1"/>
    <col min="20" max="20" width="13.5703125" style="10" bestFit="1" customWidth="1"/>
    <col min="21" max="16384" width="9.140625" style="10"/>
  </cols>
  <sheetData>
    <row r="1" spans="1:11" x14ac:dyDescent="0.25">
      <c r="A1" s="10" t="s">
        <v>53</v>
      </c>
      <c r="C1" s="10" t="s">
        <v>54</v>
      </c>
      <c r="K1" s="11" t="s">
        <v>55</v>
      </c>
    </row>
    <row r="2" spans="1:11" x14ac:dyDescent="0.25">
      <c r="C2" s="12">
        <v>44561</v>
      </c>
      <c r="D2" s="12">
        <v>44561</v>
      </c>
      <c r="F2" s="10" t="s">
        <v>56</v>
      </c>
      <c r="H2" s="12">
        <v>44620</v>
      </c>
      <c r="I2" s="12">
        <v>45116</v>
      </c>
    </row>
    <row r="3" spans="1:11" s="13" customFormat="1" ht="45" x14ac:dyDescent="0.25">
      <c r="A3" s="13" t="s">
        <v>57</v>
      </c>
      <c r="B3" s="13" t="s">
        <v>58</v>
      </c>
      <c r="C3" s="14" t="s">
        <v>59</v>
      </c>
      <c r="D3" s="14" t="s">
        <v>60</v>
      </c>
      <c r="G3" s="13" t="s">
        <v>61</v>
      </c>
      <c r="H3" s="13" t="s">
        <v>62</v>
      </c>
      <c r="I3" s="14" t="s">
        <v>63</v>
      </c>
    </row>
    <row r="4" spans="1:11" x14ac:dyDescent="0.25">
      <c r="A4" s="10">
        <v>311</v>
      </c>
      <c r="B4" s="10" t="s">
        <v>64</v>
      </c>
      <c r="C4" s="15">
        <v>104422972.12</v>
      </c>
      <c r="D4" s="15">
        <v>40328759</v>
      </c>
      <c r="G4" s="16">
        <v>1.5900000000000001E-2</v>
      </c>
      <c r="H4" s="16">
        <v>3.44E-2</v>
      </c>
      <c r="I4" s="16">
        <v>3.56E-2</v>
      </c>
    </row>
    <row r="5" spans="1:11" x14ac:dyDescent="0.25">
      <c r="A5" s="10">
        <v>312</v>
      </c>
      <c r="B5" s="10" t="s">
        <v>65</v>
      </c>
      <c r="C5" s="15">
        <v>551682868.67999995</v>
      </c>
      <c r="D5" s="15">
        <v>198387865</v>
      </c>
      <c r="G5" s="16">
        <v>2.0899999999999998E-2</v>
      </c>
      <c r="H5" s="16">
        <v>4.1099999999999998E-2</v>
      </c>
      <c r="I5" s="16">
        <v>4.1200000000000001E-2</v>
      </c>
    </row>
    <row r="6" spans="1:11" x14ac:dyDescent="0.25">
      <c r="A6" s="10">
        <v>314</v>
      </c>
      <c r="B6" s="10" t="s">
        <v>66</v>
      </c>
      <c r="C6" s="15">
        <v>173844704.86000001</v>
      </c>
      <c r="D6" s="15">
        <v>77636026</v>
      </c>
      <c r="G6" s="16">
        <v>2.5700000000000001E-2</v>
      </c>
      <c r="H6" s="16">
        <v>3.3799999999999997E-2</v>
      </c>
      <c r="I6" s="16">
        <v>3.4599999999999999E-2</v>
      </c>
    </row>
    <row r="7" spans="1:11" x14ac:dyDescent="0.25">
      <c r="A7" s="10">
        <v>315</v>
      </c>
      <c r="B7" s="10" t="s">
        <v>67</v>
      </c>
      <c r="C7" s="15">
        <v>67576512.030000001</v>
      </c>
      <c r="D7" s="15">
        <v>27565264</v>
      </c>
      <c r="G7" s="16">
        <v>2.1100000000000001E-2</v>
      </c>
      <c r="H7" s="16">
        <v>3.39E-2</v>
      </c>
      <c r="I7" s="16">
        <v>3.5799999999999998E-2</v>
      </c>
    </row>
    <row r="8" spans="1:11" x14ac:dyDescent="0.25">
      <c r="A8" s="10">
        <v>316</v>
      </c>
      <c r="B8" s="10" t="s">
        <v>68</v>
      </c>
      <c r="C8" s="15">
        <v>17459371.760000002</v>
      </c>
      <c r="D8" s="15">
        <v>3809842</v>
      </c>
      <c r="G8" s="16">
        <v>3.6900000000000002E-2</v>
      </c>
      <c r="H8" s="16">
        <v>5.0500000000000003E-2</v>
      </c>
      <c r="I8" s="16">
        <v>5.6099999999999997E-2</v>
      </c>
    </row>
    <row r="9" spans="1:11" x14ac:dyDescent="0.25">
      <c r="A9" s="10">
        <v>316.20999999999998</v>
      </c>
      <c r="B9" s="10" t="s">
        <v>69</v>
      </c>
      <c r="C9" s="15">
        <v>707122.77</v>
      </c>
      <c r="D9" s="15">
        <v>342554</v>
      </c>
      <c r="G9" s="16">
        <v>0.05</v>
      </c>
      <c r="H9" s="16">
        <v>0.05</v>
      </c>
      <c r="I9" s="16">
        <v>0.05</v>
      </c>
    </row>
    <row r="10" spans="1:11" x14ac:dyDescent="0.25">
      <c r="A10" s="10">
        <v>316.22000000000003</v>
      </c>
      <c r="B10" s="10" t="s">
        <v>70</v>
      </c>
      <c r="C10" s="15">
        <v>452098.11</v>
      </c>
      <c r="D10" s="15">
        <v>320582</v>
      </c>
      <c r="G10" s="16">
        <v>6.6699999999999995E-2</v>
      </c>
      <c r="H10" s="16">
        <v>6.6699999999999995E-2</v>
      </c>
      <c r="I10" s="16">
        <v>6.6699999999999995E-2</v>
      </c>
    </row>
    <row r="11" spans="1:11" x14ac:dyDescent="0.25">
      <c r="A11" s="10">
        <v>316.23</v>
      </c>
      <c r="B11" s="10" t="s">
        <v>71</v>
      </c>
      <c r="C11" s="15">
        <v>1488761.14</v>
      </c>
      <c r="D11" s="15">
        <v>895352</v>
      </c>
      <c r="G11" s="16">
        <v>0.2</v>
      </c>
      <c r="H11" s="16">
        <v>0.2</v>
      </c>
      <c r="I11" s="16">
        <v>0.2</v>
      </c>
    </row>
    <row r="12" spans="1:11" s="11" customFormat="1" x14ac:dyDescent="0.25">
      <c r="B12" s="17" t="s">
        <v>72</v>
      </c>
      <c r="C12" s="18">
        <f>SUM(C4:C11)</f>
        <v>917634411.46999991</v>
      </c>
      <c r="D12" s="18">
        <f>SUM(D4:D11)</f>
        <v>349286244</v>
      </c>
    </row>
    <row r="14" spans="1:11" x14ac:dyDescent="0.25">
      <c r="A14" s="10" t="s">
        <v>73</v>
      </c>
    </row>
    <row r="15" spans="1:11" x14ac:dyDescent="0.25">
      <c r="A15" s="10" t="s">
        <v>74</v>
      </c>
    </row>
    <row r="16" spans="1:11" x14ac:dyDescent="0.25">
      <c r="A16" s="10" t="s">
        <v>75</v>
      </c>
    </row>
    <row r="17" spans="1:4" x14ac:dyDescent="0.25">
      <c r="A17" s="10" t="s">
        <v>76</v>
      </c>
    </row>
    <row r="20" spans="1:4" x14ac:dyDescent="0.25">
      <c r="C20" s="12">
        <v>44620</v>
      </c>
      <c r="D20" s="12">
        <v>44620</v>
      </c>
    </row>
    <row r="21" spans="1:4" ht="45" x14ac:dyDescent="0.25">
      <c r="A21" s="13" t="s">
        <v>57</v>
      </c>
      <c r="B21" s="13" t="s">
        <v>58</v>
      </c>
      <c r="C21" s="14" t="s">
        <v>59</v>
      </c>
      <c r="D21" s="14" t="s">
        <v>60</v>
      </c>
    </row>
    <row r="22" spans="1:4" x14ac:dyDescent="0.25">
      <c r="A22" s="10">
        <v>311</v>
      </c>
      <c r="B22" s="10" t="s">
        <v>64</v>
      </c>
      <c r="C22" s="15">
        <v>104422972.12</v>
      </c>
      <c r="D22" s="15">
        <f>D4+((C4*G4)*(2/12))</f>
        <v>40605479.876117997</v>
      </c>
    </row>
    <row r="23" spans="1:4" x14ac:dyDescent="0.25">
      <c r="A23" s="10">
        <v>312</v>
      </c>
      <c r="B23" s="10" t="s">
        <v>65</v>
      </c>
      <c r="C23" s="15">
        <v>551682868.67999995</v>
      </c>
      <c r="D23" s="15">
        <f t="shared" ref="D23:D25" si="0">D5+((C5*G5)*(2/12))</f>
        <v>200309560.32590199</v>
      </c>
    </row>
    <row r="24" spans="1:4" x14ac:dyDescent="0.25">
      <c r="A24" s="10">
        <v>314</v>
      </c>
      <c r="B24" s="10" t="s">
        <v>66</v>
      </c>
      <c r="C24" s="15">
        <v>173844704.86000001</v>
      </c>
      <c r="D24" s="15">
        <f t="shared" si="0"/>
        <v>78380660.819150329</v>
      </c>
    </row>
    <row r="25" spans="1:4" x14ac:dyDescent="0.25">
      <c r="A25" s="10">
        <v>315</v>
      </c>
      <c r="B25" s="10" t="s">
        <v>67</v>
      </c>
      <c r="C25" s="15">
        <v>67576512.030000001</v>
      </c>
      <c r="D25" s="15">
        <f t="shared" si="0"/>
        <v>27802908.067305502</v>
      </c>
    </row>
    <row r="26" spans="1:4" x14ac:dyDescent="0.25">
      <c r="A26" s="10">
        <v>316</v>
      </c>
      <c r="B26" s="10" t="s">
        <v>68</v>
      </c>
      <c r="C26" s="15">
        <v>17459371.760000002</v>
      </c>
      <c r="D26" s="15">
        <f>D8+((C8*G8)*(2/12))</f>
        <v>3917217.1363240001</v>
      </c>
    </row>
    <row r="27" spans="1:4" x14ac:dyDescent="0.25">
      <c r="A27" s="10">
        <v>316.20999999999998</v>
      </c>
      <c r="B27" s="10" t="s">
        <v>69</v>
      </c>
      <c r="C27" s="15">
        <v>707122.77</v>
      </c>
      <c r="D27" s="15">
        <f>D9+((C9*G9)*(2/12))</f>
        <v>348446.68975000002</v>
      </c>
    </row>
    <row r="28" spans="1:4" x14ac:dyDescent="0.25">
      <c r="A28" s="10">
        <v>316.22000000000003</v>
      </c>
      <c r="B28" s="10" t="s">
        <v>70</v>
      </c>
      <c r="C28" s="15">
        <v>452098.11</v>
      </c>
      <c r="D28" s="15">
        <f>D10+((C10*G10)*(2/12))</f>
        <v>325607.8239895</v>
      </c>
    </row>
    <row r="29" spans="1:4" x14ac:dyDescent="0.25">
      <c r="A29" s="10">
        <v>316.23</v>
      </c>
      <c r="B29" s="10" t="s">
        <v>71</v>
      </c>
      <c r="C29" s="15">
        <v>1488761.14</v>
      </c>
      <c r="D29" s="15">
        <f>D11+((C11*G11)*(2/12))</f>
        <v>944977.37133333331</v>
      </c>
    </row>
    <row r="30" spans="1:4" x14ac:dyDescent="0.25">
      <c r="A30" s="11"/>
      <c r="B30" s="17" t="s">
        <v>72</v>
      </c>
      <c r="C30" s="18">
        <f>SUM(C22:C29)</f>
        <v>917634411.46999991</v>
      </c>
      <c r="D30" s="18">
        <f>SUM(D22:D29)</f>
        <v>352634858.1098727</v>
      </c>
    </row>
    <row r="32" spans="1:4" x14ac:dyDescent="0.25">
      <c r="C32" s="12">
        <v>44926</v>
      </c>
      <c r="D32" s="12">
        <v>44926</v>
      </c>
    </row>
    <row r="33" spans="1:4" ht="45" x14ac:dyDescent="0.25">
      <c r="A33" s="13" t="s">
        <v>57</v>
      </c>
      <c r="B33" s="13" t="s">
        <v>58</v>
      </c>
      <c r="C33" s="14" t="s">
        <v>59</v>
      </c>
      <c r="D33" s="14" t="s">
        <v>60</v>
      </c>
    </row>
    <row r="34" spans="1:4" x14ac:dyDescent="0.25">
      <c r="A34" s="10">
        <v>311</v>
      </c>
      <c r="B34" s="10" t="s">
        <v>64</v>
      </c>
      <c r="C34" s="15">
        <v>104422972.12</v>
      </c>
      <c r="D34" s="15">
        <f>D22+((C4*H4)*(10/12))</f>
        <v>43598938.410224661</v>
      </c>
    </row>
    <row r="35" spans="1:4" x14ac:dyDescent="0.25">
      <c r="A35" s="10">
        <v>312</v>
      </c>
      <c r="B35" s="10" t="s">
        <v>65</v>
      </c>
      <c r="C35" s="15">
        <v>551682868.67999995</v>
      </c>
      <c r="D35" s="15">
        <f t="shared" ref="D35:D41" si="1">D23+((C5*H5)*(10/12))</f>
        <v>219204698.578192</v>
      </c>
    </row>
    <row r="36" spans="1:4" x14ac:dyDescent="0.25">
      <c r="A36" s="10">
        <v>314</v>
      </c>
      <c r="B36" s="10" t="s">
        <v>66</v>
      </c>
      <c r="C36" s="15">
        <v>173844704.86000001</v>
      </c>
      <c r="D36" s="15">
        <f t="shared" si="1"/>
        <v>83277286.672706991</v>
      </c>
    </row>
    <row r="37" spans="1:4" x14ac:dyDescent="0.25">
      <c r="A37" s="10">
        <v>315</v>
      </c>
      <c r="B37" s="10" t="s">
        <v>67</v>
      </c>
      <c r="C37" s="15">
        <v>67576512.030000001</v>
      </c>
      <c r="D37" s="15">
        <f t="shared" si="1"/>
        <v>29711944.532153003</v>
      </c>
    </row>
    <row r="38" spans="1:4" x14ac:dyDescent="0.25">
      <c r="A38" s="10">
        <v>316</v>
      </c>
      <c r="B38" s="10" t="s">
        <v>68</v>
      </c>
      <c r="C38" s="15">
        <v>17459371.760000002</v>
      </c>
      <c r="D38" s="15">
        <f t="shared" si="1"/>
        <v>4651965.6978906672</v>
      </c>
    </row>
    <row r="39" spans="1:4" x14ac:dyDescent="0.25">
      <c r="A39" s="10">
        <v>316.20999999999998</v>
      </c>
      <c r="B39" s="10" t="s">
        <v>69</v>
      </c>
      <c r="C39" s="15">
        <v>707122.77</v>
      </c>
      <c r="D39" s="15">
        <f t="shared" si="1"/>
        <v>377910.1385</v>
      </c>
    </row>
    <row r="40" spans="1:4" x14ac:dyDescent="0.25">
      <c r="A40" s="10">
        <v>316.22000000000003</v>
      </c>
      <c r="B40" s="10" t="s">
        <v>70</v>
      </c>
      <c r="C40" s="15">
        <v>452098.11</v>
      </c>
      <c r="D40" s="15">
        <f t="shared" si="1"/>
        <v>350736.943937</v>
      </c>
    </row>
    <row r="41" spans="1:4" x14ac:dyDescent="0.25">
      <c r="A41" s="10">
        <v>316.23</v>
      </c>
      <c r="B41" s="10" t="s">
        <v>71</v>
      </c>
      <c r="C41" s="15">
        <v>1488761.14</v>
      </c>
      <c r="D41" s="15">
        <f t="shared" si="1"/>
        <v>1193104.2280000001</v>
      </c>
    </row>
    <row r="42" spans="1:4" x14ac:dyDescent="0.25">
      <c r="A42" s="11"/>
      <c r="B42" s="17" t="s">
        <v>72</v>
      </c>
      <c r="C42" s="18">
        <f>SUM(C34:C41)</f>
        <v>917634411.46999991</v>
      </c>
      <c r="D42" s="18">
        <f>SUM(D34:D41)</f>
        <v>382366585.20160425</v>
      </c>
    </row>
    <row r="44" spans="1:4" x14ac:dyDescent="0.25">
      <c r="C44" s="12">
        <v>45107</v>
      </c>
      <c r="D44" s="12">
        <v>45107</v>
      </c>
    </row>
    <row r="45" spans="1:4" ht="45" x14ac:dyDescent="0.25">
      <c r="A45" s="13" t="s">
        <v>57</v>
      </c>
      <c r="B45" s="13" t="s">
        <v>58</v>
      </c>
      <c r="C45" s="14" t="s">
        <v>59</v>
      </c>
      <c r="D45" s="14" t="s">
        <v>60</v>
      </c>
    </row>
    <row r="46" spans="1:4" x14ac:dyDescent="0.25">
      <c r="A46" s="10">
        <v>311</v>
      </c>
      <c r="B46" s="10" t="s">
        <v>64</v>
      </c>
      <c r="C46" s="15">
        <v>104422972.12</v>
      </c>
      <c r="D46" s="15">
        <f>D34+((C4*H4)*(6/12))</f>
        <v>45395013.530688658</v>
      </c>
    </row>
    <row r="47" spans="1:4" x14ac:dyDescent="0.25">
      <c r="A47" s="10">
        <v>312</v>
      </c>
      <c r="B47" s="10" t="s">
        <v>65</v>
      </c>
      <c r="C47" s="15">
        <v>551682868.67999995</v>
      </c>
      <c r="D47" s="15">
        <f t="shared" ref="D47:D53" si="2">D35+((C5*H5)*(6/12))</f>
        <v>230541781.52956599</v>
      </c>
    </row>
    <row r="48" spans="1:4" x14ac:dyDescent="0.25">
      <c r="A48" s="10">
        <v>314</v>
      </c>
      <c r="B48" s="10" t="s">
        <v>66</v>
      </c>
      <c r="C48" s="15">
        <v>173844704.86000001</v>
      </c>
      <c r="D48" s="15">
        <f t="shared" si="2"/>
        <v>86215262.184840992</v>
      </c>
    </row>
    <row r="49" spans="1:4" x14ac:dyDescent="0.25">
      <c r="A49" s="10">
        <v>315</v>
      </c>
      <c r="B49" s="10" t="s">
        <v>67</v>
      </c>
      <c r="C49" s="15">
        <v>67576512.030000001</v>
      </c>
      <c r="D49" s="15">
        <f t="shared" si="2"/>
        <v>30857366.411061503</v>
      </c>
    </row>
    <row r="50" spans="1:4" x14ac:dyDescent="0.25">
      <c r="A50" s="10">
        <v>316</v>
      </c>
      <c r="B50" s="10" t="s">
        <v>68</v>
      </c>
      <c r="C50" s="15">
        <v>17459371.760000002</v>
      </c>
      <c r="D50" s="15">
        <f t="shared" si="2"/>
        <v>5092814.8348306669</v>
      </c>
    </row>
    <row r="51" spans="1:4" x14ac:dyDescent="0.25">
      <c r="A51" s="10">
        <v>316.20999999999998</v>
      </c>
      <c r="B51" s="10" t="s">
        <v>69</v>
      </c>
      <c r="C51" s="15">
        <v>707122.77</v>
      </c>
      <c r="D51" s="15">
        <f t="shared" si="2"/>
        <v>395588.20775</v>
      </c>
    </row>
    <row r="52" spans="1:4" x14ac:dyDescent="0.25">
      <c r="A52" s="10">
        <v>316.22000000000003</v>
      </c>
      <c r="B52" s="10" t="s">
        <v>70</v>
      </c>
      <c r="C52" s="15">
        <v>452098.11</v>
      </c>
      <c r="D52" s="15">
        <f t="shared" si="2"/>
        <v>365814.41590550001</v>
      </c>
    </row>
    <row r="53" spans="1:4" x14ac:dyDescent="0.25">
      <c r="A53" s="10">
        <v>316.23</v>
      </c>
      <c r="B53" s="10" t="s">
        <v>71</v>
      </c>
      <c r="C53" s="15">
        <v>1488761.14</v>
      </c>
      <c r="D53" s="15">
        <f t="shared" si="2"/>
        <v>1341980.3420000002</v>
      </c>
    </row>
    <row r="54" spans="1:4" x14ac:dyDescent="0.25">
      <c r="A54" s="11"/>
      <c r="B54" s="17" t="s">
        <v>72</v>
      </c>
      <c r="C54" s="18">
        <f>SUM(C46:C53)</f>
        <v>917634411.46999991</v>
      </c>
      <c r="D54" s="18">
        <f>SUM(D46:D53)</f>
        <v>400205621.45664328</v>
      </c>
    </row>
    <row r="56" spans="1:4" x14ac:dyDescent="0.25">
      <c r="C56" s="12">
        <v>45291</v>
      </c>
      <c r="D56" s="12">
        <v>45291</v>
      </c>
    </row>
    <row r="57" spans="1:4" ht="45" x14ac:dyDescent="0.25">
      <c r="A57" s="13" t="s">
        <v>57</v>
      </c>
      <c r="B57" s="13" t="s">
        <v>58</v>
      </c>
      <c r="C57" s="14" t="s">
        <v>59</v>
      </c>
      <c r="D57" s="14" t="s">
        <v>60</v>
      </c>
    </row>
    <row r="58" spans="1:4" x14ac:dyDescent="0.25">
      <c r="A58" s="10">
        <v>311</v>
      </c>
      <c r="B58" s="10" t="s">
        <v>64</v>
      </c>
      <c r="C58" s="15">
        <v>104422972.12</v>
      </c>
      <c r="D58" s="15">
        <f>D46+((C4*I4)*(6/12))</f>
        <v>47253742.434424661</v>
      </c>
    </row>
    <row r="59" spans="1:4" x14ac:dyDescent="0.25">
      <c r="A59" s="10">
        <v>312</v>
      </c>
      <c r="B59" s="10" t="s">
        <v>65</v>
      </c>
      <c r="C59" s="15">
        <v>551682868.67999995</v>
      </c>
      <c r="D59" s="15">
        <f t="shared" ref="D59:D65" si="3">D47+((C5*I5)*(6/12))</f>
        <v>241906448.624374</v>
      </c>
    </row>
    <row r="60" spans="1:4" x14ac:dyDescent="0.25">
      <c r="A60" s="10">
        <v>314</v>
      </c>
      <c r="B60" s="10" t="s">
        <v>66</v>
      </c>
      <c r="C60" s="15">
        <v>173844704.86000001</v>
      </c>
      <c r="D60" s="15">
        <f t="shared" si="3"/>
        <v>89222775.578918993</v>
      </c>
    </row>
    <row r="61" spans="1:4" x14ac:dyDescent="0.25">
      <c r="A61" s="10">
        <v>315</v>
      </c>
      <c r="B61" s="10" t="s">
        <v>67</v>
      </c>
      <c r="C61" s="15">
        <v>67576512.030000001</v>
      </c>
      <c r="D61" s="15">
        <f t="shared" si="3"/>
        <v>32066985.976398502</v>
      </c>
    </row>
    <row r="62" spans="1:4" x14ac:dyDescent="0.25">
      <c r="A62" s="10">
        <v>316</v>
      </c>
      <c r="B62" s="10" t="s">
        <v>68</v>
      </c>
      <c r="C62" s="15">
        <v>17459371.760000002</v>
      </c>
      <c r="D62" s="15">
        <f t="shared" si="3"/>
        <v>5582550.2126986673</v>
      </c>
    </row>
    <row r="63" spans="1:4" x14ac:dyDescent="0.25">
      <c r="A63" s="10">
        <v>316.20999999999998</v>
      </c>
      <c r="B63" s="10" t="s">
        <v>69</v>
      </c>
      <c r="C63" s="15">
        <v>707122.77</v>
      </c>
      <c r="D63" s="15">
        <f t="shared" si="3"/>
        <v>413266.277</v>
      </c>
    </row>
    <row r="64" spans="1:4" x14ac:dyDescent="0.25">
      <c r="A64" s="10">
        <v>316.22000000000003</v>
      </c>
      <c r="B64" s="10" t="s">
        <v>70</v>
      </c>
      <c r="C64" s="15">
        <v>452098.11</v>
      </c>
      <c r="D64" s="15">
        <f t="shared" si="3"/>
        <v>380891.88787400001</v>
      </c>
    </row>
    <row r="65" spans="1:19" x14ac:dyDescent="0.25">
      <c r="A65" s="10">
        <v>316.23</v>
      </c>
      <c r="B65" s="10" t="s">
        <v>71</v>
      </c>
      <c r="C65" s="15">
        <v>1488761.14</v>
      </c>
      <c r="D65" s="15">
        <f t="shared" si="3"/>
        <v>1490856.4560000002</v>
      </c>
    </row>
    <row r="66" spans="1:19" x14ac:dyDescent="0.25">
      <c r="A66" s="11"/>
      <c r="B66" s="17" t="s">
        <v>72</v>
      </c>
      <c r="C66" s="18">
        <f>SUM(C58:C65)</f>
        <v>917634411.46999991</v>
      </c>
      <c r="D66" s="18">
        <f>SUM(D58:D65)</f>
        <v>418317517.44768882</v>
      </c>
    </row>
    <row r="69" spans="1:19" x14ac:dyDescent="0.25">
      <c r="C69" s="12">
        <v>45535</v>
      </c>
      <c r="D69" s="12">
        <v>45535</v>
      </c>
      <c r="H69" s="12">
        <v>45550</v>
      </c>
      <c r="I69" s="12">
        <v>45550</v>
      </c>
      <c r="J69" s="12"/>
      <c r="M69" s="12">
        <v>45565</v>
      </c>
      <c r="N69" s="12">
        <v>45565</v>
      </c>
      <c r="R69" s="12">
        <v>45580</v>
      </c>
      <c r="S69" s="12">
        <v>45580</v>
      </c>
    </row>
    <row r="70" spans="1:19" ht="45" x14ac:dyDescent="0.25">
      <c r="A70" s="13" t="s">
        <v>57</v>
      </c>
      <c r="B70" s="13" t="s">
        <v>58</v>
      </c>
      <c r="C70" s="14" t="s">
        <v>59</v>
      </c>
      <c r="D70" s="14" t="s">
        <v>60</v>
      </c>
      <c r="F70" s="13" t="s">
        <v>57</v>
      </c>
      <c r="G70" s="13" t="s">
        <v>58</v>
      </c>
      <c r="H70" s="14" t="s">
        <v>59</v>
      </c>
      <c r="I70" s="14" t="s">
        <v>60</v>
      </c>
      <c r="J70" s="14"/>
      <c r="K70" s="13" t="s">
        <v>57</v>
      </c>
      <c r="L70" s="13" t="s">
        <v>58</v>
      </c>
      <c r="M70" s="14" t="s">
        <v>59</v>
      </c>
      <c r="N70" s="14" t="s">
        <v>60</v>
      </c>
      <c r="P70" s="13" t="s">
        <v>57</v>
      </c>
      <c r="Q70" s="13" t="s">
        <v>58</v>
      </c>
      <c r="R70" s="14" t="s">
        <v>59</v>
      </c>
      <c r="S70" s="14" t="s">
        <v>60</v>
      </c>
    </row>
    <row r="71" spans="1:19" x14ac:dyDescent="0.25">
      <c r="A71" s="10">
        <v>311</v>
      </c>
      <c r="B71" s="10" t="s">
        <v>64</v>
      </c>
      <c r="C71" s="15">
        <v>104422972.12</v>
      </c>
      <c r="D71" s="15">
        <f>D58+((C4*I4)*(8/12))</f>
        <v>49732047.639405996</v>
      </c>
      <c r="F71" s="10">
        <v>311</v>
      </c>
      <c r="G71" s="10" t="s">
        <v>64</v>
      </c>
      <c r="H71" s="15">
        <v>104422972.12</v>
      </c>
      <c r="I71" s="15">
        <f>D58+((C4*I4)*(8.5/12))</f>
        <v>49886941.714717329</v>
      </c>
      <c r="J71" s="15"/>
      <c r="K71" s="10">
        <v>311</v>
      </c>
      <c r="L71" s="10" t="s">
        <v>64</v>
      </c>
      <c r="M71" s="15">
        <v>104422972.12</v>
      </c>
      <c r="N71" s="15">
        <f>D58+((C4*I4)*(9/12))</f>
        <v>50041835.790028661</v>
      </c>
      <c r="P71" s="10">
        <v>311</v>
      </c>
      <c r="Q71" s="10" t="s">
        <v>64</v>
      </c>
      <c r="R71" s="15">
        <v>104422972.12</v>
      </c>
      <c r="S71" s="15">
        <f t="shared" ref="S71:S78" si="4">D58+((C4*I4)*(9.5/12))</f>
        <v>50196729.865339994</v>
      </c>
    </row>
    <row r="72" spans="1:19" x14ac:dyDescent="0.25">
      <c r="A72" s="10">
        <v>312</v>
      </c>
      <c r="B72" s="10" t="s">
        <v>65</v>
      </c>
      <c r="C72" s="15">
        <v>551682868.67999995</v>
      </c>
      <c r="D72" s="15">
        <f t="shared" ref="D72:D78" si="5">D59+((C5*I5)*(8/12))</f>
        <v>257059338.08411801</v>
      </c>
      <c r="F72" s="10">
        <v>312</v>
      </c>
      <c r="G72" s="10" t="s">
        <v>65</v>
      </c>
      <c r="H72" s="15">
        <v>551682868.67999995</v>
      </c>
      <c r="I72" s="15">
        <f t="shared" ref="I72:I78" si="6">D59+((C5*I5)*(8.5/12))</f>
        <v>258006393.67535201</v>
      </c>
      <c r="J72" s="15"/>
      <c r="K72" s="10">
        <v>312</v>
      </c>
      <c r="L72" s="10" t="s">
        <v>65</v>
      </c>
      <c r="M72" s="15">
        <v>551682868.67999995</v>
      </c>
      <c r="N72" s="15">
        <f t="shared" ref="N72:N78" si="7">D59+((C5*I5)*(9/12))</f>
        <v>258953449.26658601</v>
      </c>
      <c r="P72" s="10">
        <v>312</v>
      </c>
      <c r="Q72" s="10" t="s">
        <v>65</v>
      </c>
      <c r="R72" s="15">
        <v>551682868.67999995</v>
      </c>
      <c r="S72" s="15">
        <f t="shared" si="4"/>
        <v>259900504.85782</v>
      </c>
    </row>
    <row r="73" spans="1:19" x14ac:dyDescent="0.25">
      <c r="A73" s="10">
        <v>314</v>
      </c>
      <c r="B73" s="10" t="s">
        <v>66</v>
      </c>
      <c r="C73" s="15">
        <v>173844704.86000001</v>
      </c>
      <c r="D73" s="15">
        <f t="shared" si="5"/>
        <v>93232793.437689662</v>
      </c>
      <c r="F73" s="10">
        <v>314</v>
      </c>
      <c r="G73" s="10" t="s">
        <v>66</v>
      </c>
      <c r="H73" s="15">
        <v>173844704.86000001</v>
      </c>
      <c r="I73" s="15">
        <f t="shared" si="6"/>
        <v>93483419.553862825</v>
      </c>
      <c r="J73" s="15"/>
      <c r="K73" s="10">
        <v>314</v>
      </c>
      <c r="L73" s="10" t="s">
        <v>66</v>
      </c>
      <c r="M73" s="15">
        <v>173844704.86000001</v>
      </c>
      <c r="N73" s="15">
        <f t="shared" si="7"/>
        <v>93734045.670035988</v>
      </c>
      <c r="P73" s="10">
        <v>314</v>
      </c>
      <c r="Q73" s="10" t="s">
        <v>66</v>
      </c>
      <c r="R73" s="15">
        <v>173844704.86000001</v>
      </c>
      <c r="S73" s="15">
        <f t="shared" si="4"/>
        <v>93984671.786209166</v>
      </c>
    </row>
    <row r="74" spans="1:19" x14ac:dyDescent="0.25">
      <c r="A74" s="10">
        <v>315</v>
      </c>
      <c r="B74" s="10" t="s">
        <v>67</v>
      </c>
      <c r="C74" s="15">
        <v>67576512.030000001</v>
      </c>
      <c r="D74" s="15">
        <f t="shared" si="5"/>
        <v>33679812.063514501</v>
      </c>
      <c r="F74" s="10">
        <v>315</v>
      </c>
      <c r="G74" s="10" t="s">
        <v>67</v>
      </c>
      <c r="H74" s="15">
        <v>67576512.030000001</v>
      </c>
      <c r="I74" s="15">
        <f t="shared" si="6"/>
        <v>33780613.693959251</v>
      </c>
      <c r="J74" s="15"/>
      <c r="K74" s="10">
        <v>315</v>
      </c>
      <c r="L74" s="10" t="s">
        <v>67</v>
      </c>
      <c r="M74" s="15">
        <v>67576512.030000001</v>
      </c>
      <c r="N74" s="15">
        <f t="shared" si="7"/>
        <v>33881415.324404001</v>
      </c>
      <c r="P74" s="10">
        <v>315</v>
      </c>
      <c r="Q74" s="10" t="s">
        <v>67</v>
      </c>
      <c r="R74" s="15">
        <v>67576512.030000001</v>
      </c>
      <c r="S74" s="15">
        <f t="shared" si="4"/>
        <v>33982216.954848751</v>
      </c>
    </row>
    <row r="75" spans="1:19" x14ac:dyDescent="0.25">
      <c r="A75" s="10">
        <v>316</v>
      </c>
      <c r="B75" s="10" t="s">
        <v>68</v>
      </c>
      <c r="C75" s="15">
        <v>17459371.760000002</v>
      </c>
      <c r="D75" s="15">
        <f t="shared" si="5"/>
        <v>6235530.7165226676</v>
      </c>
      <c r="F75" s="10">
        <v>316</v>
      </c>
      <c r="G75" s="10" t="s">
        <v>68</v>
      </c>
      <c r="H75" s="15">
        <v>17459371.760000002</v>
      </c>
      <c r="I75" s="15">
        <f t="shared" si="6"/>
        <v>6276341.9980116673</v>
      </c>
      <c r="J75" s="15"/>
      <c r="K75" s="10">
        <v>316</v>
      </c>
      <c r="L75" s="10" t="s">
        <v>68</v>
      </c>
      <c r="M75" s="15">
        <v>17459371.760000002</v>
      </c>
      <c r="N75" s="15">
        <f t="shared" si="7"/>
        <v>6317153.279500667</v>
      </c>
      <c r="P75" s="10">
        <v>316</v>
      </c>
      <c r="Q75" s="10" t="s">
        <v>68</v>
      </c>
      <c r="R75" s="15">
        <v>17459371.760000002</v>
      </c>
      <c r="S75" s="15">
        <f t="shared" si="4"/>
        <v>6357964.5609896677</v>
      </c>
    </row>
    <row r="76" spans="1:19" x14ac:dyDescent="0.25">
      <c r="A76" s="10">
        <v>316.20999999999998</v>
      </c>
      <c r="B76" s="10" t="s">
        <v>69</v>
      </c>
      <c r="C76" s="15">
        <v>707122.77</v>
      </c>
      <c r="D76" s="15">
        <f t="shared" si="5"/>
        <v>436837.03600000002</v>
      </c>
      <c r="F76" s="10">
        <v>316.20999999999998</v>
      </c>
      <c r="G76" s="10" t="s">
        <v>69</v>
      </c>
      <c r="H76" s="15">
        <v>707122.77</v>
      </c>
      <c r="I76" s="15">
        <f t="shared" si="6"/>
        <v>438310.2084375</v>
      </c>
      <c r="J76" s="15"/>
      <c r="K76" s="10">
        <v>316.20999999999998</v>
      </c>
      <c r="L76" s="10" t="s">
        <v>69</v>
      </c>
      <c r="M76" s="15">
        <v>707122.77</v>
      </c>
      <c r="N76" s="15">
        <f t="shared" si="7"/>
        <v>439783.38087500003</v>
      </c>
      <c r="P76" s="10">
        <v>316.20999999999998</v>
      </c>
      <c r="Q76" s="10" t="s">
        <v>69</v>
      </c>
      <c r="R76" s="15">
        <v>707122.77</v>
      </c>
      <c r="S76" s="15">
        <f t="shared" si="4"/>
        <v>441256.55331250001</v>
      </c>
    </row>
    <row r="77" spans="1:19" x14ac:dyDescent="0.25">
      <c r="A77" s="10">
        <v>316.22000000000003</v>
      </c>
      <c r="B77" s="10" t="s">
        <v>70</v>
      </c>
      <c r="C77" s="15">
        <v>452098.11</v>
      </c>
      <c r="D77" s="15">
        <f t="shared" si="5"/>
        <v>400995.18383200001</v>
      </c>
      <c r="F77" s="10">
        <v>316.22000000000003</v>
      </c>
      <c r="G77" s="10" t="s">
        <v>70</v>
      </c>
      <c r="H77" s="15">
        <v>452098.11</v>
      </c>
      <c r="I77" s="15">
        <f t="shared" si="6"/>
        <v>402251.63982937502</v>
      </c>
      <c r="J77" s="15"/>
      <c r="K77" s="10">
        <v>316.22000000000003</v>
      </c>
      <c r="L77" s="10" t="s">
        <v>70</v>
      </c>
      <c r="M77" s="15">
        <v>452098.11</v>
      </c>
      <c r="N77" s="15">
        <f t="shared" si="7"/>
        <v>403508.09582674998</v>
      </c>
      <c r="P77" s="10">
        <v>316.22000000000003</v>
      </c>
      <c r="Q77" s="10" t="s">
        <v>70</v>
      </c>
      <c r="R77" s="15">
        <v>452098.11</v>
      </c>
      <c r="S77" s="15">
        <f t="shared" si="4"/>
        <v>404764.551824125</v>
      </c>
    </row>
    <row r="78" spans="1:19" x14ac:dyDescent="0.25">
      <c r="A78" s="10">
        <v>316.23</v>
      </c>
      <c r="B78" s="10" t="s">
        <v>71</v>
      </c>
      <c r="C78" s="15">
        <v>1488761.14</v>
      </c>
      <c r="D78" s="15">
        <f t="shared" si="5"/>
        <v>1689357.9413333335</v>
      </c>
      <c r="F78" s="10">
        <v>316.23</v>
      </c>
      <c r="G78" s="10" t="s">
        <v>71</v>
      </c>
      <c r="H78" s="15">
        <v>1488761.14</v>
      </c>
      <c r="I78" s="15">
        <f t="shared" si="6"/>
        <v>1701764.2841666669</v>
      </c>
      <c r="J78" s="15"/>
      <c r="K78" s="10">
        <v>316.23</v>
      </c>
      <c r="L78" s="10" t="s">
        <v>71</v>
      </c>
      <c r="M78" s="15">
        <v>1488761.14</v>
      </c>
      <c r="N78" s="15">
        <f t="shared" si="7"/>
        <v>1714170.6270000003</v>
      </c>
      <c r="P78" s="10">
        <v>316.23</v>
      </c>
      <c r="Q78" s="10" t="s">
        <v>71</v>
      </c>
      <c r="R78" s="15">
        <v>1488761.14</v>
      </c>
      <c r="S78" s="15">
        <f t="shared" si="4"/>
        <v>1726576.9698333335</v>
      </c>
    </row>
    <row r="79" spans="1:19" x14ac:dyDescent="0.25">
      <c r="A79" s="11"/>
      <c r="B79" s="17" t="s">
        <v>72</v>
      </c>
      <c r="C79" s="18">
        <f>SUM(C71:C78)</f>
        <v>917634411.46999991</v>
      </c>
      <c r="D79" s="18">
        <f>SUM(D71:D78)</f>
        <v>442466712.10241616</v>
      </c>
      <c r="F79" s="11"/>
      <c r="G79" s="17" t="s">
        <v>72</v>
      </c>
      <c r="H79" s="18">
        <f>SUM(H71:H78)</f>
        <v>917634411.46999991</v>
      </c>
      <c r="I79" s="18">
        <f>SUM(I71:I78)</f>
        <v>443976036.76833665</v>
      </c>
      <c r="J79" s="18"/>
      <c r="K79" s="11"/>
      <c r="L79" s="17" t="s">
        <v>72</v>
      </c>
      <c r="M79" s="18">
        <f>SUM(M71:M78)</f>
        <v>917634411.46999991</v>
      </c>
      <c r="N79" s="18">
        <f>SUM(N71:N78)</f>
        <v>445485361.43425697</v>
      </c>
      <c r="P79" s="11"/>
      <c r="Q79" s="17" t="s">
        <v>72</v>
      </c>
      <c r="R79" s="18">
        <f>SUM(R71:R78)</f>
        <v>917634411.46999991</v>
      </c>
      <c r="S79" s="18">
        <f>SUM(S71:S78)</f>
        <v>446994686.10017759</v>
      </c>
    </row>
    <row r="81" spans="1:19" x14ac:dyDescent="0.25">
      <c r="D81" s="15">
        <f>C79-D79</f>
        <v>475167699.36758375</v>
      </c>
      <c r="I81" s="15">
        <f>H79-I79</f>
        <v>473658374.70166326</v>
      </c>
      <c r="J81" s="15"/>
      <c r="N81" s="15">
        <f>M79-N79</f>
        <v>472149050.03574294</v>
      </c>
      <c r="S81" s="15">
        <f>R79-S79</f>
        <v>470639725.36982232</v>
      </c>
    </row>
    <row r="83" spans="1:19" s="19" customFormat="1" x14ac:dyDescent="0.25">
      <c r="A83" s="19" t="s">
        <v>77</v>
      </c>
      <c r="F83" s="19" t="s">
        <v>77</v>
      </c>
      <c r="K83" s="19" t="s">
        <v>77</v>
      </c>
      <c r="P83" s="19" t="s">
        <v>77</v>
      </c>
    </row>
    <row r="84" spans="1:19" x14ac:dyDescent="0.25">
      <c r="C84" s="12">
        <v>45535</v>
      </c>
      <c r="D84" s="12">
        <v>45535</v>
      </c>
      <c r="H84" s="12">
        <v>45550</v>
      </c>
      <c r="I84" s="12">
        <v>45550</v>
      </c>
      <c r="J84" s="12"/>
      <c r="M84" s="12">
        <v>45565</v>
      </c>
      <c r="N84" s="12">
        <v>45565</v>
      </c>
      <c r="R84" s="12">
        <v>45596</v>
      </c>
      <c r="S84" s="12">
        <v>45596</v>
      </c>
    </row>
    <row r="85" spans="1:19" ht="45" x14ac:dyDescent="0.25">
      <c r="A85" s="13" t="s">
        <v>57</v>
      </c>
      <c r="B85" s="13" t="s">
        <v>58</v>
      </c>
      <c r="C85" s="14" t="s">
        <v>59</v>
      </c>
      <c r="D85" s="14" t="s">
        <v>60</v>
      </c>
      <c r="F85" s="13" t="s">
        <v>57</v>
      </c>
      <c r="G85" s="13" t="s">
        <v>58</v>
      </c>
      <c r="H85" s="14" t="s">
        <v>59</v>
      </c>
      <c r="I85" s="14" t="s">
        <v>60</v>
      </c>
      <c r="J85" s="14"/>
      <c r="K85" s="13" t="s">
        <v>57</v>
      </c>
      <c r="L85" s="13" t="s">
        <v>58</v>
      </c>
      <c r="M85" s="14" t="s">
        <v>59</v>
      </c>
      <c r="N85" s="14" t="s">
        <v>60</v>
      </c>
      <c r="P85" s="13" t="s">
        <v>57</v>
      </c>
      <c r="Q85" s="13" t="s">
        <v>58</v>
      </c>
      <c r="R85" s="14" t="s">
        <v>59</v>
      </c>
      <c r="S85" s="14" t="s">
        <v>60</v>
      </c>
    </row>
    <row r="86" spans="1:19" x14ac:dyDescent="0.25">
      <c r="A86" s="10">
        <v>311</v>
      </c>
      <c r="B86" s="10" t="s">
        <v>64</v>
      </c>
      <c r="C86" s="15">
        <v>104422972.12</v>
      </c>
      <c r="D86" s="15">
        <f>D71</f>
        <v>49732047.639405996</v>
      </c>
      <c r="F86" s="10">
        <v>311</v>
      </c>
      <c r="G86" s="10" t="s">
        <v>64</v>
      </c>
      <c r="H86" s="15">
        <v>104422972.12</v>
      </c>
      <c r="I86" s="15">
        <f>I71</f>
        <v>49886941.714717329</v>
      </c>
      <c r="J86" s="15"/>
      <c r="K86" s="10">
        <v>311</v>
      </c>
      <c r="L86" s="10" t="s">
        <v>64</v>
      </c>
      <c r="M86" s="15">
        <v>104422972.12</v>
      </c>
      <c r="N86" s="15">
        <f>N71</f>
        <v>50041835.790028661</v>
      </c>
      <c r="P86" s="10">
        <v>311</v>
      </c>
      <c r="Q86" s="10" t="s">
        <v>64</v>
      </c>
      <c r="R86" s="15">
        <f t="shared" ref="R86:R93" si="8">H86</f>
        <v>104422972.12</v>
      </c>
      <c r="S86" s="15">
        <f>S71</f>
        <v>50196729.865339994</v>
      </c>
    </row>
    <row r="87" spans="1:19" x14ac:dyDescent="0.25">
      <c r="A87" s="10">
        <v>312</v>
      </c>
      <c r="B87" s="10" t="s">
        <v>65</v>
      </c>
      <c r="C87" s="15">
        <f>551682868.68-10433038</f>
        <v>541249830.67999995</v>
      </c>
      <c r="D87" s="15">
        <f>D72-3867039</f>
        <v>253192299.08411801</v>
      </c>
      <c r="F87" s="10">
        <v>312</v>
      </c>
      <c r="G87" s="10" t="s">
        <v>65</v>
      </c>
      <c r="H87" s="15">
        <f>551682868.68-10433038</f>
        <v>541249830.67999995</v>
      </c>
      <c r="I87" s="15">
        <f>I72-3867039</f>
        <v>254139354.67535201</v>
      </c>
      <c r="J87" s="15"/>
      <c r="K87" s="10">
        <v>312</v>
      </c>
      <c r="L87" s="10" t="s">
        <v>65</v>
      </c>
      <c r="M87" s="15">
        <f>551682868.68-10433038</f>
        <v>541249830.67999995</v>
      </c>
      <c r="N87" s="15">
        <f>N72-3867039</f>
        <v>255086410.26658601</v>
      </c>
      <c r="P87" s="10">
        <v>312</v>
      </c>
      <c r="Q87" s="10" t="s">
        <v>65</v>
      </c>
      <c r="R87" s="15">
        <f t="shared" si="8"/>
        <v>541249830.67999995</v>
      </c>
      <c r="S87" s="15">
        <f>S72-3867039</f>
        <v>256033465.85782</v>
      </c>
    </row>
    <row r="88" spans="1:19" x14ac:dyDescent="0.25">
      <c r="A88" s="10">
        <v>314</v>
      </c>
      <c r="B88" s="10" t="s">
        <v>66</v>
      </c>
      <c r="C88" s="15">
        <f>173844704.86-23448008</f>
        <v>150396696.86000001</v>
      </c>
      <c r="D88" s="15">
        <f>D73-10849930</f>
        <v>82382863.437689662</v>
      </c>
      <c r="F88" s="10">
        <v>314</v>
      </c>
      <c r="G88" s="10" t="s">
        <v>66</v>
      </c>
      <c r="H88" s="15">
        <f>173844704.86-23448008</f>
        <v>150396696.86000001</v>
      </c>
      <c r="I88" s="15">
        <f>I73-10849930</f>
        <v>82633489.553862825</v>
      </c>
      <c r="J88" s="15"/>
      <c r="K88" s="10">
        <v>314</v>
      </c>
      <c r="L88" s="10" t="s">
        <v>66</v>
      </c>
      <c r="M88" s="15">
        <f>173844704.86-23448008</f>
        <v>150396696.86000001</v>
      </c>
      <c r="N88" s="15">
        <f>N73-10849930</f>
        <v>82884115.670035988</v>
      </c>
      <c r="P88" s="10">
        <v>314</v>
      </c>
      <c r="Q88" s="10" t="s">
        <v>66</v>
      </c>
      <c r="R88" s="15">
        <f t="shared" si="8"/>
        <v>150396696.86000001</v>
      </c>
      <c r="S88" s="15">
        <f>S73-10849930</f>
        <v>83134741.786209166</v>
      </c>
    </row>
    <row r="89" spans="1:19" x14ac:dyDescent="0.25">
      <c r="A89" s="10">
        <v>315</v>
      </c>
      <c r="B89" s="10" t="s">
        <v>67</v>
      </c>
      <c r="C89" s="15">
        <f>67576512.03-6506369</f>
        <v>61070143.030000001</v>
      </c>
      <c r="D89" s="15">
        <f>D74-1469865</f>
        <v>32209947.063514501</v>
      </c>
      <c r="F89" s="10">
        <v>315</v>
      </c>
      <c r="G89" s="10" t="s">
        <v>67</v>
      </c>
      <c r="H89" s="15">
        <f>67576512.03-6506369</f>
        <v>61070143.030000001</v>
      </c>
      <c r="I89" s="15">
        <f>I74-1469865</f>
        <v>32310748.693959251</v>
      </c>
      <c r="J89" s="15"/>
      <c r="K89" s="10">
        <v>315</v>
      </c>
      <c r="L89" s="10" t="s">
        <v>67</v>
      </c>
      <c r="M89" s="15">
        <f>67576512.03-6506369</f>
        <v>61070143.030000001</v>
      </c>
      <c r="N89" s="15">
        <f>N74-1469865</f>
        <v>32411550.324404001</v>
      </c>
      <c r="P89" s="10">
        <v>315</v>
      </c>
      <c r="Q89" s="10" t="s">
        <v>67</v>
      </c>
      <c r="R89" s="15">
        <f t="shared" si="8"/>
        <v>61070143.030000001</v>
      </c>
      <c r="S89" s="15">
        <f>S74-1469865</f>
        <v>32512351.954848751</v>
      </c>
    </row>
    <row r="90" spans="1:19" x14ac:dyDescent="0.25">
      <c r="A90" s="10">
        <v>316</v>
      </c>
      <c r="B90" s="10" t="s">
        <v>68</v>
      </c>
      <c r="C90" s="15">
        <f>17459371.76-4959409</f>
        <v>12499962.760000002</v>
      </c>
      <c r="D90" s="15">
        <f>D75-1391070</f>
        <v>4844460.7165226676</v>
      </c>
      <c r="F90" s="10">
        <v>316</v>
      </c>
      <c r="G90" s="10" t="s">
        <v>68</v>
      </c>
      <c r="H90" s="15">
        <f>17459371.76-4959409</f>
        <v>12499962.760000002</v>
      </c>
      <c r="I90" s="15">
        <f>I75-1391070</f>
        <v>4885271.9980116673</v>
      </c>
      <c r="J90" s="15"/>
      <c r="K90" s="10">
        <v>316</v>
      </c>
      <c r="L90" s="10" t="s">
        <v>68</v>
      </c>
      <c r="M90" s="15">
        <f>17459371.76-4959409</f>
        <v>12499962.760000002</v>
      </c>
      <c r="N90" s="15">
        <f>N75-1391070</f>
        <v>4926083.279500667</v>
      </c>
      <c r="P90" s="10">
        <v>316</v>
      </c>
      <c r="Q90" s="10" t="s">
        <v>68</v>
      </c>
      <c r="R90" s="15">
        <f t="shared" si="8"/>
        <v>12499962.760000002</v>
      </c>
      <c r="S90" s="15">
        <f>S75-1391070</f>
        <v>4966894.5609896677</v>
      </c>
    </row>
    <row r="91" spans="1:19" x14ac:dyDescent="0.25">
      <c r="A91" s="10">
        <v>316.20999999999998</v>
      </c>
      <c r="B91" s="10" t="s">
        <v>69</v>
      </c>
      <c r="C91" s="15">
        <v>707122.77</v>
      </c>
      <c r="D91" s="15">
        <f t="shared" ref="D91:D93" si="9">D76</f>
        <v>436837.03600000002</v>
      </c>
      <c r="F91" s="10">
        <v>316.20999999999998</v>
      </c>
      <c r="G91" s="10" t="s">
        <v>69</v>
      </c>
      <c r="H91" s="15">
        <v>707122.77</v>
      </c>
      <c r="I91" s="15">
        <f t="shared" ref="I91:I93" si="10">I76</f>
        <v>438310.2084375</v>
      </c>
      <c r="J91" s="15"/>
      <c r="K91" s="10">
        <v>316.20999999999998</v>
      </c>
      <c r="L91" s="10" t="s">
        <v>69</v>
      </c>
      <c r="M91" s="15">
        <v>707122.77</v>
      </c>
      <c r="N91" s="15">
        <f t="shared" ref="N91:N93" si="11">N76</f>
        <v>439783.38087500003</v>
      </c>
      <c r="P91" s="10">
        <v>316.20999999999998</v>
      </c>
      <c r="Q91" s="10" t="s">
        <v>69</v>
      </c>
      <c r="R91" s="15">
        <f t="shared" si="8"/>
        <v>707122.77</v>
      </c>
      <c r="S91" s="15">
        <f t="shared" ref="S91:S93" si="12">S76</f>
        <v>441256.55331250001</v>
      </c>
    </row>
    <row r="92" spans="1:19" x14ac:dyDescent="0.25">
      <c r="A92" s="10">
        <v>316.22000000000003</v>
      </c>
      <c r="B92" s="10" t="s">
        <v>70</v>
      </c>
      <c r="C92" s="15">
        <v>452098.11</v>
      </c>
      <c r="D92" s="15">
        <f t="shared" si="9"/>
        <v>400995.18383200001</v>
      </c>
      <c r="F92" s="10">
        <v>316.22000000000003</v>
      </c>
      <c r="G92" s="10" t="s">
        <v>70</v>
      </c>
      <c r="H92" s="15">
        <v>452098.11</v>
      </c>
      <c r="I92" s="15">
        <f t="shared" si="10"/>
        <v>402251.63982937502</v>
      </c>
      <c r="J92" s="15"/>
      <c r="K92" s="10">
        <v>316.22000000000003</v>
      </c>
      <c r="L92" s="10" t="s">
        <v>70</v>
      </c>
      <c r="M92" s="15">
        <v>452098.11</v>
      </c>
      <c r="N92" s="15">
        <f t="shared" si="11"/>
        <v>403508.09582674998</v>
      </c>
      <c r="P92" s="10">
        <v>316.22000000000003</v>
      </c>
      <c r="Q92" s="10" t="s">
        <v>70</v>
      </c>
      <c r="R92" s="15">
        <f t="shared" si="8"/>
        <v>452098.11</v>
      </c>
      <c r="S92" s="15">
        <f t="shared" si="12"/>
        <v>404764.551824125</v>
      </c>
    </row>
    <row r="93" spans="1:19" x14ac:dyDescent="0.25">
      <c r="A93" s="10">
        <v>316.23</v>
      </c>
      <c r="B93" s="10" t="s">
        <v>71</v>
      </c>
      <c r="C93" s="15">
        <v>1488761.14</v>
      </c>
      <c r="D93" s="15">
        <f t="shared" si="9"/>
        <v>1689357.9413333335</v>
      </c>
      <c r="F93" s="10">
        <v>316.23</v>
      </c>
      <c r="G93" s="10" t="s">
        <v>71</v>
      </c>
      <c r="H93" s="15">
        <v>1488761.14</v>
      </c>
      <c r="I93" s="15">
        <f t="shared" si="10"/>
        <v>1701764.2841666669</v>
      </c>
      <c r="J93" s="15"/>
      <c r="K93" s="10">
        <v>316.23</v>
      </c>
      <c r="L93" s="10" t="s">
        <v>71</v>
      </c>
      <c r="M93" s="15">
        <v>1488761.14</v>
      </c>
      <c r="N93" s="15">
        <f t="shared" si="11"/>
        <v>1714170.6270000003</v>
      </c>
      <c r="P93" s="10">
        <v>316.23</v>
      </c>
      <c r="Q93" s="10" t="s">
        <v>71</v>
      </c>
      <c r="R93" s="15">
        <f t="shared" si="8"/>
        <v>1488761.14</v>
      </c>
      <c r="S93" s="15">
        <f t="shared" si="12"/>
        <v>1726576.9698333335</v>
      </c>
    </row>
    <row r="94" spans="1:19" x14ac:dyDescent="0.25">
      <c r="A94" s="11"/>
      <c r="B94" s="17" t="s">
        <v>72</v>
      </c>
      <c r="C94" s="18">
        <f>SUM(C86:C93)</f>
        <v>872287587.46999991</v>
      </c>
      <c r="D94" s="18">
        <f>SUM(D86:D93)</f>
        <v>424888808.10241616</v>
      </c>
      <c r="F94" s="11"/>
      <c r="G94" s="17" t="s">
        <v>72</v>
      </c>
      <c r="H94" s="18">
        <f>SUM(H86:H93)</f>
        <v>872287587.46999991</v>
      </c>
      <c r="I94" s="18">
        <f t="shared" ref="I94:R94" si="13">SUM(I86:I93)</f>
        <v>426398132.76833665</v>
      </c>
      <c r="J94" s="18"/>
      <c r="K94" s="11"/>
      <c r="L94" s="17" t="s">
        <v>72</v>
      </c>
      <c r="M94" s="18">
        <f>SUM(M86:M93)</f>
        <v>872287587.46999991</v>
      </c>
      <c r="N94" s="18">
        <f>SUM(N86:N93)</f>
        <v>427907457.43425697</v>
      </c>
      <c r="O94" s="18"/>
      <c r="P94" s="18"/>
      <c r="Q94" s="18" t="s">
        <v>72</v>
      </c>
      <c r="R94" s="18">
        <f t="shared" si="13"/>
        <v>872287587.46999991</v>
      </c>
      <c r="S94" s="18">
        <f>SUM(S86:S93)</f>
        <v>429416782.10017759</v>
      </c>
    </row>
    <row r="96" spans="1:19" x14ac:dyDescent="0.25">
      <c r="D96" s="15">
        <f>C94-D94</f>
        <v>447398779.36758375</v>
      </c>
      <c r="F96" s="15"/>
      <c r="I96" s="15">
        <f>H94-I94</f>
        <v>445889454.70166326</v>
      </c>
      <c r="J96" s="15"/>
      <c r="N96" s="15">
        <f>M94-N94</f>
        <v>444380130.03574294</v>
      </c>
      <c r="S96" s="15">
        <f>R94-S94</f>
        <v>442870805.36982232</v>
      </c>
    </row>
    <row r="97" spans="3:20" x14ac:dyDescent="0.25">
      <c r="C97" s="15"/>
      <c r="F97" s="15"/>
    </row>
    <row r="98" spans="3:20" x14ac:dyDescent="0.25">
      <c r="D98" s="40"/>
    </row>
    <row r="99" spans="3:20" x14ac:dyDescent="0.25">
      <c r="D99" s="15">
        <f>D12-D94</f>
        <v>-75602564.102416158</v>
      </c>
      <c r="E99" s="59" t="s">
        <v>196</v>
      </c>
      <c r="S99" s="15">
        <f>D12-S94</f>
        <v>-80130538.100177586</v>
      </c>
      <c r="T99" s="59" t="s">
        <v>198</v>
      </c>
    </row>
    <row r="101" spans="3:20" x14ac:dyDescent="0.25">
      <c r="D101" s="40">
        <f>'SCHEDULE MJL-S2'!O43*-1</f>
        <v>-77238034.818282694</v>
      </c>
      <c r="E101" s="59" t="s">
        <v>197</v>
      </c>
      <c r="S101" s="40">
        <f>'SCHEDULE MJL-S6'!O43*-1</f>
        <v>-81641957.028098688</v>
      </c>
      <c r="T101" s="59" t="s">
        <v>199</v>
      </c>
    </row>
    <row r="103" spans="3:20" ht="15.75" thickBot="1" x14ac:dyDescent="0.3">
      <c r="D103" s="45">
        <f>D101-D99</f>
        <v>-1635470.7158665359</v>
      </c>
      <c r="E103" s="58" t="s">
        <v>181</v>
      </c>
      <c r="S103" s="45">
        <f>S101-S99</f>
        <v>-1511418.9279211015</v>
      </c>
      <c r="T103" s="58" t="s">
        <v>181</v>
      </c>
    </row>
    <row r="104" spans="3:20" ht="15.75" thickTop="1" x14ac:dyDescent="0.25"/>
  </sheetData>
  <printOptions horizontalCentered="1"/>
  <pageMargins left="0.25" right="0.25" top="0.75" bottom="0.75" header="0.3" footer="0.3"/>
  <pageSetup scale="65" fitToWidth="2" fitToHeight="0" orientation="landscape" verticalDpi="597" r:id="rId1"/>
  <headerFooter>
    <oddFooter>&amp;Cpage &amp;P of &amp;N&amp;RSCHEDULE MJL-S9 '21 DEPRECIATION STUDY'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zoomScale="90" zoomScaleNormal="90" workbookViewId="0">
      <selection sqref="A1:Q1"/>
    </sheetView>
  </sheetViews>
  <sheetFormatPr defaultColWidth="8.7109375" defaultRowHeight="15" x14ac:dyDescent="0.2"/>
  <cols>
    <col min="1" max="1" width="6.5703125" style="21" customWidth="1"/>
    <col min="2" max="2" width="3.42578125" style="21" customWidth="1"/>
    <col min="3" max="3" width="18.140625" style="21" bestFit="1" customWidth="1"/>
    <col min="4" max="4" width="0.42578125" style="21" customWidth="1"/>
    <col min="5" max="5" width="15.5703125" style="21" customWidth="1"/>
    <col min="6" max="6" width="0.42578125" style="21" customWidth="1"/>
    <col min="7" max="7" width="15.5703125" style="21" customWidth="1"/>
    <col min="8" max="8" width="0.42578125" style="21" customWidth="1"/>
    <col min="9" max="9" width="15.5703125" style="21" customWidth="1"/>
    <col min="10" max="10" width="0.42578125" style="21" customWidth="1"/>
    <col min="11" max="11" width="15.5703125" style="21" customWidth="1"/>
    <col min="12" max="12" width="0.42578125" style="21" customWidth="1"/>
    <col min="13" max="13" width="15.5703125" style="21" customWidth="1"/>
    <col min="14" max="14" width="0.42578125" style="21" customWidth="1"/>
    <col min="15" max="15" width="16.140625" style="21" customWidth="1"/>
    <col min="16" max="16" width="0.42578125" style="21" customWidth="1"/>
    <col min="17" max="17" width="15.5703125" style="21" customWidth="1"/>
    <col min="18" max="18" width="8.7109375" style="21"/>
    <col min="19" max="19" width="15.5703125" style="21" bestFit="1" customWidth="1"/>
    <col min="20" max="20" width="18.85546875" style="21" bestFit="1" customWidth="1"/>
    <col min="21" max="21" width="19.42578125" style="21" customWidth="1"/>
    <col min="22" max="22" width="8.7109375" style="21"/>
    <col min="23" max="23" width="12.85546875" style="21" bestFit="1" customWidth="1"/>
    <col min="24" max="16384" width="8.7109375" style="21"/>
  </cols>
  <sheetData>
    <row r="1" spans="1:21" ht="15.75" x14ac:dyDescent="0.25">
      <c r="A1" s="62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1" ht="15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1" ht="15.75" x14ac:dyDescent="0.25">
      <c r="A3" s="63" t="s">
        <v>178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1" ht="15.75" x14ac:dyDescent="0.25">
      <c r="Q4" s="22"/>
    </row>
    <row r="6" spans="1:21" ht="15.75" x14ac:dyDescent="0.25">
      <c r="K6" s="20" t="s">
        <v>81</v>
      </c>
      <c r="M6" s="20" t="s">
        <v>82</v>
      </c>
      <c r="O6" s="20" t="s">
        <v>83</v>
      </c>
    </row>
    <row r="7" spans="1:21" ht="15.75" x14ac:dyDescent="0.25">
      <c r="E7" s="20" t="s">
        <v>84</v>
      </c>
      <c r="F7" s="20"/>
      <c r="G7" s="20" t="s">
        <v>85</v>
      </c>
      <c r="H7" s="23"/>
      <c r="I7" s="20" t="s">
        <v>86</v>
      </c>
      <c r="J7" s="20"/>
      <c r="K7" s="20" t="s">
        <v>87</v>
      </c>
      <c r="L7" s="20"/>
      <c r="M7" s="20" t="s">
        <v>88</v>
      </c>
      <c r="N7" s="20"/>
      <c r="O7" s="20" t="s">
        <v>89</v>
      </c>
      <c r="P7" s="20"/>
      <c r="Q7" s="20" t="s">
        <v>90</v>
      </c>
    </row>
    <row r="8" spans="1:21" ht="15.75" x14ac:dyDescent="0.25">
      <c r="A8" s="24" t="s">
        <v>91</v>
      </c>
      <c r="B8" s="24"/>
      <c r="E8" s="25" t="s">
        <v>92</v>
      </c>
      <c r="F8" s="25"/>
      <c r="G8" s="25" t="s">
        <v>93</v>
      </c>
      <c r="H8" s="25"/>
      <c r="I8" s="25" t="s">
        <v>94</v>
      </c>
      <c r="J8" s="25"/>
      <c r="K8" s="25" t="s">
        <v>95</v>
      </c>
      <c r="L8" s="25"/>
      <c r="M8" s="25" t="s">
        <v>96</v>
      </c>
      <c r="N8" s="25"/>
      <c r="O8" s="25" t="s">
        <v>97</v>
      </c>
      <c r="P8" s="20"/>
      <c r="Q8" s="25" t="s">
        <v>84</v>
      </c>
    </row>
    <row r="9" spans="1:21" ht="15.75" x14ac:dyDescent="0.25">
      <c r="A9" s="24"/>
      <c r="B9" s="24"/>
    </row>
    <row r="10" spans="1:21" ht="15.75" x14ac:dyDescent="0.25">
      <c r="A10" s="24"/>
      <c r="B10" s="24"/>
      <c r="C10" s="26" t="s">
        <v>98</v>
      </c>
      <c r="D10" s="27"/>
      <c r="E10" s="28"/>
      <c r="F10" s="28"/>
    </row>
    <row r="11" spans="1:21" x14ac:dyDescent="0.2">
      <c r="A11" s="29">
        <v>1</v>
      </c>
      <c r="B11" s="29"/>
      <c r="C11" s="27">
        <v>303</v>
      </c>
      <c r="D11" s="27"/>
      <c r="E11" s="28">
        <v>2445929.91</v>
      </c>
      <c r="F11" s="28"/>
      <c r="G11" s="30">
        <v>0</v>
      </c>
      <c r="I11" s="30">
        <v>0</v>
      </c>
      <c r="J11" s="30"/>
      <c r="K11" s="30">
        <v>0</v>
      </c>
      <c r="M11" s="31"/>
      <c r="O11" s="32"/>
      <c r="Q11" s="28">
        <f t="shared" ref="Q11:Q19" si="0">SUM(E11:P11)</f>
        <v>2445929.91</v>
      </c>
    </row>
    <row r="12" spans="1:21" x14ac:dyDescent="0.2">
      <c r="A12" s="29">
        <f>1+A11</f>
        <v>2</v>
      </c>
      <c r="B12" s="29"/>
      <c r="C12" s="27">
        <v>310</v>
      </c>
      <c r="D12" s="27"/>
      <c r="E12" s="28">
        <v>979536.67</v>
      </c>
      <c r="F12" s="28"/>
      <c r="G12" s="30">
        <v>-979536.67</v>
      </c>
      <c r="I12" s="30">
        <v>0</v>
      </c>
      <c r="J12" s="30"/>
      <c r="K12" s="30">
        <v>0</v>
      </c>
      <c r="M12" s="31"/>
      <c r="O12" s="32"/>
      <c r="Q12" s="28">
        <f t="shared" si="0"/>
        <v>0</v>
      </c>
    </row>
    <row r="13" spans="1:21" x14ac:dyDescent="0.2">
      <c r="A13" s="29">
        <f>1+A12</f>
        <v>3</v>
      </c>
      <c r="B13" s="29"/>
      <c r="C13" s="27">
        <v>311</v>
      </c>
      <c r="D13" s="27"/>
      <c r="E13" s="28">
        <v>112373967.10000002</v>
      </c>
      <c r="F13" s="28"/>
      <c r="G13" s="30">
        <v>0</v>
      </c>
      <c r="I13" s="30">
        <v>0</v>
      </c>
      <c r="J13" s="30"/>
      <c r="K13" s="30">
        <v>0</v>
      </c>
      <c r="M13" s="31"/>
      <c r="O13" s="32"/>
      <c r="Q13" s="28">
        <f t="shared" si="0"/>
        <v>112373967.10000002</v>
      </c>
      <c r="S13" s="30"/>
      <c r="U13" s="30"/>
    </row>
    <row r="14" spans="1:21" x14ac:dyDescent="0.2">
      <c r="A14" s="29">
        <f t="shared" ref="A14:A22" si="1">1+A13</f>
        <v>4</v>
      </c>
      <c r="B14" s="29"/>
      <c r="C14" s="27">
        <v>312</v>
      </c>
      <c r="D14" s="27"/>
      <c r="E14" s="28">
        <v>548315181.96000016</v>
      </c>
      <c r="F14" s="28"/>
      <c r="G14" s="30">
        <v>0</v>
      </c>
      <c r="I14" s="30">
        <v>0</v>
      </c>
      <c r="J14" s="30"/>
      <c r="K14" s="30">
        <v>-10433037.560000001</v>
      </c>
      <c r="M14" s="31"/>
      <c r="O14" s="32"/>
      <c r="Q14" s="28">
        <f t="shared" si="0"/>
        <v>537882144.40000021</v>
      </c>
      <c r="S14" s="30"/>
      <c r="U14" s="30"/>
    </row>
    <row r="15" spans="1:21" x14ac:dyDescent="0.2">
      <c r="A15" s="29">
        <f t="shared" si="1"/>
        <v>5</v>
      </c>
      <c r="B15" s="29"/>
      <c r="C15" s="27">
        <v>314</v>
      </c>
      <c r="D15" s="27"/>
      <c r="E15" s="28">
        <v>175700443.75999999</v>
      </c>
      <c r="F15" s="28"/>
      <c r="G15" s="30">
        <v>0</v>
      </c>
      <c r="I15" s="30">
        <v>0</v>
      </c>
      <c r="J15" s="30"/>
      <c r="K15" s="30">
        <v>-23448007.499999996</v>
      </c>
      <c r="M15" s="31"/>
      <c r="O15" s="32"/>
      <c r="Q15" s="28">
        <f t="shared" si="0"/>
        <v>152252436.25999999</v>
      </c>
      <c r="S15" s="30"/>
      <c r="U15" s="30"/>
    </row>
    <row r="16" spans="1:21" x14ac:dyDescent="0.2">
      <c r="A16" s="29">
        <f t="shared" si="1"/>
        <v>6</v>
      </c>
      <c r="B16" s="29"/>
      <c r="C16" s="27">
        <v>315</v>
      </c>
      <c r="D16" s="27"/>
      <c r="E16" s="28">
        <v>76358450.329999983</v>
      </c>
      <c r="F16" s="28"/>
      <c r="G16" s="30">
        <v>0</v>
      </c>
      <c r="I16" s="30">
        <v>0</v>
      </c>
      <c r="J16" s="30"/>
      <c r="K16" s="30">
        <v>-6506368.8000000007</v>
      </c>
      <c r="M16" s="31"/>
      <c r="O16" s="32"/>
      <c r="Q16" s="28">
        <f t="shared" si="0"/>
        <v>69852081.529999986</v>
      </c>
      <c r="S16" s="30"/>
    </row>
    <row r="17" spans="1:23" x14ac:dyDescent="0.2">
      <c r="A17" s="29">
        <f t="shared" si="1"/>
        <v>7</v>
      </c>
      <c r="B17" s="29"/>
      <c r="C17" s="27">
        <v>316</v>
      </c>
      <c r="D17" s="27"/>
      <c r="E17" s="28">
        <v>21360767.339999996</v>
      </c>
      <c r="F17" s="28"/>
      <c r="G17" s="30">
        <v>0</v>
      </c>
      <c r="I17" s="30">
        <v>1835456.9441</v>
      </c>
      <c r="J17" s="30"/>
      <c r="K17" s="30">
        <v>-4959409.2500000009</v>
      </c>
      <c r="M17" s="31"/>
      <c r="O17" s="32"/>
      <c r="Q17" s="28">
        <f t="shared" si="0"/>
        <v>18236815.034099996</v>
      </c>
      <c r="S17" s="30"/>
    </row>
    <row r="18" spans="1:23" x14ac:dyDescent="0.2">
      <c r="A18" s="29">
        <f t="shared" si="1"/>
        <v>8</v>
      </c>
      <c r="B18" s="29"/>
      <c r="C18" s="27">
        <v>316.20999999999998</v>
      </c>
      <c r="D18" s="27"/>
      <c r="E18" s="28">
        <v>584317.91</v>
      </c>
      <c r="F18" s="28"/>
      <c r="G18" s="30">
        <v>0</v>
      </c>
      <c r="I18" s="30">
        <v>0</v>
      </c>
      <c r="J18" s="30"/>
      <c r="K18" s="30">
        <v>0</v>
      </c>
      <c r="M18" s="31"/>
      <c r="O18" s="32"/>
      <c r="Q18" s="28">
        <f t="shared" si="0"/>
        <v>584317.91</v>
      </c>
      <c r="S18" s="30"/>
    </row>
    <row r="19" spans="1:23" x14ac:dyDescent="0.2">
      <c r="A19" s="29">
        <f t="shared" si="1"/>
        <v>9</v>
      </c>
      <c r="B19" s="29"/>
      <c r="C19" s="27">
        <v>316.22000000000003</v>
      </c>
      <c r="D19" s="27"/>
      <c r="E19" s="28">
        <v>516284.61</v>
      </c>
      <c r="F19" s="28"/>
      <c r="G19" s="30">
        <v>0</v>
      </c>
      <c r="I19" s="30">
        <v>0</v>
      </c>
      <c r="J19" s="30"/>
      <c r="K19" s="30">
        <v>0</v>
      </c>
      <c r="M19" s="31"/>
      <c r="O19" s="32"/>
      <c r="Q19" s="28">
        <f t="shared" si="0"/>
        <v>516284.61</v>
      </c>
      <c r="S19" s="30"/>
    </row>
    <row r="20" spans="1:23" x14ac:dyDescent="0.2">
      <c r="A20" s="29">
        <f t="shared" si="1"/>
        <v>10</v>
      </c>
      <c r="B20" s="29"/>
      <c r="C20" s="27">
        <v>316.23</v>
      </c>
      <c r="D20" s="27"/>
      <c r="E20" s="28">
        <v>1331142.26</v>
      </c>
      <c r="F20" s="28"/>
      <c r="G20" s="30">
        <v>0</v>
      </c>
      <c r="I20" s="30">
        <v>0</v>
      </c>
      <c r="J20" s="30"/>
      <c r="K20" s="30">
        <v>0</v>
      </c>
      <c r="M20" s="31"/>
      <c r="O20" s="32"/>
      <c r="Q20" s="28">
        <f t="shared" ref="Q20:Q21" si="2">SUM(E20:P20)</f>
        <v>1331142.26</v>
      </c>
      <c r="S20" s="30"/>
    </row>
    <row r="21" spans="1:23" x14ac:dyDescent="0.2">
      <c r="A21" s="29">
        <f t="shared" si="1"/>
        <v>11</v>
      </c>
      <c r="B21" s="29"/>
      <c r="C21" s="27">
        <v>392</v>
      </c>
      <c r="D21" s="27"/>
      <c r="E21" s="28">
        <v>432687.33999999997</v>
      </c>
      <c r="F21" s="28"/>
      <c r="G21" s="30">
        <v>0</v>
      </c>
      <c r="H21" s="33"/>
      <c r="I21" s="30">
        <v>0</v>
      </c>
      <c r="J21" s="30"/>
      <c r="K21" s="30">
        <v>-48204.39</v>
      </c>
      <c r="M21" s="31"/>
      <c r="O21" s="32"/>
      <c r="Q21" s="34">
        <f t="shared" si="2"/>
        <v>384482.94999999995</v>
      </c>
      <c r="T21" s="30"/>
    </row>
    <row r="22" spans="1:23" x14ac:dyDescent="0.2">
      <c r="A22" s="29">
        <f t="shared" si="1"/>
        <v>12</v>
      </c>
      <c r="B22" s="29"/>
      <c r="C22" s="27" t="s">
        <v>99</v>
      </c>
      <c r="D22" s="27"/>
      <c r="E22" s="35">
        <f>SUM(E11:E21)</f>
        <v>940398709.1900003</v>
      </c>
      <c r="F22" s="35"/>
      <c r="G22" s="35">
        <f>SUM(G11:G21)</f>
        <v>-979536.67</v>
      </c>
      <c r="I22" s="35">
        <f>SUM(I11:I21)</f>
        <v>1835456.9441</v>
      </c>
      <c r="J22" s="36"/>
      <c r="K22" s="35">
        <f>SUM(K11:K21)</f>
        <v>-45395027.5</v>
      </c>
      <c r="M22" s="31"/>
      <c r="O22" s="32"/>
      <c r="Q22" s="35">
        <f>SUM(Q11:Q21)</f>
        <v>895859601.96410012</v>
      </c>
      <c r="T22" s="41"/>
    </row>
    <row r="23" spans="1:23" x14ac:dyDescent="0.2">
      <c r="A23" s="29"/>
      <c r="B23" s="29"/>
      <c r="T23" s="30"/>
    </row>
    <row r="24" spans="1:23" ht="15.75" x14ac:dyDescent="0.25">
      <c r="A24" s="29">
        <f>1+A22</f>
        <v>13</v>
      </c>
      <c r="B24" s="29"/>
      <c r="C24" s="26" t="s">
        <v>97</v>
      </c>
    </row>
    <row r="25" spans="1:23" x14ac:dyDescent="0.2">
      <c r="A25" s="29">
        <f>1+A24</f>
        <v>14</v>
      </c>
      <c r="C25" s="27">
        <v>303</v>
      </c>
      <c r="E25" s="34">
        <v>2435096.9100000006</v>
      </c>
      <c r="F25" s="34"/>
      <c r="G25" s="32"/>
      <c r="I25" s="32"/>
      <c r="K25" s="34">
        <v>0</v>
      </c>
      <c r="M25" s="31"/>
      <c r="O25" s="34">
        <f>433.32*14</f>
        <v>6066.48</v>
      </c>
      <c r="Q25" s="34">
        <f t="shared" ref="Q25:Q33" si="3">SUM(E25:P25)</f>
        <v>2441163.3900000006</v>
      </c>
      <c r="S25" s="30"/>
    </row>
    <row r="26" spans="1:23" x14ac:dyDescent="0.2">
      <c r="A26" s="29">
        <f>1+A25</f>
        <v>15</v>
      </c>
      <c r="C26" s="27">
        <v>310</v>
      </c>
      <c r="E26" s="34">
        <v>0</v>
      </c>
      <c r="F26" s="34"/>
      <c r="G26" s="32"/>
      <c r="I26" s="32"/>
      <c r="K26" s="34">
        <v>0</v>
      </c>
      <c r="M26" s="37">
        <v>0</v>
      </c>
      <c r="O26" s="34">
        <v>0</v>
      </c>
      <c r="Q26" s="34">
        <v>0</v>
      </c>
      <c r="S26" s="30"/>
    </row>
    <row r="27" spans="1:23" x14ac:dyDescent="0.2">
      <c r="A27" s="29">
        <f>1+A26</f>
        <v>16</v>
      </c>
      <c r="B27" s="29"/>
      <c r="C27" s="27">
        <v>311</v>
      </c>
      <c r="E27" s="34">
        <v>42697274.460000001</v>
      </c>
      <c r="F27" s="34"/>
      <c r="G27" s="32"/>
      <c r="I27" s="38"/>
      <c r="K27" s="34">
        <v>0</v>
      </c>
      <c r="M27" s="37">
        <v>3.56E-2</v>
      </c>
      <c r="O27" s="34">
        <f t="shared" ref="O27:O35" si="4">+E13*((M27/12)*14)+I13*(M27/12)*14/2</f>
        <v>4667265.4335533343</v>
      </c>
      <c r="Q27" s="34">
        <f t="shared" si="3"/>
        <v>47364539.929153338</v>
      </c>
      <c r="S27" s="30"/>
      <c r="U27" s="30"/>
      <c r="W27" s="30"/>
    </row>
    <row r="28" spans="1:23" x14ac:dyDescent="0.2">
      <c r="A28" s="29">
        <f t="shared" ref="A28:A36" si="5">1+A27</f>
        <v>17</v>
      </c>
      <c r="B28" s="29"/>
      <c r="C28" s="27">
        <v>312</v>
      </c>
      <c r="E28" s="34">
        <v>228940115.04999998</v>
      </c>
      <c r="F28" s="34"/>
      <c r="G28" s="32"/>
      <c r="I28" s="32"/>
      <c r="K28" s="34">
        <v>-3867039.1487173345</v>
      </c>
      <c r="M28" s="37">
        <v>4.1200000000000001E-2</v>
      </c>
      <c r="O28" s="34">
        <f t="shared" si="4"/>
        <v>26355683.079544008</v>
      </c>
      <c r="Q28" s="34">
        <f t="shared" si="3"/>
        <v>251428759.02202666</v>
      </c>
      <c r="U28" s="30"/>
      <c r="W28" s="30"/>
    </row>
    <row r="29" spans="1:23" x14ac:dyDescent="0.2">
      <c r="A29" s="29">
        <f t="shared" si="5"/>
        <v>18</v>
      </c>
      <c r="B29" s="29"/>
      <c r="C29" s="27">
        <v>314</v>
      </c>
      <c r="E29" s="34">
        <v>85188280.940000013</v>
      </c>
      <c r="F29" s="34"/>
      <c r="G29" s="32"/>
      <c r="I29" s="32"/>
      <c r="K29" s="34">
        <v>-10849929.512750002</v>
      </c>
      <c r="M29" s="37">
        <v>3.4599999999999999E-2</v>
      </c>
      <c r="O29" s="34">
        <f t="shared" si="4"/>
        <v>7092441.2464453317</v>
      </c>
      <c r="Q29" s="34">
        <f t="shared" si="3"/>
        <v>81430792.708295345</v>
      </c>
      <c r="W29" s="30"/>
    </row>
    <row r="30" spans="1:23" x14ac:dyDescent="0.2">
      <c r="A30" s="29">
        <f t="shared" si="5"/>
        <v>19</v>
      </c>
      <c r="C30" s="27">
        <v>315</v>
      </c>
      <c r="E30" s="34">
        <v>30775074.140000001</v>
      </c>
      <c r="F30" s="34"/>
      <c r="G30" s="32"/>
      <c r="I30" s="32"/>
      <c r="K30" s="34">
        <v>-1469865.21688</v>
      </c>
      <c r="M30" s="37">
        <v>3.5799999999999998E-2</v>
      </c>
      <c r="O30" s="34">
        <f t="shared" si="4"/>
        <v>3189237.9421163322</v>
      </c>
      <c r="Q30" s="34">
        <f t="shared" si="3"/>
        <v>32494446.90103633</v>
      </c>
    </row>
    <row r="31" spans="1:23" x14ac:dyDescent="0.2">
      <c r="A31" s="29">
        <f t="shared" si="5"/>
        <v>20</v>
      </c>
      <c r="B31" s="29"/>
      <c r="C31" s="27">
        <v>316</v>
      </c>
      <c r="E31" s="34">
        <v>4907021.1100000013</v>
      </c>
      <c r="F31" s="34"/>
      <c r="G31" s="32"/>
      <c r="I31" s="32"/>
      <c r="K31" s="34">
        <v>-1391069.8054125004</v>
      </c>
      <c r="M31" s="37">
        <v>5.6099999999999997E-2</v>
      </c>
      <c r="O31" s="34">
        <f t="shared" si="4"/>
        <v>1458127.5508986721</v>
      </c>
      <c r="Q31" s="34">
        <f t="shared" si="3"/>
        <v>4974078.9115861729</v>
      </c>
      <c r="W31" s="30"/>
    </row>
    <row r="32" spans="1:23" x14ac:dyDescent="0.2">
      <c r="A32" s="29">
        <f t="shared" si="5"/>
        <v>21</v>
      </c>
      <c r="B32" s="29"/>
      <c r="C32" s="27">
        <v>316.20999999999998</v>
      </c>
      <c r="E32" s="34">
        <v>275680.40999999997</v>
      </c>
      <c r="F32" s="34"/>
      <c r="G32" s="32"/>
      <c r="I32" s="32"/>
      <c r="K32" s="34">
        <v>0</v>
      </c>
      <c r="M32" s="37">
        <v>0.05</v>
      </c>
      <c r="O32" s="34">
        <f t="shared" si="4"/>
        <v>34085.211416666672</v>
      </c>
      <c r="Q32" s="34">
        <f t="shared" si="3"/>
        <v>309765.67141666665</v>
      </c>
      <c r="S32" s="30"/>
      <c r="W32" s="30"/>
    </row>
    <row r="33" spans="1:23" x14ac:dyDescent="0.2">
      <c r="A33" s="29">
        <f t="shared" si="5"/>
        <v>22</v>
      </c>
      <c r="B33" s="29"/>
      <c r="C33" s="27">
        <v>316.22000000000003</v>
      </c>
      <c r="E33" s="34">
        <v>362830.44</v>
      </c>
      <c r="F33" s="34"/>
      <c r="G33" s="32"/>
      <c r="I33" s="32"/>
      <c r="K33" s="34">
        <v>0</v>
      </c>
      <c r="M33" s="37">
        <v>6.6699999999999995E-2</v>
      </c>
      <c r="O33" s="34">
        <f t="shared" si="4"/>
        <v>40175.547401499993</v>
      </c>
      <c r="Q33" s="34">
        <f t="shared" si="3"/>
        <v>403006.05410150002</v>
      </c>
      <c r="S33" s="30"/>
      <c r="W33" s="30"/>
    </row>
    <row r="34" spans="1:23" x14ac:dyDescent="0.2">
      <c r="A34" s="29">
        <f t="shared" si="5"/>
        <v>23</v>
      </c>
      <c r="C34" s="27">
        <v>316.23</v>
      </c>
      <c r="E34" s="34">
        <v>1180137.92</v>
      </c>
      <c r="F34" s="34"/>
      <c r="G34" s="32"/>
      <c r="I34" s="32"/>
      <c r="K34" s="34">
        <v>0</v>
      </c>
      <c r="M34" s="37">
        <v>0.2</v>
      </c>
      <c r="O34" s="34">
        <f t="shared" si="4"/>
        <v>310599.86066666665</v>
      </c>
      <c r="Q34" s="34">
        <f>IF(SUM(E34:P34)&lt;Q20,SUM(E34:O34),Q20)</f>
        <v>1331142.26</v>
      </c>
      <c r="S34" s="30"/>
    </row>
    <row r="35" spans="1:23" x14ac:dyDescent="0.2">
      <c r="A35" s="29">
        <f t="shared" si="5"/>
        <v>24</v>
      </c>
      <c r="C35" s="27">
        <v>392</v>
      </c>
      <c r="E35" s="34">
        <v>538922.09000000008</v>
      </c>
      <c r="F35" s="34"/>
      <c r="G35" s="32"/>
      <c r="I35" s="32"/>
      <c r="K35" s="34">
        <v>-55285.151153999999</v>
      </c>
      <c r="M35" s="37">
        <v>5.8799999999999998E-2</v>
      </c>
      <c r="O35" s="34">
        <f t="shared" si="4"/>
        <v>29682.351523999994</v>
      </c>
      <c r="Q35" s="34">
        <f>IF(SUM(E35:P35)&lt;Q21,SUM(E35:O35),Q21)</f>
        <v>384482.94999999995</v>
      </c>
      <c r="W35" s="30"/>
    </row>
    <row r="36" spans="1:23" ht="12.75" customHeight="1" x14ac:dyDescent="0.2">
      <c r="A36" s="29">
        <f t="shared" si="5"/>
        <v>25</v>
      </c>
      <c r="B36" s="39"/>
      <c r="C36" s="27" t="s">
        <v>99</v>
      </c>
      <c r="E36" s="35">
        <f>SUM(E25:E35)</f>
        <v>397300433.46999997</v>
      </c>
      <c r="F36" s="35"/>
      <c r="G36" s="32"/>
      <c r="I36" s="32"/>
      <c r="K36" s="35">
        <f>SUM(K25:K35)</f>
        <v>-17633188.834913835</v>
      </c>
      <c r="M36" s="32"/>
      <c r="O36" s="35">
        <f>SUM(O25:O35)</f>
        <v>43183364.703566529</v>
      </c>
      <c r="Q36" s="35">
        <f>SUM(Q25:Q35)</f>
        <v>422562177.79761595</v>
      </c>
      <c r="S36" s="30"/>
      <c r="T36" s="30"/>
    </row>
    <row r="37" spans="1:23" ht="12.75" customHeight="1" x14ac:dyDescent="0.2">
      <c r="A37" s="29"/>
      <c r="B37" s="39"/>
      <c r="C37" s="27"/>
      <c r="E37" s="36"/>
      <c r="F37" s="36"/>
      <c r="K37" s="36"/>
      <c r="O37" s="36"/>
      <c r="Q37" s="36"/>
      <c r="S37" s="30"/>
      <c r="T37" s="30"/>
    </row>
    <row r="38" spans="1:23" ht="12.75" customHeight="1" x14ac:dyDescent="0.2">
      <c r="A38" s="29"/>
      <c r="B38" s="39"/>
      <c r="C38" s="53" t="s">
        <v>177</v>
      </c>
      <c r="D38" s="53"/>
      <c r="E38" s="54">
        <f>E22-E36</f>
        <v>543098275.72000027</v>
      </c>
      <c r="F38" s="53"/>
      <c r="G38" s="54">
        <f>G22-G36</f>
        <v>-979536.67</v>
      </c>
      <c r="H38" s="53"/>
      <c r="I38" s="54">
        <f>I22-I36</f>
        <v>1835456.9441</v>
      </c>
      <c r="J38" s="53"/>
      <c r="K38" s="54">
        <f>K22-K36</f>
        <v>-27761838.665086165</v>
      </c>
      <c r="L38" s="53"/>
      <c r="M38" s="54"/>
      <c r="N38" s="53"/>
      <c r="O38" s="54">
        <f>O22-O36</f>
        <v>-43183364.703566529</v>
      </c>
      <c r="P38" s="53"/>
      <c r="Q38" s="54">
        <f>Q22-Q36</f>
        <v>473297424.16648418</v>
      </c>
      <c r="S38" s="30"/>
      <c r="T38" s="30"/>
    </row>
    <row r="39" spans="1:23" x14ac:dyDescent="0.2">
      <c r="E39" s="30"/>
      <c r="F39" s="30"/>
    </row>
    <row r="40" spans="1:23" x14ac:dyDescent="0.2">
      <c r="K40" s="30"/>
      <c r="O40" s="43">
        <f>-Depreciation!L15</f>
        <v>51668322.630000003</v>
      </c>
      <c r="Q40" s="21" t="s">
        <v>200</v>
      </c>
      <c r="S40" s="30"/>
      <c r="T40" s="30"/>
    </row>
    <row r="41" spans="1:23" x14ac:dyDescent="0.2">
      <c r="O41" s="30">
        <f>SUM(O27:O34)</f>
        <v>43147615.872042522</v>
      </c>
      <c r="Q41" s="21" t="s">
        <v>201</v>
      </c>
    </row>
    <row r="42" spans="1:23" x14ac:dyDescent="0.2">
      <c r="O42" s="30">
        <f>SUM(K27:K34)</f>
        <v>-17577903.683759835</v>
      </c>
      <c r="Q42" s="21" t="s">
        <v>170</v>
      </c>
      <c r="T42" s="42"/>
    </row>
    <row r="43" spans="1:23" ht="15.75" thickBot="1" x14ac:dyDescent="0.25">
      <c r="O43" s="44">
        <f>O41+O40+O42</f>
        <v>77238034.818282694</v>
      </c>
      <c r="Q43" s="21" t="s">
        <v>197</v>
      </c>
    </row>
    <row r="44" spans="1:23" ht="15.75" thickTop="1" x14ac:dyDescent="0.2"/>
    <row r="48" spans="1:23" x14ac:dyDescent="0.2">
      <c r="O48" s="30">
        <f>Q20-E34-O34</f>
        <v>-159595.52066666656</v>
      </c>
    </row>
  </sheetData>
  <mergeCells count="3">
    <mergeCell ref="A1:Q1"/>
    <mergeCell ref="A2:Q2"/>
    <mergeCell ref="A3:Q3"/>
  </mergeCells>
  <printOptions horizontalCentered="1"/>
  <pageMargins left="0.25" right="0.25" top="0.5" bottom="0.75" header="0.5" footer="0.5"/>
  <pageSetup scale="50" orientation="portrait" r:id="rId1"/>
  <headerFooter alignWithMargins="0">
    <oddFooter>&amp;R&amp;14&amp;A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opLeftCell="A18" zoomScale="90" zoomScaleNormal="90" workbookViewId="0">
      <selection activeCell="R28" sqref="R28"/>
    </sheetView>
  </sheetViews>
  <sheetFormatPr defaultColWidth="8.7109375" defaultRowHeight="15" x14ac:dyDescent="0.2"/>
  <cols>
    <col min="1" max="1" width="6.5703125" style="21" customWidth="1"/>
    <col min="2" max="2" width="3.42578125" style="21" customWidth="1"/>
    <col min="3" max="3" width="18.140625" style="21" bestFit="1" customWidth="1"/>
    <col min="4" max="4" width="0.42578125" style="21" customWidth="1"/>
    <col min="5" max="5" width="15.5703125" style="21" customWidth="1"/>
    <col min="6" max="6" width="0.42578125" style="21" customWidth="1"/>
    <col min="7" max="7" width="15.5703125" style="21" customWidth="1"/>
    <col min="8" max="8" width="0.42578125" style="21" customWidth="1"/>
    <col min="9" max="9" width="15.5703125" style="21" customWidth="1"/>
    <col min="10" max="10" width="0.42578125" style="21" customWidth="1"/>
    <col min="11" max="11" width="15.5703125" style="21" customWidth="1"/>
    <col min="12" max="12" width="0.42578125" style="21" customWidth="1"/>
    <col min="13" max="13" width="15.5703125" style="21" customWidth="1"/>
    <col min="14" max="14" width="0.42578125" style="21" customWidth="1"/>
    <col min="15" max="15" width="15.5703125" style="21" customWidth="1"/>
    <col min="16" max="16" width="0.42578125" style="21" customWidth="1"/>
    <col min="17" max="17" width="15.5703125" style="21" customWidth="1"/>
    <col min="18" max="16384" width="8.7109375" style="21"/>
  </cols>
  <sheetData>
    <row r="1" spans="1:17" ht="15.75" x14ac:dyDescent="0.25">
      <c r="A1" s="62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5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5.75" x14ac:dyDescent="0.25">
      <c r="A3" s="64" t="str">
        <f>+'[1]SCHEDULE MJL-S4'!A3</f>
        <v>EF-2024-0021 - DECOMMISSIONING OCTOBER 15, 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x14ac:dyDescent="0.25">
      <c r="Q4" s="22"/>
    </row>
    <row r="6" spans="1:17" ht="15.75" x14ac:dyDescent="0.25">
      <c r="K6" s="20" t="s">
        <v>81</v>
      </c>
      <c r="M6" s="20" t="s">
        <v>82</v>
      </c>
      <c r="O6" s="20" t="s">
        <v>83</v>
      </c>
    </row>
    <row r="7" spans="1:17" ht="15.75" x14ac:dyDescent="0.25">
      <c r="E7" s="20" t="s">
        <v>84</v>
      </c>
      <c r="F7" s="20"/>
      <c r="G7" s="20" t="s">
        <v>85</v>
      </c>
      <c r="H7" s="23"/>
      <c r="I7" s="20" t="s">
        <v>86</v>
      </c>
      <c r="J7" s="20"/>
      <c r="K7" s="20" t="s">
        <v>87</v>
      </c>
      <c r="L7" s="20"/>
      <c r="M7" s="20" t="s">
        <v>88</v>
      </c>
      <c r="N7" s="20"/>
      <c r="O7" s="20" t="s">
        <v>89</v>
      </c>
      <c r="P7" s="20"/>
      <c r="Q7" s="20" t="s">
        <v>90</v>
      </c>
    </row>
    <row r="8" spans="1:17" ht="15.75" x14ac:dyDescent="0.25">
      <c r="A8" s="24" t="s">
        <v>91</v>
      </c>
      <c r="B8" s="24"/>
      <c r="E8" s="25" t="s">
        <v>92</v>
      </c>
      <c r="F8" s="25"/>
      <c r="G8" s="25" t="s">
        <v>93</v>
      </c>
      <c r="H8" s="25"/>
      <c r="I8" s="25" t="s">
        <v>94</v>
      </c>
      <c r="J8" s="25"/>
      <c r="K8" s="25" t="s">
        <v>95</v>
      </c>
      <c r="L8" s="25"/>
      <c r="M8" s="25" t="s">
        <v>96</v>
      </c>
      <c r="N8" s="25"/>
      <c r="O8" s="25" t="s">
        <v>97</v>
      </c>
      <c r="P8" s="20"/>
      <c r="Q8" s="25" t="s">
        <v>84</v>
      </c>
    </row>
    <row r="9" spans="1:17" ht="15.75" x14ac:dyDescent="0.25">
      <c r="A9" s="24"/>
      <c r="B9" s="24"/>
    </row>
    <row r="10" spans="1:17" ht="15.75" x14ac:dyDescent="0.25">
      <c r="A10" s="24"/>
      <c r="B10" s="24"/>
      <c r="C10" s="26" t="s">
        <v>98</v>
      </c>
      <c r="D10" s="27"/>
      <c r="E10" s="28"/>
      <c r="F10" s="28"/>
    </row>
    <row r="11" spans="1:17" x14ac:dyDescent="0.2">
      <c r="A11" s="29">
        <v>1</v>
      </c>
      <c r="B11" s="29"/>
      <c r="C11" s="27">
        <v>303</v>
      </c>
      <c r="D11" s="27"/>
      <c r="E11" s="28">
        <v>2445929.91</v>
      </c>
      <c r="F11" s="28"/>
      <c r="G11" s="30">
        <v>0</v>
      </c>
      <c r="I11" s="30">
        <v>0</v>
      </c>
      <c r="J11" s="30"/>
      <c r="K11" s="30">
        <v>0</v>
      </c>
      <c r="M11" s="31"/>
      <c r="O11" s="32"/>
      <c r="Q11" s="28">
        <f t="shared" ref="Q11:Q19" si="0">SUM(E11:P11)</f>
        <v>2445929.91</v>
      </c>
    </row>
    <row r="12" spans="1:17" x14ac:dyDescent="0.2">
      <c r="A12" s="29">
        <f>1+A11</f>
        <v>2</v>
      </c>
      <c r="B12" s="29"/>
      <c r="C12" s="27">
        <v>310</v>
      </c>
      <c r="D12" s="27"/>
      <c r="E12" s="28">
        <v>979536.67</v>
      </c>
      <c r="F12" s="28"/>
      <c r="G12" s="30">
        <v>-979536.67</v>
      </c>
      <c r="I12" s="30">
        <v>0</v>
      </c>
      <c r="J12" s="30"/>
      <c r="K12" s="30">
        <v>0</v>
      </c>
      <c r="M12" s="31"/>
      <c r="O12" s="32"/>
      <c r="Q12" s="28">
        <f t="shared" si="0"/>
        <v>0</v>
      </c>
    </row>
    <row r="13" spans="1:17" x14ac:dyDescent="0.2">
      <c r="A13" s="29">
        <f>1+A12</f>
        <v>3</v>
      </c>
      <c r="B13" s="29"/>
      <c r="C13" s="27">
        <v>311</v>
      </c>
      <c r="D13" s="27"/>
      <c r="E13" s="28">
        <v>112373967.10000002</v>
      </c>
      <c r="F13" s="28"/>
      <c r="G13" s="30">
        <v>0</v>
      </c>
      <c r="I13" s="30">
        <v>0</v>
      </c>
      <c r="J13" s="30"/>
      <c r="K13" s="30">
        <v>0</v>
      </c>
      <c r="M13" s="31"/>
      <c r="O13" s="32"/>
      <c r="Q13" s="28">
        <f t="shared" si="0"/>
        <v>112373967.10000002</v>
      </c>
    </row>
    <row r="14" spans="1:17" x14ac:dyDescent="0.2">
      <c r="A14" s="29">
        <f t="shared" ref="A14:A22" si="1">1+A13</f>
        <v>4</v>
      </c>
      <c r="B14" s="29"/>
      <c r="C14" s="27">
        <v>312</v>
      </c>
      <c r="D14" s="27"/>
      <c r="E14" s="28">
        <v>548315181.96000016</v>
      </c>
      <c r="F14" s="28"/>
      <c r="G14" s="30">
        <v>0</v>
      </c>
      <c r="I14" s="30">
        <v>0</v>
      </c>
      <c r="J14" s="30"/>
      <c r="K14" s="30">
        <v>-10433037.560000001</v>
      </c>
      <c r="M14" s="31"/>
      <c r="O14" s="32"/>
      <c r="Q14" s="28">
        <f t="shared" si="0"/>
        <v>537882144.40000021</v>
      </c>
    </row>
    <row r="15" spans="1:17" x14ac:dyDescent="0.2">
      <c r="A15" s="29">
        <f t="shared" si="1"/>
        <v>5</v>
      </c>
      <c r="B15" s="29"/>
      <c r="C15" s="27">
        <v>314</v>
      </c>
      <c r="D15" s="27"/>
      <c r="E15" s="28">
        <v>175700443.75999999</v>
      </c>
      <c r="F15" s="28"/>
      <c r="G15" s="30">
        <v>0</v>
      </c>
      <c r="I15" s="30">
        <v>0</v>
      </c>
      <c r="J15" s="30"/>
      <c r="K15" s="30">
        <v>-23448007.499999996</v>
      </c>
      <c r="M15" s="31"/>
      <c r="O15" s="32"/>
      <c r="Q15" s="28">
        <f t="shared" si="0"/>
        <v>152252436.25999999</v>
      </c>
    </row>
    <row r="16" spans="1:17" x14ac:dyDescent="0.2">
      <c r="A16" s="29">
        <f t="shared" si="1"/>
        <v>6</v>
      </c>
      <c r="B16" s="29"/>
      <c r="C16" s="27">
        <v>315</v>
      </c>
      <c r="D16" s="27"/>
      <c r="E16" s="28">
        <v>76358450.329999983</v>
      </c>
      <c r="F16" s="28"/>
      <c r="G16" s="30">
        <v>0</v>
      </c>
      <c r="I16" s="30">
        <v>0</v>
      </c>
      <c r="J16" s="30"/>
      <c r="K16" s="30">
        <v>-6506368.8000000007</v>
      </c>
      <c r="M16" s="31"/>
      <c r="O16" s="32"/>
      <c r="Q16" s="28">
        <f t="shared" si="0"/>
        <v>69852081.529999986</v>
      </c>
    </row>
    <row r="17" spans="1:17" x14ac:dyDescent="0.2">
      <c r="A17" s="29">
        <f t="shared" si="1"/>
        <v>7</v>
      </c>
      <c r="B17" s="29"/>
      <c r="C17" s="27">
        <v>316</v>
      </c>
      <c r="D17" s="27"/>
      <c r="E17" s="28">
        <v>21360767.339999996</v>
      </c>
      <c r="F17" s="28"/>
      <c r="G17" s="30">
        <v>0</v>
      </c>
      <c r="I17" s="30">
        <v>1835456.9441</v>
      </c>
      <c r="J17" s="30"/>
      <c r="K17" s="30">
        <v>-4959409.2500000009</v>
      </c>
      <c r="M17" s="31"/>
      <c r="O17" s="32"/>
      <c r="Q17" s="28">
        <f t="shared" si="0"/>
        <v>18236815.034099996</v>
      </c>
    </row>
    <row r="18" spans="1:17" x14ac:dyDescent="0.2">
      <c r="A18" s="29">
        <f t="shared" si="1"/>
        <v>8</v>
      </c>
      <c r="B18" s="29"/>
      <c r="C18" s="27">
        <v>316.20999999999998</v>
      </c>
      <c r="D18" s="27"/>
      <c r="E18" s="28">
        <v>584317.91</v>
      </c>
      <c r="F18" s="28"/>
      <c r="G18" s="30">
        <v>0</v>
      </c>
      <c r="I18" s="30">
        <v>0</v>
      </c>
      <c r="J18" s="30"/>
      <c r="K18" s="30">
        <v>0</v>
      </c>
      <c r="M18" s="31"/>
      <c r="O18" s="32"/>
      <c r="Q18" s="28">
        <f t="shared" si="0"/>
        <v>584317.91</v>
      </c>
    </row>
    <row r="19" spans="1:17" x14ac:dyDescent="0.2">
      <c r="A19" s="29">
        <f t="shared" si="1"/>
        <v>9</v>
      </c>
      <c r="B19" s="29"/>
      <c r="C19" s="27">
        <v>316.22000000000003</v>
      </c>
      <c r="D19" s="27"/>
      <c r="E19" s="28">
        <v>516284.61</v>
      </c>
      <c r="F19" s="28"/>
      <c r="G19" s="30">
        <v>0</v>
      </c>
      <c r="I19" s="30">
        <v>0</v>
      </c>
      <c r="J19" s="30"/>
      <c r="K19" s="30">
        <v>0</v>
      </c>
      <c r="M19" s="31"/>
      <c r="O19" s="32"/>
      <c r="Q19" s="28">
        <f t="shared" si="0"/>
        <v>516284.61</v>
      </c>
    </row>
    <row r="20" spans="1:17" x14ac:dyDescent="0.2">
      <c r="A20" s="29">
        <f t="shared" si="1"/>
        <v>10</v>
      </c>
      <c r="B20" s="29"/>
      <c r="C20" s="27">
        <v>316.23</v>
      </c>
      <c r="D20" s="27"/>
      <c r="E20" s="28">
        <v>1331142.26</v>
      </c>
      <c r="F20" s="28"/>
      <c r="G20" s="30">
        <v>0</v>
      </c>
      <c r="I20" s="30">
        <v>0</v>
      </c>
      <c r="J20" s="30"/>
      <c r="K20" s="30">
        <v>0</v>
      </c>
      <c r="M20" s="31"/>
      <c r="O20" s="32"/>
      <c r="Q20" s="28">
        <f t="shared" ref="Q20:Q21" si="2">SUM(E20:P20)</f>
        <v>1331142.26</v>
      </c>
    </row>
    <row r="21" spans="1:17" x14ac:dyDescent="0.2">
      <c r="A21" s="29">
        <f t="shared" si="1"/>
        <v>11</v>
      </c>
      <c r="B21" s="29"/>
      <c r="C21" s="27">
        <v>392</v>
      </c>
      <c r="D21" s="27"/>
      <c r="E21" s="28">
        <v>432687.33999999997</v>
      </c>
      <c r="F21" s="28"/>
      <c r="G21" s="30">
        <v>0</v>
      </c>
      <c r="H21" s="33"/>
      <c r="I21" s="30">
        <v>0</v>
      </c>
      <c r="J21" s="30"/>
      <c r="K21" s="30">
        <v>-48204.39</v>
      </c>
      <c r="M21" s="31"/>
      <c r="O21" s="32"/>
      <c r="Q21" s="34">
        <f t="shared" si="2"/>
        <v>384482.94999999995</v>
      </c>
    </row>
    <row r="22" spans="1:17" x14ac:dyDescent="0.2">
      <c r="A22" s="29">
        <f t="shared" si="1"/>
        <v>12</v>
      </c>
      <c r="B22" s="29"/>
      <c r="C22" s="27" t="s">
        <v>99</v>
      </c>
      <c r="D22" s="27"/>
      <c r="E22" s="35">
        <f>SUM(E11:E21)</f>
        <v>940398709.1900003</v>
      </c>
      <c r="F22" s="35"/>
      <c r="G22" s="35">
        <f>SUM(G11:G21)</f>
        <v>-979536.67</v>
      </c>
      <c r="I22" s="35">
        <f>SUM(I11:I21)</f>
        <v>1835456.9441</v>
      </c>
      <c r="J22" s="36"/>
      <c r="K22" s="35">
        <f>SUM(K11:K21)</f>
        <v>-45395027.5</v>
      </c>
      <c r="M22" s="31"/>
      <c r="O22" s="32"/>
      <c r="Q22" s="35">
        <f>SUM(Q11:Q21)</f>
        <v>895859601.96410012</v>
      </c>
    </row>
    <row r="23" spans="1:17" x14ac:dyDescent="0.2">
      <c r="A23" s="29"/>
      <c r="B23" s="29"/>
    </row>
    <row r="24" spans="1:17" ht="15.75" x14ac:dyDescent="0.25">
      <c r="A24" s="29">
        <f>1+A22</f>
        <v>13</v>
      </c>
      <c r="B24" s="29"/>
      <c r="C24" s="26" t="s">
        <v>97</v>
      </c>
    </row>
    <row r="25" spans="1:17" x14ac:dyDescent="0.2">
      <c r="A25" s="29">
        <f>1+A24</f>
        <v>14</v>
      </c>
      <c r="C25" s="27">
        <v>303</v>
      </c>
      <c r="E25" s="34">
        <v>2435096.9100000006</v>
      </c>
      <c r="F25" s="34"/>
      <c r="G25" s="32"/>
      <c r="I25" s="32"/>
      <c r="M25" s="31"/>
      <c r="O25" s="34">
        <f>433.32*15.5</f>
        <v>6716.46</v>
      </c>
      <c r="Q25" s="34">
        <f t="shared" ref="Q25:Q33" si="3">SUM(E25:P25)</f>
        <v>2441813.3700000006</v>
      </c>
    </row>
    <row r="26" spans="1:17" x14ac:dyDescent="0.2">
      <c r="A26" s="29">
        <f>1+A25</f>
        <v>15</v>
      </c>
      <c r="C26" s="27">
        <v>310</v>
      </c>
      <c r="E26" s="34">
        <v>0</v>
      </c>
      <c r="F26" s="34"/>
      <c r="G26" s="32"/>
      <c r="I26" s="32"/>
      <c r="M26" s="37">
        <v>0</v>
      </c>
      <c r="O26" s="34">
        <v>0</v>
      </c>
      <c r="Q26" s="34">
        <v>0</v>
      </c>
    </row>
    <row r="27" spans="1:17" x14ac:dyDescent="0.2">
      <c r="A27" s="29">
        <f>1+A26</f>
        <v>16</v>
      </c>
      <c r="B27" s="29"/>
      <c r="C27" s="27">
        <v>311</v>
      </c>
      <c r="E27" s="34">
        <v>42697274.460000001</v>
      </c>
      <c r="F27" s="34"/>
      <c r="G27" s="32"/>
      <c r="I27" s="38"/>
      <c r="K27" s="34"/>
      <c r="M27" s="37">
        <v>3.56E-2</v>
      </c>
      <c r="O27" s="34">
        <f>+E13*((M27/12)*15.5)+I13*(M27/12)*15.5/2</f>
        <v>5167329.5871483339</v>
      </c>
      <c r="Q27" s="34">
        <f t="shared" si="3"/>
        <v>47864604.082748331</v>
      </c>
    </row>
    <row r="28" spans="1:17" x14ac:dyDescent="0.2">
      <c r="A28" s="29">
        <f t="shared" ref="A28:A36" si="4">1+A27</f>
        <v>17</v>
      </c>
      <c r="B28" s="29"/>
      <c r="C28" s="27">
        <v>312</v>
      </c>
      <c r="E28" s="34">
        <v>228940115.04999998</v>
      </c>
      <c r="F28" s="34"/>
      <c r="G28" s="32"/>
      <c r="I28" s="32"/>
      <c r="K28" s="34">
        <v>-3920769.292151331</v>
      </c>
      <c r="M28" s="37">
        <v>4.1200000000000001E-2</v>
      </c>
      <c r="O28" s="34">
        <f t="shared" ref="O28:O35" si="5">+E14*((M28/12)*15.5)+I14*(M28/12)*15.5/2</f>
        <v>29179506.266638011</v>
      </c>
      <c r="Q28" s="34">
        <f t="shared" si="3"/>
        <v>254198852.06568667</v>
      </c>
    </row>
    <row r="29" spans="1:17" x14ac:dyDescent="0.2">
      <c r="A29" s="29">
        <f t="shared" si="4"/>
        <v>18</v>
      </c>
      <c r="B29" s="29"/>
      <c r="C29" s="27">
        <v>314</v>
      </c>
      <c r="E29" s="34">
        <v>85188280.940000013</v>
      </c>
      <c r="F29" s="34"/>
      <c r="G29" s="32"/>
      <c r="I29" s="32"/>
      <c r="K29" s="34">
        <v>-10951342.145187501</v>
      </c>
      <c r="M29" s="37">
        <v>3.4599999999999999E-2</v>
      </c>
      <c r="O29" s="34">
        <f t="shared" si="5"/>
        <v>7852345.6657073321</v>
      </c>
      <c r="Q29" s="34">
        <f t="shared" si="3"/>
        <v>82089284.495119855</v>
      </c>
    </row>
    <row r="30" spans="1:17" x14ac:dyDescent="0.2">
      <c r="A30" s="29">
        <f t="shared" si="4"/>
        <v>19</v>
      </c>
      <c r="C30" s="27">
        <v>315</v>
      </c>
      <c r="E30" s="34">
        <v>30775074.140000001</v>
      </c>
      <c r="F30" s="34"/>
      <c r="G30" s="32"/>
      <c r="I30" s="32"/>
      <c r="K30" s="34">
        <v>-1498981.2172599998</v>
      </c>
      <c r="M30" s="37">
        <v>3.5799999999999998E-2</v>
      </c>
      <c r="O30" s="34">
        <f t="shared" si="5"/>
        <v>3530942.0073430822</v>
      </c>
      <c r="Q30" s="34">
        <f t="shared" si="3"/>
        <v>32807034.965883084</v>
      </c>
    </row>
    <row r="31" spans="1:17" x14ac:dyDescent="0.2">
      <c r="A31" s="29">
        <f t="shared" si="4"/>
        <v>20</v>
      </c>
      <c r="B31" s="29"/>
      <c r="C31" s="27">
        <v>316</v>
      </c>
      <c r="E31" s="34">
        <v>4907021.1100000013</v>
      </c>
      <c r="F31" s="34"/>
      <c r="G31" s="32"/>
      <c r="I31" s="32"/>
      <c r="K31" s="34">
        <v>-1425847.6627781254</v>
      </c>
      <c r="M31" s="37">
        <v>5.6099999999999997E-2</v>
      </c>
      <c r="O31" s="34">
        <f t="shared" si="5"/>
        <v>1614355.5027806726</v>
      </c>
      <c r="Q31" s="34">
        <f t="shared" si="3"/>
        <v>5095529.0061025489</v>
      </c>
    </row>
    <row r="32" spans="1:17" x14ac:dyDescent="0.2">
      <c r="A32" s="29">
        <f t="shared" si="4"/>
        <v>21</v>
      </c>
      <c r="B32" s="29"/>
      <c r="C32" s="27">
        <v>316.20999999999998</v>
      </c>
      <c r="E32" s="34">
        <v>275680.40999999997</v>
      </c>
      <c r="F32" s="34"/>
      <c r="G32" s="32"/>
      <c r="I32" s="32"/>
      <c r="K32" s="34"/>
      <c r="M32" s="37">
        <v>0.05</v>
      </c>
      <c r="O32" s="34">
        <f t="shared" si="5"/>
        <v>37737.198354166663</v>
      </c>
      <c r="Q32" s="34">
        <f t="shared" si="3"/>
        <v>313417.6583541666</v>
      </c>
    </row>
    <row r="33" spans="1:17" x14ac:dyDescent="0.2">
      <c r="A33" s="29">
        <f t="shared" si="4"/>
        <v>22</v>
      </c>
      <c r="B33" s="29"/>
      <c r="C33" s="27">
        <v>316.22000000000003</v>
      </c>
      <c r="E33" s="34">
        <v>362830.44</v>
      </c>
      <c r="F33" s="34"/>
      <c r="G33" s="32"/>
      <c r="I33" s="32"/>
      <c r="K33" s="34"/>
      <c r="M33" s="37">
        <v>6.6699999999999995E-2</v>
      </c>
      <c r="O33" s="34">
        <f t="shared" si="5"/>
        <v>44480.070337374993</v>
      </c>
      <c r="Q33" s="34">
        <f t="shared" si="3"/>
        <v>407310.57703737501</v>
      </c>
    </row>
    <row r="34" spans="1:17" x14ac:dyDescent="0.2">
      <c r="A34" s="29">
        <f t="shared" si="4"/>
        <v>23</v>
      </c>
      <c r="C34" s="27">
        <v>316.23</v>
      </c>
      <c r="E34" s="34">
        <v>1180137.92</v>
      </c>
      <c r="F34" s="34"/>
      <c r="G34" s="32"/>
      <c r="I34" s="32"/>
      <c r="M34" s="37">
        <v>0.2</v>
      </c>
      <c r="O34" s="34">
        <f t="shared" si="5"/>
        <v>343878.41716666665</v>
      </c>
      <c r="Q34" s="34">
        <f>IF(SUM(E34:P34)&lt;Q20,SUM(E34:O34),Q20)</f>
        <v>1331142.26</v>
      </c>
    </row>
    <row r="35" spans="1:17" x14ac:dyDescent="0.2">
      <c r="A35" s="29">
        <f t="shared" si="4"/>
        <v>24</v>
      </c>
      <c r="C35" s="27">
        <v>392</v>
      </c>
      <c r="E35" s="34">
        <v>538922.09000000008</v>
      </c>
      <c r="F35" s="34"/>
      <c r="G35" s="32"/>
      <c r="I35" s="32"/>
      <c r="K35" s="34">
        <v>-55639.453420500002</v>
      </c>
      <c r="M35" s="37">
        <v>5.8799999999999998E-2</v>
      </c>
      <c r="O35" s="34">
        <f t="shared" si="5"/>
        <v>32862.603472999996</v>
      </c>
      <c r="Q35" s="34">
        <f>IF(SUM(E35:P35)&lt;Q21,SUM(E35:O35),Q21)</f>
        <v>384482.94999999995</v>
      </c>
    </row>
    <row r="36" spans="1:17" ht="12.75" customHeight="1" x14ac:dyDescent="0.2">
      <c r="A36" s="29">
        <f t="shared" si="4"/>
        <v>25</v>
      </c>
      <c r="B36" s="39"/>
      <c r="C36" s="27" t="s">
        <v>99</v>
      </c>
      <c r="E36" s="35">
        <f>SUM(E25:E35)</f>
        <v>397300433.46999997</v>
      </c>
      <c r="F36" s="35"/>
      <c r="G36" s="32"/>
      <c r="I36" s="32"/>
      <c r="K36" s="35">
        <f>SUM(K25:K35)</f>
        <v>-17852579.770797458</v>
      </c>
      <c r="M36" s="32"/>
      <c r="O36" s="35">
        <f>SUM(O25:O35)</f>
        <v>47810153.77894865</v>
      </c>
      <c r="Q36" s="35">
        <f>SUM(Q25:Q35)</f>
        <v>426933471.43093204</v>
      </c>
    </row>
    <row r="37" spans="1:17" ht="12.75" customHeight="1" x14ac:dyDescent="0.2">
      <c r="A37" s="29"/>
      <c r="B37" s="39"/>
      <c r="C37" s="27"/>
      <c r="E37" s="36"/>
      <c r="F37" s="36"/>
      <c r="K37" s="36"/>
      <c r="O37" s="36"/>
      <c r="Q37" s="36"/>
    </row>
    <row r="38" spans="1:17" ht="12.75" customHeight="1" x14ac:dyDescent="0.2">
      <c r="A38" s="29"/>
      <c r="B38" s="39"/>
      <c r="C38" s="53" t="s">
        <v>177</v>
      </c>
      <c r="D38" s="53"/>
      <c r="E38" s="54">
        <f>E22-E36</f>
        <v>543098275.72000027</v>
      </c>
      <c r="F38" s="53"/>
      <c r="G38" s="54">
        <f>G22-G36</f>
        <v>-979536.67</v>
      </c>
      <c r="H38" s="53"/>
      <c r="I38" s="54">
        <f>I22-I36</f>
        <v>1835456.9441</v>
      </c>
      <c r="J38" s="53"/>
      <c r="K38" s="54">
        <f>K22-K36</f>
        <v>-27542447.729202542</v>
      </c>
      <c r="L38" s="53"/>
      <c r="M38" s="54"/>
      <c r="N38" s="53"/>
      <c r="O38" s="54">
        <f>O22-O36</f>
        <v>-47810153.77894865</v>
      </c>
      <c r="P38" s="53"/>
      <c r="Q38" s="54">
        <f>Q22-Q36</f>
        <v>468926130.53316808</v>
      </c>
    </row>
    <row r="39" spans="1:17" x14ac:dyDescent="0.2">
      <c r="E39" s="30"/>
      <c r="F39" s="30"/>
    </row>
    <row r="40" spans="1:17" x14ac:dyDescent="0.2">
      <c r="O40" s="43">
        <f>-Depreciation!L15</f>
        <v>51668322.630000003</v>
      </c>
      <c r="Q40" s="21" t="s">
        <v>200</v>
      </c>
    </row>
    <row r="41" spans="1:17" x14ac:dyDescent="0.2">
      <c r="O41" s="30">
        <f>SUM(O27:O34)</f>
        <v>47770574.715475649</v>
      </c>
      <c r="Q41" s="21" t="s">
        <v>202</v>
      </c>
    </row>
    <row r="42" spans="1:17" x14ac:dyDescent="0.2">
      <c r="O42" s="30">
        <f>SUM(K27:K34)</f>
        <v>-17796940.317376956</v>
      </c>
      <c r="Q42" s="21" t="s">
        <v>170</v>
      </c>
    </row>
    <row r="43" spans="1:17" ht="15.75" thickBot="1" x14ac:dyDescent="0.25">
      <c r="O43" s="44">
        <f>O41+O40+O42</f>
        <v>81641957.028098688</v>
      </c>
      <c r="Q43" s="21" t="s">
        <v>199</v>
      </c>
    </row>
    <row r="44" spans="1:17" ht="15.75" thickTop="1" x14ac:dyDescent="0.2"/>
  </sheetData>
  <mergeCells count="3">
    <mergeCell ref="A1:Q1"/>
    <mergeCell ref="A2:Q2"/>
    <mergeCell ref="A3:Q3"/>
  </mergeCells>
  <printOptions horizontalCentered="1"/>
  <pageMargins left="0.25" right="0.25" top="0.5" bottom="0.75" header="0.5" footer="0.5"/>
  <pageSetup scale="50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B61D6-E9FD-4181-80E5-1853B0A9C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65924-6D47-4E7E-B377-7A7CB30B8B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5184FA3-0756-4F0B-9756-0C67955A7DF8"/>
    <ds:schemaRef ds:uri="http://purl.org/dc/terms/"/>
    <ds:schemaRef ds:uri="8b86ae58-4ff9-4300-8876-bb89783e485c"/>
    <ds:schemaRef ds:uri="http://schemas.openxmlformats.org/package/2006/metadata/core-properties"/>
    <ds:schemaRef ds:uri="http://schemas.microsoft.com/office/2006/documentManagement/types"/>
    <ds:schemaRef ds:uri="3cd211b7-472a-4bec-b012-d8e46728db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FFC793-D65E-4168-8EA3-BE4BA843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Reconciliation</vt:lpstr>
      <vt:lpstr>Additions</vt:lpstr>
      <vt:lpstr>Removals</vt:lpstr>
      <vt:lpstr>Salvage</vt:lpstr>
      <vt:lpstr>Depreciation</vt:lpstr>
      <vt:lpstr>21 Depreciation study</vt:lpstr>
      <vt:lpstr>SCHEDULE MJL-S2</vt:lpstr>
      <vt:lpstr>SCHEDULE MJL-S6</vt:lpstr>
      <vt:lpstr>'SCHEDULE MJL-S2'!Print_Area</vt:lpstr>
      <vt:lpstr>'SCHEDULE MJL-S6'!Print_Area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2024-02-27T14:43:06Z</dcterms:created>
  <dcterms:modified xsi:type="dcterms:W3CDTF">2024-04-22T19:55:59Z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