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Walthers\Exhibits\EF-2024-0021\"/>
    </mc:Choice>
  </mc:AlternateContent>
  <bookViews>
    <workbookView xWindow="0" yWindow="0" windowWidth="15360" windowHeight="6750" tabRatio="816"/>
  </bookViews>
  <sheets>
    <sheet name="Summary" sheetId="1" r:id="rId1"/>
    <sheet name="Rush Island Plant" sheetId="2" r:id="rId2"/>
    <sheet name="Additions - Revised" sheetId="10" r:id="rId3"/>
    <sheet name="Comparison" sheetId="8" r:id="rId4"/>
    <sheet name="Financing Costs" sheetId="7" r:id="rId5"/>
    <sheet name="ARO" sheetId="5" r:id="rId6"/>
    <sheet name="ARO - Revised" sheetId="9" r:id="rId7"/>
    <sheet name="ADIT" sheetId="4" r:id="rId8"/>
    <sheet name="Def Tax" sheetId="11" r:id="rId9"/>
    <sheet name="CWIP" sheetId="3" r:id="rId10"/>
    <sheet name="Water Treatment" sheetId="6" r:id="rId11"/>
    <sheet name="Basemat" sheetId="12" r:id="rId12"/>
  </sheets>
  <externalReferences>
    <externalReference r:id="rId13"/>
  </externalReferences>
  <definedNames>
    <definedName name="_xlnm.Print_Area" localSheetId="0">Summary!$A$1:$E$27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7" i="1" l="1"/>
  <c r="E59" i="12" l="1"/>
  <c r="C59" i="12"/>
  <c r="B59" i="12"/>
  <c r="F57" i="12"/>
  <c r="H57" i="12" s="1"/>
  <c r="F56" i="12"/>
  <c r="H56" i="12" s="1"/>
  <c r="F55" i="12"/>
  <c r="H55" i="12" s="1"/>
  <c r="F54" i="12"/>
  <c r="H54" i="12" s="1"/>
  <c r="D53" i="12"/>
  <c r="D59" i="12" s="1"/>
  <c r="F52" i="12"/>
  <c r="H52" i="12" s="1"/>
  <c r="C44" i="12"/>
  <c r="E44" i="12" s="1"/>
  <c r="C43" i="12"/>
  <c r="E43" i="12" s="1"/>
  <c r="C42" i="12"/>
  <c r="E42" i="12" s="1"/>
  <c r="E40" i="12"/>
  <c r="I34" i="12"/>
  <c r="H34" i="12"/>
  <c r="G34" i="12"/>
  <c r="F34" i="12"/>
  <c r="E34" i="12"/>
  <c r="D34" i="12"/>
  <c r="C41" i="12" s="1"/>
  <c r="C46" i="12" s="1"/>
  <c r="C34" i="12"/>
  <c r="B34" i="12"/>
  <c r="I32" i="12"/>
  <c r="H32" i="12"/>
  <c r="G32" i="12"/>
  <c r="F32" i="12"/>
  <c r="E32" i="12"/>
  <c r="D32" i="12"/>
  <c r="C32" i="12"/>
  <c r="B32" i="12"/>
  <c r="K52" i="12" l="1"/>
  <c r="G62" i="12"/>
  <c r="H62" i="12" s="1"/>
  <c r="K55" i="12"/>
  <c r="K54" i="12"/>
  <c r="K56" i="12"/>
  <c r="L56" i="12" s="1"/>
  <c r="F53" i="12"/>
  <c r="K53" i="12"/>
  <c r="F59" i="12" l="1"/>
  <c r="H53" i="12"/>
  <c r="H59" i="12" s="1"/>
  <c r="H64" i="12" s="1"/>
  <c r="E41" i="12" s="1"/>
  <c r="D41" i="12" l="1"/>
  <c r="D46" i="12" s="1"/>
  <c r="E46" i="12"/>
  <c r="D10" i="4" l="1"/>
  <c r="I21" i="2"/>
  <c r="P13" i="10"/>
  <c r="D29" i="9" l="1"/>
  <c r="D34" i="9" s="1"/>
  <c r="D39" i="9" s="1"/>
  <c r="D24" i="9"/>
  <c r="D40" i="9" s="1"/>
  <c r="C19" i="9"/>
  <c r="E14" i="9"/>
  <c r="E19" i="9" l="1"/>
  <c r="C24" i="9"/>
  <c r="E24" i="9" l="1"/>
  <c r="C29" i="9"/>
  <c r="C34" i="9" l="1"/>
  <c r="E29" i="9"/>
  <c r="C39" i="9" l="1"/>
  <c r="E39" i="9" s="1"/>
  <c r="E34" i="9"/>
  <c r="J16" i="9" s="1"/>
  <c r="C40" i="9"/>
  <c r="E40" i="9" l="1"/>
  <c r="C20" i="3" l="1"/>
  <c r="D16" i="8" l="1"/>
  <c r="F16" i="8" s="1"/>
  <c r="D14" i="8"/>
  <c r="C39" i="8"/>
  <c r="C40" i="8" s="1"/>
  <c r="C41" i="8" s="1"/>
  <c r="C42" i="8" s="1"/>
  <c r="C43" i="8" s="1"/>
  <c r="C44" i="8" s="1"/>
  <c r="C45" i="8" s="1"/>
  <c r="C46" i="8" s="1"/>
  <c r="C47" i="8" s="1"/>
  <c r="C48" i="8" s="1"/>
  <c r="C49" i="8" s="1"/>
  <c r="C50" i="8" s="1"/>
  <c r="C51" i="8" s="1"/>
  <c r="C52" i="8" s="1"/>
  <c r="C53" i="8" s="1"/>
  <c r="C54" i="8" s="1"/>
  <c r="C55" i="8" s="1"/>
  <c r="C56" i="8" s="1"/>
  <c r="C57" i="8" s="1"/>
  <c r="C58" i="8" s="1"/>
  <c r="C59" i="8" s="1"/>
  <c r="C60" i="8" s="1"/>
  <c r="C61" i="8" s="1"/>
  <c r="C62" i="8" s="1"/>
  <c r="C63" i="8" s="1"/>
  <c r="C64" i="8" s="1"/>
  <c r="C65" i="8" s="1"/>
  <c r="C66" i="8" s="1"/>
  <c r="C67" i="8" s="1"/>
  <c r="C68" i="8" s="1"/>
  <c r="C69" i="8" s="1"/>
  <c r="C70" i="8" s="1"/>
  <c r="C71" i="8" s="1"/>
  <c r="C72" i="8" s="1"/>
  <c r="C73" i="8" s="1"/>
  <c r="C74" i="8" s="1"/>
  <c r="C75" i="8" s="1"/>
  <c r="C76" i="8" s="1"/>
  <c r="C77" i="8" s="1"/>
  <c r="C78" i="8" s="1"/>
  <c r="C79" i="8" s="1"/>
  <c r="C80" i="8" s="1"/>
  <c r="C81" i="8" s="1"/>
  <c r="C82" i="8" s="1"/>
  <c r="C83" i="8" s="1"/>
  <c r="C84" i="8" s="1"/>
  <c r="C85" i="8" s="1"/>
  <c r="C86" i="8" s="1"/>
  <c r="C87" i="8" s="1"/>
  <c r="C88" i="8" s="1"/>
  <c r="C89" i="8" s="1"/>
  <c r="C90" i="8" s="1"/>
  <c r="C91" i="8" s="1"/>
  <c r="C92" i="8" s="1"/>
  <c r="C93" i="8" s="1"/>
  <c r="C94" i="8" s="1"/>
  <c r="C95" i="8" s="1"/>
  <c r="C96" i="8" s="1"/>
  <c r="C97" i="8" s="1"/>
  <c r="C98" i="8" s="1"/>
  <c r="C99" i="8" s="1"/>
  <c r="C100" i="8" s="1"/>
  <c r="C101" i="8" s="1"/>
  <c r="C102" i="8" s="1"/>
  <c r="C103" i="8" s="1"/>
  <c r="C104" i="8" s="1"/>
  <c r="C105" i="8" s="1"/>
  <c r="C106" i="8" s="1"/>
  <c r="C107" i="8" s="1"/>
  <c r="C108" i="8" s="1"/>
  <c r="C109" i="8" s="1"/>
  <c r="C110" i="8" s="1"/>
  <c r="C111" i="8" s="1"/>
  <c r="C112" i="8" s="1"/>
  <c r="C113" i="8" s="1"/>
  <c r="C114" i="8" s="1"/>
  <c r="C115" i="8" s="1"/>
  <c r="C116" i="8" s="1"/>
  <c r="C117" i="8" s="1"/>
  <c r="C118" i="8" s="1"/>
  <c r="C119" i="8" s="1"/>
  <c r="C120" i="8" s="1"/>
  <c r="C121" i="8" s="1"/>
  <c r="C122" i="8" s="1"/>
  <c r="C123" i="8" s="1"/>
  <c r="C124" i="8" s="1"/>
  <c r="C125" i="8" s="1"/>
  <c r="C126" i="8" s="1"/>
  <c r="C127" i="8" s="1"/>
  <c r="C128" i="8" s="1"/>
  <c r="C129" i="8" s="1"/>
  <c r="C130" i="8" s="1"/>
  <c r="C131" i="8" s="1"/>
  <c r="C132" i="8" s="1"/>
  <c r="C133" i="8" s="1"/>
  <c r="C134" i="8" s="1"/>
  <c r="C135" i="8" s="1"/>
  <c r="C136" i="8" s="1"/>
  <c r="C137" i="8" s="1"/>
  <c r="C138" i="8" s="1"/>
  <c r="C139" i="8" s="1"/>
  <c r="C140" i="8" s="1"/>
  <c r="C141" i="8" s="1"/>
  <c r="C142" i="8" s="1"/>
  <c r="C143" i="8" s="1"/>
  <c r="C144" i="8" s="1"/>
  <c r="C145" i="8" s="1"/>
  <c r="C146" i="8" s="1"/>
  <c r="C147" i="8" s="1"/>
  <c r="C148" i="8" s="1"/>
  <c r="C149" i="8" s="1"/>
  <c r="C150" i="8" s="1"/>
  <c r="C151" i="8" s="1"/>
  <c r="C152" i="8" s="1"/>
  <c r="C153" i="8" s="1"/>
  <c r="C154" i="8" s="1"/>
  <c r="C155" i="8" s="1"/>
  <c r="C156" i="8" s="1"/>
  <c r="C157" i="8" s="1"/>
  <c r="C158" i="8" s="1"/>
  <c r="C159" i="8" s="1"/>
  <c r="C160" i="8" s="1"/>
  <c r="C161" i="8" s="1"/>
  <c r="C162" i="8" s="1"/>
  <c r="C163" i="8" s="1"/>
  <c r="C164" i="8" s="1"/>
  <c r="C165" i="8" s="1"/>
  <c r="C166" i="8" s="1"/>
  <c r="C167" i="8" s="1"/>
  <c r="C168" i="8" s="1"/>
  <c r="C169" i="8" s="1"/>
  <c r="C170" i="8" s="1"/>
  <c r="C171" i="8" s="1"/>
  <c r="C172" i="8" s="1"/>
  <c r="C173" i="8" s="1"/>
  <c r="C174" i="8" s="1"/>
  <c r="C175" i="8" s="1"/>
  <c r="C176" i="8" s="1"/>
  <c r="C177" i="8" s="1"/>
  <c r="C178" i="8" s="1"/>
  <c r="C179" i="8" s="1"/>
  <c r="C180" i="8" s="1"/>
  <c r="C181" i="8" s="1"/>
  <c r="C182" i="8" s="1"/>
  <c r="C183" i="8" s="1"/>
  <c r="C184" i="8" s="1"/>
  <c r="C185" i="8" s="1"/>
  <c r="C186" i="8" s="1"/>
  <c r="C187" i="8" s="1"/>
  <c r="C188" i="8" s="1"/>
  <c r="C189" i="8" s="1"/>
  <c r="C190" i="8" s="1"/>
  <c r="C191" i="8" s="1"/>
  <c r="C192" i="8" s="1"/>
  <c r="C193" i="8" s="1"/>
  <c r="C194" i="8" s="1"/>
  <c r="C195" i="8" s="1"/>
  <c r="C196" i="8" s="1"/>
  <c r="C197" i="8" s="1"/>
  <c r="C198" i="8" s="1"/>
  <c r="C199" i="8" s="1"/>
  <c r="C200" i="8" s="1"/>
  <c r="C201" i="8" s="1"/>
  <c r="C202" i="8" s="1"/>
  <c r="C203" i="8" s="1"/>
  <c r="C204" i="8" s="1"/>
  <c r="C205" i="8" s="1"/>
  <c r="C206" i="8" s="1"/>
  <c r="C207" i="8" s="1"/>
  <c r="C208" i="8" s="1"/>
  <c r="C209" i="8" s="1"/>
  <c r="C210" i="8" s="1"/>
  <c r="C32" i="8"/>
  <c r="C33" i="8" s="1"/>
  <c r="C34" i="8" s="1"/>
  <c r="C35" i="8" s="1"/>
  <c r="C36" i="8" s="1"/>
  <c r="C37" i="8" s="1"/>
  <c r="C38" i="8" s="1"/>
  <c r="A11" i="8"/>
  <c r="A12" i="8" s="1"/>
  <c r="A14" i="8" s="1"/>
  <c r="A15" i="8" s="1"/>
  <c r="A16" i="8" s="1"/>
  <c r="A17" i="8" s="1"/>
  <c r="A19" i="8" s="1"/>
  <c r="A21" i="8" s="1"/>
  <c r="A23" i="8" s="1"/>
  <c r="A24" i="8" s="1"/>
  <c r="A26" i="8" s="1"/>
  <c r="A27" i="8" s="1"/>
  <c r="A28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0" i="8" s="1"/>
  <c r="A191" i="8" s="1"/>
  <c r="A192" i="8" s="1"/>
  <c r="A193" i="8" s="1"/>
  <c r="A194" i="8" s="1"/>
  <c r="A195" i="8" s="1"/>
  <c r="A196" i="8" s="1"/>
  <c r="A197" i="8" s="1"/>
  <c r="A198" i="8" s="1"/>
  <c r="A199" i="8" s="1"/>
  <c r="A200" i="8" s="1"/>
  <c r="A201" i="8" s="1"/>
  <c r="A202" i="8" s="1"/>
  <c r="A203" i="8" s="1"/>
  <c r="A204" i="8" s="1"/>
  <c r="A205" i="8" s="1"/>
  <c r="A206" i="8" s="1"/>
  <c r="A207" i="8" s="1"/>
  <c r="A208" i="8" s="1"/>
  <c r="A209" i="8" s="1"/>
  <c r="A210" i="8" s="1"/>
  <c r="A211" i="8" s="1"/>
  <c r="F8" i="8"/>
  <c r="E29" i="7" l="1"/>
  <c r="E28" i="7"/>
  <c r="E27" i="7"/>
  <c r="E24" i="7"/>
  <c r="A15" i="7"/>
  <c r="A16" i="7" s="1"/>
  <c r="A17" i="7" s="1"/>
  <c r="A18" i="7" s="1"/>
  <c r="A19" i="7" s="1"/>
  <c r="A20" i="7" s="1"/>
  <c r="A21" i="7" s="1"/>
  <c r="A22" i="7" s="1"/>
  <c r="A23" i="7" s="1"/>
  <c r="A24" i="7" s="1"/>
  <c r="A26" i="7" s="1"/>
  <c r="A27" i="7" s="1"/>
  <c r="A28" i="7" s="1"/>
  <c r="A29" i="7" s="1"/>
  <c r="A30" i="7" s="1"/>
  <c r="A32" i="7" s="1"/>
  <c r="A34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1" i="7" s="1"/>
  <c r="B11" i="6"/>
  <c r="C10" i="6"/>
  <c r="D10" i="6" s="1"/>
  <c r="E10" i="6" s="1"/>
  <c r="F10" i="6" s="1"/>
  <c r="G10" i="6" s="1"/>
  <c r="H10" i="6" s="1"/>
  <c r="C9" i="6"/>
  <c r="C11" i="6" s="1"/>
  <c r="B6" i="6"/>
  <c r="B10" i="5"/>
  <c r="C9" i="5"/>
  <c r="D9" i="5" s="1"/>
  <c r="F9" i="5" s="1"/>
  <c r="C8" i="5"/>
  <c r="D8" i="5" s="1"/>
  <c r="F8" i="5" s="1"/>
  <c r="C7" i="5"/>
  <c r="D7" i="5" s="1"/>
  <c r="F7" i="5" s="1"/>
  <c r="E16" i="1"/>
  <c r="C19" i="3"/>
  <c r="D9" i="6" l="1"/>
  <c r="F10" i="5"/>
  <c r="G7" i="5"/>
  <c r="I7" i="5" s="1"/>
  <c r="G8" i="5"/>
  <c r="I8" i="5"/>
  <c r="G9" i="5"/>
  <c r="I9" i="5"/>
  <c r="D11" i="4"/>
  <c r="D12" i="4" s="1"/>
  <c r="D13" i="4" s="1"/>
  <c r="D14" i="4" s="1"/>
  <c r="D15" i="4" s="1"/>
  <c r="D16" i="4" s="1"/>
  <c r="D17" i="4" s="1"/>
  <c r="D18" i="4" s="1"/>
  <c r="D19" i="4" s="1"/>
  <c r="D20" i="4" s="1"/>
  <c r="D21" i="4" s="1"/>
  <c r="D22" i="4" s="1"/>
  <c r="D23" i="4" s="1"/>
  <c r="D24" i="4" s="1"/>
  <c r="D25" i="4" s="1"/>
  <c r="M39" i="2"/>
  <c r="K39" i="2"/>
  <c r="E39" i="2"/>
  <c r="E38" i="2"/>
  <c r="E37" i="2"/>
  <c r="E36" i="2"/>
  <c r="K35" i="2"/>
  <c r="E35" i="2"/>
  <c r="K34" i="2"/>
  <c r="E34" i="2"/>
  <c r="K33" i="2"/>
  <c r="E33" i="2"/>
  <c r="K32" i="2"/>
  <c r="E32" i="2"/>
  <c r="E31" i="2"/>
  <c r="O29" i="2"/>
  <c r="E29" i="2"/>
  <c r="Q29" i="2" s="1"/>
  <c r="G26" i="2"/>
  <c r="K25" i="2"/>
  <c r="E25" i="2"/>
  <c r="Q25" i="2" s="1"/>
  <c r="E24" i="2"/>
  <c r="O38" i="2" s="1"/>
  <c r="E23" i="2"/>
  <c r="Q23" i="2" s="1"/>
  <c r="E22" i="2"/>
  <c r="O36" i="2" s="1"/>
  <c r="K21" i="2"/>
  <c r="I26" i="2"/>
  <c r="E21" i="2"/>
  <c r="K20" i="2"/>
  <c r="E20" i="2"/>
  <c r="O34" i="2" s="1"/>
  <c r="K19" i="2"/>
  <c r="E19" i="2"/>
  <c r="K18" i="2"/>
  <c r="E18" i="2"/>
  <c r="Q18" i="2" s="1"/>
  <c r="E17" i="2"/>
  <c r="Q17" i="2" s="1"/>
  <c r="E16" i="2"/>
  <c r="A16" i="2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E15" i="2"/>
  <c r="Q15" i="2" s="1"/>
  <c r="Q19" i="2" l="1"/>
  <c r="E26" i="2"/>
  <c r="Q34" i="2"/>
  <c r="O31" i="2"/>
  <c r="K40" i="2"/>
  <c r="O39" i="2"/>
  <c r="Q39" i="2" s="1"/>
  <c r="Q24" i="2"/>
  <c r="Q38" i="2" s="1"/>
  <c r="K26" i="2"/>
  <c r="O35" i="2"/>
  <c r="Q35" i="2" s="1"/>
  <c r="Q31" i="2"/>
  <c r="D11" i="6"/>
  <c r="E9" i="6"/>
  <c r="I10" i="5"/>
  <c r="J7" i="5"/>
  <c r="L7" i="5" s="1"/>
  <c r="J9" i="5"/>
  <c r="L9" i="5" s="1"/>
  <c r="J8" i="5"/>
  <c r="L8" i="5" s="1"/>
  <c r="Q36" i="2"/>
  <c r="Q20" i="2"/>
  <c r="O37" i="2"/>
  <c r="Q37" i="2" s="1"/>
  <c r="O33" i="2"/>
  <c r="Q33" i="2" s="1"/>
  <c r="Q16" i="2"/>
  <c r="O32" i="2"/>
  <c r="E40" i="2"/>
  <c r="Q22" i="2"/>
  <c r="Q21" i="2"/>
  <c r="O40" i="2" l="1"/>
  <c r="Q26" i="2"/>
  <c r="E12" i="1" s="1"/>
  <c r="E11" i="6"/>
  <c r="F9" i="6"/>
  <c r="M8" i="5"/>
  <c r="O8" i="5" s="1"/>
  <c r="M9" i="5"/>
  <c r="O9" i="5"/>
  <c r="M7" i="5"/>
  <c r="L10" i="5"/>
  <c r="O7" i="5"/>
  <c r="Q32" i="2"/>
  <c r="Q40" i="2" s="1"/>
  <c r="E13" i="1" s="1"/>
  <c r="E14" i="1" l="1"/>
  <c r="B9" i="4" s="1"/>
  <c r="F11" i="6"/>
  <c r="G9" i="6"/>
  <c r="P8" i="5"/>
  <c r="R8" i="5" s="1"/>
  <c r="O10" i="5"/>
  <c r="P7" i="5"/>
  <c r="R7" i="5" s="1"/>
  <c r="P9" i="5"/>
  <c r="R9" i="5" s="1"/>
  <c r="B25" i="4" l="1"/>
  <c r="B14" i="4"/>
  <c r="B22" i="4"/>
  <c r="B19" i="4"/>
  <c r="B12" i="4"/>
  <c r="B20" i="4"/>
  <c r="B24" i="4"/>
  <c r="B10" i="4"/>
  <c r="B13" i="4"/>
  <c r="B21" i="4"/>
  <c r="B15" i="4"/>
  <c r="B16" i="4"/>
  <c r="B17" i="4"/>
  <c r="B18" i="4"/>
  <c r="C9" i="4"/>
  <c r="B23" i="4"/>
  <c r="B11" i="4"/>
  <c r="G11" i="6"/>
  <c r="H9" i="6"/>
  <c r="S9" i="5"/>
  <c r="U9" i="5" s="1"/>
  <c r="R10" i="5"/>
  <c r="S7" i="5"/>
  <c r="U7" i="5"/>
  <c r="S8" i="5"/>
  <c r="U8" i="5"/>
  <c r="B26" i="4" l="1"/>
  <c r="B30" i="4"/>
  <c r="E10" i="4"/>
  <c r="C10" i="4"/>
  <c r="H11" i="6"/>
  <c r="I9" i="6"/>
  <c r="V9" i="5"/>
  <c r="X9" i="5"/>
  <c r="V8" i="5"/>
  <c r="X8" i="5" s="1"/>
  <c r="U10" i="5"/>
  <c r="V7" i="5"/>
  <c r="X7" i="5" s="1"/>
  <c r="E11" i="4" l="1"/>
  <c r="C11" i="4"/>
  <c r="E28" i="4"/>
  <c r="B28" i="4"/>
  <c r="B32" i="4" s="1"/>
  <c r="I11" i="6"/>
  <c r="J9" i="6"/>
  <c r="Y7" i="5"/>
  <c r="AA7" i="5" s="1"/>
  <c r="X10" i="5"/>
  <c r="Y8" i="5"/>
  <c r="AA8" i="5" s="1"/>
  <c r="Y9" i="5"/>
  <c r="AA9" i="5" s="1"/>
  <c r="E12" i="4" l="1"/>
  <c r="C12" i="4"/>
  <c r="K9" i="6"/>
  <c r="K11" i="6" s="1"/>
  <c r="J11" i="6"/>
  <c r="AB9" i="5"/>
  <c r="AD9" i="5" s="1"/>
  <c r="AB8" i="5"/>
  <c r="AD8" i="5"/>
  <c r="AB7" i="5"/>
  <c r="AD7" i="5" s="1"/>
  <c r="AA10" i="5"/>
  <c r="E13" i="4" l="1"/>
  <c r="C13" i="4"/>
  <c r="D13" i="6"/>
  <c r="AE7" i="5"/>
  <c r="AG7" i="5"/>
  <c r="AD10" i="5"/>
  <c r="AE9" i="5"/>
  <c r="AG9" i="5" s="1"/>
  <c r="AE8" i="5"/>
  <c r="AG8" i="5" s="1"/>
  <c r="C14" i="4" l="1"/>
  <c r="E14" i="4"/>
  <c r="AH8" i="5"/>
  <c r="AJ8" i="5" s="1"/>
  <c r="AH9" i="5"/>
  <c r="AJ9" i="5" s="1"/>
  <c r="AG10" i="5"/>
  <c r="AH7" i="5"/>
  <c r="AJ7" i="5"/>
  <c r="E15" i="4" l="1"/>
  <c r="C15" i="4"/>
  <c r="AK9" i="5"/>
  <c r="AM9" i="5" s="1"/>
  <c r="AK8" i="5"/>
  <c r="AM8" i="5" s="1"/>
  <c r="AJ10" i="5"/>
  <c r="AK7" i="5"/>
  <c r="AM7" i="5" s="1"/>
  <c r="C16" i="4" l="1"/>
  <c r="E16" i="4"/>
  <c r="AN7" i="5"/>
  <c r="AP7" i="5" s="1"/>
  <c r="AM10" i="5"/>
  <c r="AN8" i="5"/>
  <c r="AP8" i="5"/>
  <c r="AN9" i="5"/>
  <c r="AP9" i="5"/>
  <c r="E17" i="4" l="1"/>
  <c r="C17" i="4"/>
  <c r="AP10" i="5"/>
  <c r="AQ7" i="5"/>
  <c r="AS7" i="5" s="1"/>
  <c r="AQ9" i="5"/>
  <c r="AS9" i="5"/>
  <c r="AQ8" i="5"/>
  <c r="AS8" i="5" s="1"/>
  <c r="C18" i="4" l="1"/>
  <c r="E18" i="4"/>
  <c r="AT7" i="5"/>
  <c r="AV7" i="5" s="1"/>
  <c r="AS10" i="5"/>
  <c r="AT8" i="5"/>
  <c r="AV8" i="5"/>
  <c r="AT9" i="5"/>
  <c r="AV9" i="5" s="1"/>
  <c r="E19" i="4" l="1"/>
  <c r="C19" i="4"/>
  <c r="AW7" i="5"/>
  <c r="AV10" i="5"/>
  <c r="AY7" i="5"/>
  <c r="AW9" i="5"/>
  <c r="AY9" i="5" s="1"/>
  <c r="AW8" i="5"/>
  <c r="AY8" i="5" s="1"/>
  <c r="E20" i="4" l="1"/>
  <c r="C20" i="4"/>
  <c r="AY10" i="5"/>
  <c r="C21" i="4" l="1"/>
  <c r="E21" i="4"/>
  <c r="E22" i="4" l="1"/>
  <c r="C22" i="4"/>
  <c r="E23" i="4" l="1"/>
  <c r="C23" i="4"/>
  <c r="C24" i="4" l="1"/>
  <c r="E24" i="4"/>
  <c r="E25" i="4" l="1"/>
  <c r="C25" i="4"/>
  <c r="E26" i="4" l="1"/>
  <c r="E32" i="4"/>
  <c r="E30" i="4" l="1"/>
  <c r="E19" i="1"/>
  <c r="E24" i="1" s="1"/>
  <c r="D10" i="8" l="1"/>
  <c r="F10" i="8" s="1"/>
  <c r="F12" i="8" s="1"/>
  <c r="F15" i="8" s="1"/>
  <c r="F17" i="8" s="1"/>
  <c r="F21" i="8" s="1"/>
  <c r="E11" i="7"/>
  <c r="E30" i="7" l="1"/>
  <c r="E32" i="7" s="1"/>
  <c r="E26" i="1" s="1"/>
  <c r="F60" i="8"/>
  <c r="F80" i="8"/>
  <c r="F182" i="8"/>
  <c r="F192" i="8"/>
  <c r="F122" i="8"/>
  <c r="F42" i="8"/>
  <c r="F106" i="8"/>
  <c r="F139" i="8"/>
  <c r="F62" i="8"/>
  <c r="F187" i="8"/>
  <c r="F110" i="8"/>
  <c r="F65" i="8"/>
  <c r="F186" i="8"/>
  <c r="F114" i="8"/>
  <c r="F188" i="8"/>
  <c r="F176" i="8"/>
  <c r="F161" i="8"/>
  <c r="F31" i="8"/>
  <c r="F167" i="8"/>
  <c r="F98" i="8"/>
  <c r="F100" i="8"/>
  <c r="F156" i="8"/>
  <c r="F128" i="8"/>
  <c r="F172" i="8"/>
  <c r="F107" i="8"/>
  <c r="F195" i="8"/>
  <c r="F175" i="8"/>
  <c r="F153" i="8"/>
  <c r="F126" i="8"/>
  <c r="F196" i="8"/>
  <c r="F92" i="8"/>
  <c r="F86" i="8"/>
  <c r="F54" i="8"/>
  <c r="F160" i="8"/>
  <c r="F34" i="8"/>
  <c r="F67" i="8"/>
  <c r="F63" i="8"/>
  <c r="F121" i="8"/>
  <c r="F70" i="8"/>
  <c r="F78" i="8"/>
  <c r="F177" i="8"/>
  <c r="F89" i="8"/>
  <c r="F68" i="8"/>
  <c r="F105" i="8"/>
  <c r="F145" i="8"/>
  <c r="F58" i="8"/>
  <c r="F141" i="8"/>
  <c r="F36" i="8"/>
  <c r="F91" i="8"/>
  <c r="F131" i="8"/>
  <c r="F61" i="8"/>
  <c r="F59" i="8"/>
  <c r="F82" i="8"/>
  <c r="F210" i="8"/>
  <c r="F159" i="8"/>
  <c r="F134" i="8"/>
  <c r="F104" i="8"/>
  <c r="F44" i="8"/>
  <c r="F183" i="8"/>
  <c r="F190" i="8"/>
  <c r="F96" i="8"/>
  <c r="F193" i="8"/>
  <c r="F147" i="8"/>
  <c r="F191" i="8"/>
  <c r="F201" i="8"/>
  <c r="F189" i="8"/>
  <c r="F84" i="8"/>
  <c r="F32" i="8"/>
  <c r="F151" i="8"/>
  <c r="F155" i="8"/>
  <c r="F111" i="8"/>
  <c r="F53" i="8"/>
  <c r="F197" i="8"/>
  <c r="F35" i="8"/>
  <c r="F181" i="8"/>
  <c r="F199" i="8"/>
  <c r="F150" i="8"/>
  <c r="F87" i="8"/>
  <c r="F130" i="8"/>
  <c r="F50" i="8"/>
  <c r="F140" i="8"/>
  <c r="F72" i="8"/>
  <c r="F74" i="8"/>
  <c r="F49" i="8"/>
  <c r="F135" i="8"/>
  <c r="F203" i="8"/>
  <c r="F173" i="8"/>
  <c r="F206" i="8"/>
  <c r="F39" i="8"/>
  <c r="F55" i="8"/>
  <c r="F124" i="8"/>
  <c r="F170" i="8"/>
  <c r="F180" i="8"/>
  <c r="F93" i="8"/>
  <c r="F37" i="8"/>
  <c r="F102" i="8"/>
  <c r="F95" i="8"/>
  <c r="F75" i="8"/>
  <c r="F152" i="8"/>
  <c r="F45" i="8"/>
  <c r="F118" i="8"/>
  <c r="F174" i="8"/>
  <c r="F142" i="8"/>
  <c r="F76" i="8"/>
  <c r="F178" i="8"/>
  <c r="F115" i="8"/>
  <c r="F179" i="8"/>
  <c r="F56" i="8"/>
  <c r="F109" i="8"/>
  <c r="F38" i="8"/>
  <c r="F51" i="8"/>
  <c r="F146" i="8"/>
  <c r="F198" i="8"/>
  <c r="F208" i="8"/>
  <c r="F41" i="8"/>
  <c r="F207" i="8"/>
  <c r="F205" i="8"/>
  <c r="F157" i="8"/>
  <c r="F64" i="8"/>
  <c r="F103" i="8"/>
  <c r="F162" i="8"/>
  <c r="F112" i="8"/>
  <c r="F52" i="8"/>
  <c r="F85" i="8"/>
  <c r="F125" i="8"/>
  <c r="F40" i="8"/>
  <c r="F148" i="8"/>
  <c r="F209" i="8"/>
  <c r="F138" i="8"/>
  <c r="F194" i="8"/>
  <c r="F204" i="8"/>
  <c r="F71" i="8"/>
  <c r="F120" i="8"/>
  <c r="F158" i="8"/>
  <c r="F168" i="8"/>
  <c r="F79" i="8"/>
  <c r="F143" i="8"/>
  <c r="F133" i="8"/>
  <c r="F33" i="8"/>
  <c r="F185" i="8"/>
  <c r="F73" i="8"/>
  <c r="F165" i="8"/>
  <c r="F69" i="8"/>
  <c r="F66" i="8"/>
  <c r="F99" i="8"/>
  <c r="F129" i="8"/>
  <c r="F184" i="8"/>
  <c r="F48" i="8"/>
  <c r="F81" i="8"/>
  <c r="F101" i="8"/>
  <c r="F136" i="8"/>
  <c r="F137" i="8"/>
  <c r="F108" i="8"/>
  <c r="F117" i="8"/>
  <c r="F94" i="8"/>
  <c r="F43" i="8"/>
  <c r="F123" i="8"/>
  <c r="F97" i="8"/>
  <c r="F119" i="8"/>
  <c r="F202" i="8"/>
  <c r="F144" i="8"/>
  <c r="F171" i="8"/>
  <c r="F47" i="8"/>
  <c r="F166" i="8"/>
  <c r="F57" i="8"/>
  <c r="F169" i="8"/>
  <c r="F132" i="8"/>
  <c r="F127" i="8"/>
  <c r="F77" i="8"/>
  <c r="F46" i="8"/>
  <c r="F113" i="8"/>
  <c r="F200" i="8"/>
  <c r="F149" i="8"/>
  <c r="F83" i="8"/>
  <c r="F116" i="8"/>
  <c r="F164" i="8"/>
  <c r="F88" i="8"/>
  <c r="F90" i="8"/>
  <c r="F154" i="8"/>
  <c r="F163" i="8"/>
  <c r="E34" i="7" l="1"/>
  <c r="E38" i="7" s="1"/>
  <c r="F23" i="8"/>
  <c r="F211" i="8"/>
  <c r="F27" i="8"/>
  <c r="E44" i="7"/>
  <c r="E49" i="7" s="1"/>
  <c r="D11" i="8"/>
  <c r="D12" i="8" s="1"/>
  <c r="D17" i="8" s="1"/>
  <c r="E27" i="1"/>
  <c r="E31" i="1" s="1"/>
  <c r="E51" i="7" l="1"/>
  <c r="E33" i="1"/>
  <c r="E34" i="1" s="1"/>
  <c r="D19" i="8" s="1"/>
  <c r="D21" i="8" s="1"/>
  <c r="D103" i="8" l="1"/>
  <c r="D156" i="8"/>
  <c r="D201" i="8"/>
  <c r="D51" i="8"/>
  <c r="D171" i="8"/>
  <c r="D41" i="8"/>
  <c r="D116" i="8"/>
  <c r="D209" i="8"/>
  <c r="D169" i="8"/>
  <c r="D96" i="8"/>
  <c r="D97" i="8"/>
  <c r="D124" i="8"/>
  <c r="D160" i="8"/>
  <c r="D110" i="8"/>
  <c r="D166" i="8"/>
  <c r="D184" i="8"/>
  <c r="D198" i="8"/>
  <c r="D101" i="8"/>
  <c r="D191" i="8"/>
  <c r="D187" i="8"/>
  <c r="D188" i="8"/>
  <c r="D47" i="8"/>
  <c r="D208" i="8"/>
  <c r="D112" i="8"/>
  <c r="D99" i="8"/>
  <c r="D150" i="8"/>
  <c r="D117" i="8"/>
  <c r="D142" i="8"/>
  <c r="D173" i="8"/>
  <c r="D65" i="8"/>
  <c r="D119" i="8"/>
  <c r="D49" i="8"/>
  <c r="D105" i="8"/>
  <c r="D175" i="8"/>
  <c r="D80" i="8"/>
  <c r="D131" i="8"/>
  <c r="D86" i="8"/>
  <c r="D102" i="8"/>
  <c r="D121" i="8"/>
  <c r="D148" i="8"/>
  <c r="D197" i="8"/>
  <c r="D64" i="8"/>
  <c r="D159" i="8"/>
  <c r="D75" i="8"/>
  <c r="D42" i="8"/>
  <c r="D153" i="8"/>
  <c r="D50" i="8"/>
  <c r="D157" i="8"/>
  <c r="D56" i="8"/>
  <c r="D53" i="8"/>
  <c r="D37" i="8"/>
  <c r="D62" i="8"/>
  <c r="D83" i="8"/>
  <c r="D135" i="8"/>
  <c r="D94" i="8"/>
  <c r="D68" i="8"/>
  <c r="D134" i="8"/>
  <c r="D137" i="8"/>
  <c r="D52" i="8"/>
  <c r="D39" i="8"/>
  <c r="D63" i="8"/>
  <c r="D136" i="8"/>
  <c r="D167" i="8"/>
  <c r="D88" i="8"/>
  <c r="D138" i="8"/>
  <c r="D72" i="8"/>
  <c r="D186" i="8"/>
  <c r="D165" i="8"/>
  <c r="D120" i="8"/>
  <c r="D73" i="8"/>
  <c r="D74" i="8"/>
  <c r="D202" i="8"/>
  <c r="D189" i="8"/>
  <c r="D123" i="8"/>
  <c r="D180" i="8"/>
  <c r="D144" i="8"/>
  <c r="D207" i="8"/>
  <c r="D129" i="8"/>
  <c r="D154" i="8"/>
  <c r="D45" i="8"/>
  <c r="D46" i="8"/>
  <c r="D78" i="8"/>
  <c r="D87" i="8"/>
  <c r="D109" i="8"/>
  <c r="D85" i="8"/>
  <c r="D204" i="8"/>
  <c r="D108" i="8"/>
  <c r="D90" i="8"/>
  <c r="D146" i="8"/>
  <c r="D33" i="8"/>
  <c r="D93" i="8"/>
  <c r="D95" i="8"/>
  <c r="D170" i="8"/>
  <c r="D182" i="8"/>
  <c r="D196" i="8"/>
  <c r="D118" i="8"/>
  <c r="D126" i="8"/>
  <c r="D190" i="8"/>
  <c r="D194" i="8"/>
  <c r="D199" i="8"/>
  <c r="D100" i="8"/>
  <c r="D122" i="8"/>
  <c r="D181" i="8"/>
  <c r="D183" i="8"/>
  <c r="D55" i="8"/>
  <c r="D98" i="8"/>
  <c r="D145" i="8"/>
  <c r="D128" i="8"/>
  <c r="D192" i="8"/>
  <c r="D174" i="8"/>
  <c r="D32" i="8"/>
  <c r="D147" i="8"/>
  <c r="D139" i="8"/>
  <c r="D140" i="8"/>
  <c r="D44" i="8"/>
  <c r="D48" i="8"/>
  <c r="D114" i="8"/>
  <c r="D104" i="8"/>
  <c r="D54" i="8"/>
  <c r="D149" i="8"/>
  <c r="D179" i="8"/>
  <c r="D66" i="8"/>
  <c r="D76" i="8"/>
  <c r="D141" i="8"/>
  <c r="D36" i="8"/>
  <c r="D84" i="8"/>
  <c r="D58" i="8"/>
  <c r="D91" i="8"/>
  <c r="D155" i="8"/>
  <c r="D60" i="8"/>
  <c r="D158" i="8"/>
  <c r="D38" i="8"/>
  <c r="D127" i="8"/>
  <c r="D133" i="8"/>
  <c r="D67" i="8"/>
  <c r="D185" i="8"/>
  <c r="D130" i="8"/>
  <c r="D81" i="8"/>
  <c r="D206" i="8"/>
  <c r="D164" i="8"/>
  <c r="D92" i="8"/>
  <c r="D151" i="8"/>
  <c r="D161" i="8"/>
  <c r="D59" i="8"/>
  <c r="D210" i="8"/>
  <c r="D106" i="8"/>
  <c r="D57" i="8"/>
  <c r="D168" i="8"/>
  <c r="D34" i="8"/>
  <c r="D132" i="8"/>
  <c r="D31" i="8"/>
  <c r="D71" i="8"/>
  <c r="D205" i="8"/>
  <c r="D107" i="8"/>
  <c r="D82" i="8"/>
  <c r="D125" i="8"/>
  <c r="D89" i="8"/>
  <c r="D40" i="8"/>
  <c r="D43" i="8"/>
  <c r="D79" i="8"/>
  <c r="D152" i="8"/>
  <c r="D163" i="8"/>
  <c r="D143" i="8"/>
  <c r="D178" i="8"/>
  <c r="D69" i="8"/>
  <c r="D115" i="8"/>
  <c r="D162" i="8"/>
  <c r="D113" i="8"/>
  <c r="D203" i="8"/>
  <c r="D176" i="8"/>
  <c r="D200" i="8"/>
  <c r="D70" i="8"/>
  <c r="D77" i="8"/>
  <c r="D172" i="8"/>
  <c r="D61" i="8"/>
  <c r="D111" i="8"/>
  <c r="D35" i="8"/>
  <c r="D177" i="8"/>
  <c r="D193" i="8"/>
  <c r="D195" i="8"/>
  <c r="E36" i="1"/>
  <c r="D23" i="8" l="1"/>
  <c r="F24" i="8" s="1"/>
  <c r="D27" i="8"/>
  <c r="F28" i="8" s="1"/>
  <c r="D211" i="8"/>
</calcChain>
</file>

<file path=xl/sharedStrings.xml><?xml version="1.0" encoding="utf-8"?>
<sst xmlns="http://schemas.openxmlformats.org/spreadsheetml/2006/main" count="393" uniqueCount="287">
  <si>
    <t>AMEREN MISSOURI</t>
  </si>
  <si>
    <t>PRO FORMA PLANT IN SERVICE COSTS</t>
  </si>
  <si>
    <t>EF-2024-0021</t>
  </si>
  <si>
    <t>TRANSFERS</t>
  </si>
  <si>
    <t>CURRENT</t>
  </si>
  <si>
    <t>INCREMENT</t>
  </si>
  <si>
    <t>BALANCE</t>
  </si>
  <si>
    <t>REMOVE</t>
  </si>
  <si>
    <t>PLANT</t>
  </si>
  <si>
    <t>TO OTHER</t>
  </si>
  <si>
    <t>DEPR</t>
  </si>
  <si>
    <t>TO</t>
  </si>
  <si>
    <t>PRO FORMA</t>
  </si>
  <si>
    <t>LINE</t>
  </si>
  <si>
    <t>AT 06/30/2023</t>
  </si>
  <si>
    <t>LAND</t>
  </si>
  <si>
    <t>ADDITIONS</t>
  </si>
  <si>
    <t>PLANTS</t>
  </si>
  <si>
    <t>RATE</t>
  </si>
  <si>
    <t>RESERVE</t>
  </si>
  <si>
    <t>PLANT-IN-SERVICE</t>
  </si>
  <si>
    <t>Total</t>
  </si>
  <si>
    <t>TOTAL RETAIL REVENUE REQUIREMENT FOR SECURITIZED ENERGY TRANSITION CHARGE</t>
  </si>
  <si>
    <t>DESCRIPTION</t>
  </si>
  <si>
    <t>AMOUNT</t>
  </si>
  <si>
    <t>Rush Island Plant in Service</t>
  </si>
  <si>
    <t>Rush Island Reserve</t>
  </si>
  <si>
    <t>Net Plant in Service</t>
  </si>
  <si>
    <t>Abandoned Capital Projects</t>
  </si>
  <si>
    <t>Base Mat Coal Inventory</t>
  </si>
  <si>
    <t>Materials and Supplies Inventory</t>
  </si>
  <si>
    <t>NPV of Tax Benefits (NPV 15 Years)</t>
  </si>
  <si>
    <t>Asset Retirement Obligation-Ash Ponds</t>
  </si>
  <si>
    <t>Water Treatment and Monitoring</t>
  </si>
  <si>
    <t>Community Transition</t>
  </si>
  <si>
    <t>Total Rush Island Energy Transition Costs to Securitize</t>
  </si>
  <si>
    <t>Total Cost to be Financed with Securitized Utility Tariff Bonds</t>
  </si>
  <si>
    <t>Term (years)</t>
  </si>
  <si>
    <t>Monthly bond payment</t>
  </si>
  <si>
    <t>Ongoing costs (monthly)</t>
  </si>
  <si>
    <t>Monthly Revenue Requirement</t>
  </si>
  <si>
    <t>work_order_number</t>
  </si>
  <si>
    <t>Description</t>
  </si>
  <si>
    <t>Charges as of June 30, 2023</t>
  </si>
  <si>
    <t>RI - U1 &amp; U2 FGD REPL</t>
  </si>
  <si>
    <t>RI - 316B Compliance</t>
  </si>
  <si>
    <t>J0K6J</t>
  </si>
  <si>
    <t>RI U1 Warmup Guns &amp; Igniters REPL</t>
  </si>
  <si>
    <t>RUSH MCC REPL OB13 &amp; OB14</t>
  </si>
  <si>
    <t>J0K6K</t>
  </si>
  <si>
    <t>RI U2 Warmup Guns &amp; Igniters REPL</t>
  </si>
  <si>
    <t>J0M6W</t>
  </si>
  <si>
    <t>RI U2 Flame Scanner UPGR</t>
  </si>
  <si>
    <t>J0V11</t>
  </si>
  <si>
    <t>RI Intake Heat Trace Repl</t>
  </si>
  <si>
    <t>J0TSZ</t>
  </si>
  <si>
    <t>RI 2B TBSF Fire Trip Door</t>
  </si>
  <si>
    <t>J0RST</t>
  </si>
  <si>
    <t>RI U1 HEP HRH Elbow Repl</t>
  </si>
  <si>
    <t>J0VV6</t>
  </si>
  <si>
    <t>RI Renovations</t>
  </si>
  <si>
    <t>J0K6P</t>
  </si>
  <si>
    <t>RI HPRW System Repl</t>
  </si>
  <si>
    <t>Exclude</t>
  </si>
  <si>
    <t>Include</t>
  </si>
  <si>
    <t>A</t>
  </si>
  <si>
    <t>B</t>
  </si>
  <si>
    <t>C</t>
  </si>
  <si>
    <t>D</t>
  </si>
  <si>
    <t>C x D</t>
  </si>
  <si>
    <t>Plant Retirement</t>
  </si>
  <si>
    <t>Estimated Total Deferred Taxes</t>
  </si>
  <si>
    <t>Balance</t>
  </si>
  <si>
    <t>Securitization Yield</t>
  </si>
  <si>
    <t>Customer Net Tax Benefit</t>
  </si>
  <si>
    <t>Year</t>
  </si>
  <si>
    <t>Gross future tax payments</t>
  </si>
  <si>
    <t>NPV of ADIT</t>
  </si>
  <si>
    <t>NPV of Tax Benefits</t>
  </si>
  <si>
    <t>Rush Island Asset Retirement Obligations</t>
  </si>
  <si>
    <t>June 30, 2023 Ending Balance Plus Accretion</t>
  </si>
  <si>
    <t>Accretion</t>
  </si>
  <si>
    <t>Name</t>
  </si>
  <si>
    <t>Beginning Balance 06/30/2023</t>
  </si>
  <si>
    <t>Accretion Rate</t>
  </si>
  <si>
    <t>Rush Island Asbestos *</t>
  </si>
  <si>
    <t>Rush Island Post Closure Costs</t>
  </si>
  <si>
    <t>Rush Island River Structure *</t>
  </si>
  <si>
    <t>*: Covered in the Demolition Estimate from Black and Veatch</t>
  </si>
  <si>
    <t>Ameren Missouri</t>
  </si>
  <si>
    <t>Rush Island Water Treatment and Monitoring Costs</t>
  </si>
  <si>
    <t>Escalation</t>
  </si>
  <si>
    <t>Discount Rate</t>
  </si>
  <si>
    <t>Monitoring</t>
  </si>
  <si>
    <t>Treatment</t>
  </si>
  <si>
    <t>NPV</t>
  </si>
  <si>
    <t>ESTIMATED UPFRONT AND ONGOING FINANCING COSTS</t>
  </si>
  <si>
    <t>TOTALS</t>
  </si>
  <si>
    <t>(A)</t>
  </si>
  <si>
    <t>(B)</t>
  </si>
  <si>
    <t>Energy Transition Costs</t>
  </si>
  <si>
    <t>Summary of Estimated Upfront Costs for Securitization</t>
  </si>
  <si>
    <t>Legal fees</t>
  </si>
  <si>
    <t>Auditor fee</t>
  </si>
  <si>
    <t>Trustee fees and expenses ($5k Upfront per tranche and $20k legal fees)</t>
  </si>
  <si>
    <t>Misc</t>
  </si>
  <si>
    <t>SPE organizational costs</t>
  </si>
  <si>
    <t>Printing fees</t>
  </si>
  <si>
    <t>Servicer set up fee</t>
  </si>
  <si>
    <t>Financial advisor (net of discount)</t>
  </si>
  <si>
    <t>Commission advisor</t>
  </si>
  <si>
    <t>Fixed fees</t>
  </si>
  <si>
    <t>Underwriting (estimated at 40 bps)</t>
  </si>
  <si>
    <t>SEC Registration Fee ($110.2 per $1 million)</t>
  </si>
  <si>
    <t>Bond rating fees (incl. S&amp;P @ .00575% and Moody's @ 0.0075%)</t>
  </si>
  <si>
    <t>Filing fees total percentage</t>
  </si>
  <si>
    <t>Total rating and filing fees</t>
  </si>
  <si>
    <t>Total upfront costs</t>
  </si>
  <si>
    <t>Estimated bond issuance amount</t>
  </si>
  <si>
    <t>Summary of Estimated Ongoing Costs per year</t>
  </si>
  <si>
    <t>Servicing Fee (.05% of bond issuance amount)</t>
  </si>
  <si>
    <t>Administration</t>
  </si>
  <si>
    <t>Trustee fee</t>
  </si>
  <si>
    <t>Auditing/accounting fees</t>
  </si>
  <si>
    <t>Rating agency surveillance fees</t>
  </si>
  <si>
    <t>Return on Capital Account for Credit enhancement (calculated at approved WACC from ER-2022-0337 including applicable income taxes)</t>
  </si>
  <si>
    <t>Independent director/manager fees</t>
  </si>
  <si>
    <t>Bad debt</t>
  </si>
  <si>
    <t>Miscellaneous</t>
  </si>
  <si>
    <t>Ongoing Costs Per Year</t>
  </si>
  <si>
    <t>Ongoing Costs Per Month</t>
  </si>
  <si>
    <t>AMORTIZATION:</t>
  </si>
  <si>
    <t>SECURITIZATION</t>
  </si>
  <si>
    <t>15 YEARS</t>
  </si>
  <si>
    <t>Energy Transition Costs(incl. carrying)</t>
  </si>
  <si>
    <t>Upfront financing costs</t>
  </si>
  <si>
    <t>Carrying cost</t>
  </si>
  <si>
    <t>Incremental Income Taxes</t>
  </si>
  <si>
    <t>Monthly payment</t>
  </si>
  <si>
    <t>Ongoing financing costs (monthly)</t>
  </si>
  <si>
    <t>Monthly revenue requirement</t>
  </si>
  <si>
    <t>Total payments</t>
  </si>
  <si>
    <t>Securitization benefit</t>
  </si>
  <si>
    <t>WACC</t>
  </si>
  <si>
    <t>NPV payments discounted @ WACC</t>
  </si>
  <si>
    <t>NPV securitization benefit</t>
  </si>
  <si>
    <t>Total customer payments:</t>
  </si>
  <si>
    <t>Prepared by Keith Majors</t>
  </si>
  <si>
    <t>Upfront Financing Costs (ESTIMATED)</t>
  </si>
  <si>
    <t>UPDATED - SEE RESPONSE TO DR 3.2</t>
  </si>
  <si>
    <t>Case No. EF-2024-0021</t>
  </si>
  <si>
    <t>Source: M. Lansford Workpapers</t>
  </si>
  <si>
    <t>Rush Island Ash Pond Closure Cap Maintenance</t>
  </si>
  <si>
    <t>Assumptions:</t>
  </si>
  <si>
    <t>Maintenance Requirements: Sweep sand in various areas of the turf cap every 5 years starting in 2025.</t>
  </si>
  <si>
    <t>Assume sand material requirement will be minimal due to the design of a flat closure cap.</t>
  </si>
  <si>
    <t>Labor and Material inflation rate: Assume 3% annually.</t>
  </si>
  <si>
    <t>For 2025 material: Use leftover sand stockpile from Closure Project already on site at RI.</t>
  </si>
  <si>
    <t>Labor/Equipment</t>
  </si>
  <si>
    <t>Material</t>
  </si>
  <si>
    <t xml:space="preserve">Total </t>
  </si>
  <si>
    <t>Notes:</t>
  </si>
  <si>
    <t xml:space="preserve">CCR Groundwater monitoring covered as part of the Rush Island Groundwater Monitoring and Treatment costs. </t>
  </si>
  <si>
    <t>Revised ARO</t>
  </si>
  <si>
    <t>Source: OPC Data Request 8509</t>
  </si>
  <si>
    <t>Ameren Missouri PROJECTED Plant - 10/15/2024 Cutoff</t>
  </si>
  <si>
    <t>Sum of Period Amount</t>
  </si>
  <si>
    <t>Column Labels</t>
  </si>
  <si>
    <t>Row Labels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</si>
  <si>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</si>
  <si>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</si>
  <si>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</si>
  <si>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</si>
  <si>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</si>
  <si>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</si>
  <si>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</si>
  <si>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</si>
  <si>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</si>
  <si>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</si>
  <si>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</si>
  <si>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</si>
  <si>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63 - Rush Island Energy Ctr</t>
  </si>
  <si>
    <t>AF193: Jun 2023 Overlay 7-17-23</t>
  </si>
  <si>
    <t>F01 - Power Ops &amp; Engineering</t>
  </si>
  <si>
    <t>0 - CWIP Additions</t>
  </si>
  <si>
    <t>0A049 - RI SWO Misc Construction Equip</t>
  </si>
  <si>
    <t>Grand Total</t>
  </si>
  <si>
    <t>Revised Additions</t>
  </si>
  <si>
    <t>Source: Staff DR 3.2</t>
  </si>
  <si>
    <t>PRELIMINARY BENEFITS COMPARISON</t>
  </si>
  <si>
    <t>Allocated Balances at 12/31/2022</t>
  </si>
  <si>
    <t>Sum of NET_BOOK_END</t>
  </si>
  <si>
    <t>Sum of NET_TAX_END</t>
  </si>
  <si>
    <t>UEC - E - ARO</t>
  </si>
  <si>
    <t>UEC - E - Gen Plant</t>
  </si>
  <si>
    <t>UEC - E - Intangible</t>
  </si>
  <si>
    <t>UEC - E - Steam</t>
  </si>
  <si>
    <t>UEC - E - Steam Land</t>
  </si>
  <si>
    <t>Allocated ADIT at 12/31/2022</t>
  </si>
  <si>
    <t>Sum of APB11 End</t>
  </si>
  <si>
    <t>Sum of FAS 109 Requirement End</t>
  </si>
  <si>
    <t>Sum of Reg Asset/Liab Pre Grossup</t>
  </si>
  <si>
    <t>Total ADIT</t>
  </si>
  <si>
    <t>ADIT at Statutory</t>
  </si>
  <si>
    <t>Excess ADIT</t>
  </si>
  <si>
    <t>2023 Activity</t>
  </si>
  <si>
    <t>2023 Ending</t>
  </si>
  <si>
    <t>2024 Activity at 10/15</t>
  </si>
  <si>
    <t>10/15/24 Est Bal</t>
  </si>
  <si>
    <t xml:space="preserve">EADIT </t>
  </si>
  <si>
    <t>Interest rate (Ameren Estimate)</t>
  </si>
  <si>
    <t>ADIT NPV calculation</t>
  </si>
  <si>
    <t>Abandoned CWIP</t>
  </si>
  <si>
    <t>Source: Staff DR 3</t>
  </si>
  <si>
    <t>DO NOT PRINT SOURCE</t>
  </si>
  <si>
    <t>PRO FORMA FUEL &amp; GENERAL MATERIALS &amp; SUPPLIES</t>
  </si>
  <si>
    <t>Assetsup, UEC FILE</t>
  </si>
  <si>
    <t>13 MONTHS ENDED 12/31/2022</t>
  </si>
  <si>
    <t>&amp; FUEL-1, FUEL-2</t>
  </si>
  <si>
    <t>CONFIDENTIAL</t>
  </si>
  <si>
    <t>ADJ15, ADJ15.1</t>
  </si>
  <si>
    <t>input 04/25/09; Update coal proforma xx/xx/xx</t>
  </si>
  <si>
    <t>input 07/27/05</t>
  </si>
  <si>
    <t>NUCLEAR</t>
  </si>
  <si>
    <t>FUEL</t>
  </si>
  <si>
    <t>STORAGE (1)</t>
  </si>
  <si>
    <t>IN REACTOR (1)</t>
  </si>
  <si>
    <t>STORED</t>
  </si>
  <si>
    <t>GAS - Gas Operations Support</t>
  </si>
  <si>
    <t>MATERIALS</t>
  </si>
  <si>
    <t>EMISSION ALLOWANCES</t>
  </si>
  <si>
    <t>COAL (2)</t>
  </si>
  <si>
    <t>OIL (2)</t>
  </si>
  <si>
    <t>GAS (2)</t>
  </si>
  <si>
    <t>PROPANE (2)</t>
  </si>
  <si>
    <t>&amp; SUPPLIES(3)</t>
  </si>
  <si>
    <t>&amp; RECS</t>
  </si>
  <si>
    <t>TOTAL</t>
  </si>
  <si>
    <t>AVERAGE</t>
  </si>
  <si>
    <t>13 MONTH</t>
  </si>
  <si>
    <t>ADJUSTMENT</t>
  </si>
  <si>
    <t>INVENTORY</t>
  </si>
  <si>
    <t>AVERAGE AT</t>
  </si>
  <si>
    <t>TO REFLECT</t>
  </si>
  <si>
    <t>BALANCE - Default Rate for Balance</t>
  </si>
  <si>
    <t>AVERAGE FOSSIL FUEL:</t>
  </si>
  <si>
    <t>NORMALIZATION</t>
  </si>
  <si>
    <t>COAL</t>
  </si>
  <si>
    <t>OIL</t>
  </si>
  <si>
    <t>STORED GAS</t>
  </si>
  <si>
    <t>PROPANE - MO. GAS</t>
  </si>
  <si>
    <t>TOTAL AVG. FOSSIL FUEL</t>
  </si>
  <si>
    <t>NORMALIZED</t>
  </si>
  <si>
    <t>COAL IN</t>
  </si>
  <si>
    <t>UNUSABLE</t>
  </si>
  <si>
    <t>USABLE</t>
  </si>
  <si>
    <t>VALUE OF</t>
  </si>
  <si>
    <t>Rush Island Base Coal</t>
  </si>
  <si>
    <t>TRANSIT</t>
  </si>
  <si>
    <t>BASE</t>
  </si>
  <si>
    <t>UNIT</t>
  </si>
  <si>
    <t>PLANT:</t>
  </si>
  <si>
    <t>(tons) (4)</t>
  </si>
  <si>
    <t>INVENTORY (tons) (4)</t>
  </si>
  <si>
    <t>(tons) (5)</t>
  </si>
  <si>
    <t>(tons) (7)</t>
  </si>
  <si>
    <t>(tons)</t>
  </si>
  <si>
    <t>PRICE (6)</t>
  </si>
  <si>
    <t>LABADIE</t>
  </si>
  <si>
    <t>SIOUX - PRB</t>
  </si>
  <si>
    <t>SIOUX - IL</t>
  </si>
  <si>
    <t>MERAMEC</t>
  </si>
  <si>
    <t>RUSH ISLAND</t>
  </si>
  <si>
    <t>TOTAL COAL</t>
  </si>
  <si>
    <t>UNUSABLE BASE (5)</t>
  </si>
  <si>
    <t>(1)  Per GL queries. Nuclear Fuel reduced for amount held for future refuel</t>
  </si>
  <si>
    <t>(2)  Per A10.</t>
  </si>
  <si>
    <t>(3)  Per A11.</t>
  </si>
  <si>
    <t>(4) 13 MOS Average at 9/30/2021 due to coal transportation issues per ADJ15.2 TU - Rush Island at December 2022 level</t>
  </si>
  <si>
    <t>(5) Per Stipulation and Agreement in AmerenUE Case ER-2008-0318</t>
  </si>
  <si>
    <t>(6)  Price per ton at 1/2023</t>
  </si>
  <si>
    <t>Tab Source: ER-2022-0337 Revenue Requirement</t>
  </si>
  <si>
    <t xml:space="preserve">Materials and supplies balances </t>
  </si>
  <si>
    <t>Term (years) (Ameren Proposed)</t>
  </si>
  <si>
    <t>Ongoing costs (annual) (Ameren Proposed)</t>
  </si>
  <si>
    <t>Source: M. Lansford, Staff Modified</t>
  </si>
  <si>
    <t>Safe Closure and Decommissioning - REVISED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</si>
</sst>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5" formatCode="&quot;$&quot;#,##0_);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mmm\-yyyy"/>
    <numFmt numFmtId="167" formatCode="dd\-mmm\-yyyy"/>
    <numFmt numFmtId="168" formatCode="0.000000%"/>
    <numFmt numFmtId="169" formatCode="0.0000000%"/>
    <numFmt numFmtId="170" formatCode="_(* #,##0.00_);_(* \(#,##0.00\);_(* &quot;-&quot;_);_(@_)"/>
    <numFmt numFmtId="171" formatCode="0.0000%"/>
    <numFmt numFmtId="172" formatCode="0_);\(0\)"/>
    <numFmt numFmtId="173" formatCode="mmmm\ yyyy"/>
    <numFmt numFmtId="174" formatCode="mm/dd/yy_)"/>
    <numFmt numFmtId="175" formatCode="_(&quot;$&quot;* #,##0.000_);_(&quot;$&quot;* \(#,##0.000\);_(&quot;$&quot;* &quot;-&quot;??_);_(@_)"/>
    <numFmt numFmtId="176" formatCode="_(* #,##0.000_);_(* \(#,##0.000\);_(* &quot;-&quot;??_);_(@_)"/>
  </numFmts>
  <fonts count="32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u val="singleAccounting"/>
      <sz val="12"/>
      <name val="Arial"/>
      <family val="2"/>
    </font>
    <font>
      <b/>
      <u val="doubleAccounting"/>
      <sz val="12"/>
      <name val="Arial"/>
      <family val="2"/>
    </font>
    <font>
      <b/>
      <sz val="12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rgb="FFFFFF00"/>
      <name val="Arial"/>
      <family val="2"/>
    </font>
    <font>
      <sz val="12"/>
      <color indexed="10"/>
      <name val="Arial"/>
      <family val="2"/>
    </font>
    <font>
      <u/>
      <sz val="12"/>
      <name val="Arial"/>
      <family val="2"/>
    </font>
    <font>
      <b/>
      <sz val="18"/>
      <color theme="1"/>
      <name val="Arial"/>
      <family val="2"/>
    </font>
    <font>
      <sz val="11"/>
      <color theme="1"/>
      <name val="Calibri"/>
      <family val="2"/>
    </font>
    <font>
      <b/>
      <i/>
      <u/>
      <sz val="10"/>
      <name val="Arial"/>
      <family val="2"/>
    </font>
    <font>
      <sz val="10"/>
      <color indexed="9"/>
      <name val="Arial"/>
      <family val="2"/>
    </font>
    <font>
      <b/>
      <u/>
      <sz val="10"/>
      <name val="Arial"/>
      <family val="2"/>
    </font>
    <font>
      <sz val="10"/>
      <color theme="1"/>
      <name val="Arial"/>
      <family val="2"/>
    </font>
    <font>
      <sz val="10"/>
      <color indexed="12"/>
      <name val="Arial"/>
      <family val="2"/>
    </font>
    <font>
      <u val="singleAccounting"/>
      <sz val="10"/>
      <color indexed="12"/>
      <name val="Arial"/>
      <family val="2"/>
    </font>
    <font>
      <u val="singleAccounting"/>
      <sz val="10"/>
      <name val="Arial"/>
      <family val="2"/>
    </font>
    <font>
      <b/>
      <u val="singleAccounting"/>
      <sz val="10"/>
      <color indexed="12"/>
      <name val="Arial"/>
      <family val="2"/>
    </font>
    <font>
      <u/>
      <sz val="10"/>
      <name val="Arial"/>
      <family val="2"/>
    </font>
    <font>
      <sz val="10"/>
      <color rgb="FFFF0000"/>
      <name val="Arial"/>
      <family val="2"/>
    </font>
    <font>
      <sz val="10"/>
      <color rgb="FF0000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4" fontId="13" fillId="0" borderId="0" applyFont="0" applyFill="0" applyBorder="0" applyAlignment="0" applyProtection="0"/>
    <xf numFmtId="0" fontId="20" fillId="0" borderId="0"/>
    <xf numFmtId="0" fontId="13" fillId="0" borderId="0"/>
    <xf numFmtId="43" fontId="13" fillId="0" borderId="0" applyFont="0" applyFill="0" applyBorder="0" applyAlignment="0" applyProtection="0"/>
    <xf numFmtId="0" fontId="24" fillId="0" borderId="0"/>
    <xf numFmtId="0" fontId="7" fillId="0" borderId="0"/>
  </cellStyleXfs>
  <cellXfs count="257">
    <xf numFmtId="0" fontId="0" fillId="0" borderId="0" xfId="0"/>
    <xf numFmtId="0" fontId="4" fillId="0" borderId="0" xfId="0" applyFont="1"/>
    <xf numFmtId="0" fontId="5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left"/>
    </xf>
    <xf numFmtId="164" fontId="4" fillId="0" borderId="0" xfId="1" applyNumberFormat="1" applyFont="1" applyFill="1"/>
    <xf numFmtId="0" fontId="4" fillId="0" borderId="0" xfId="0" applyFont="1" applyAlignment="1">
      <alignment horizontal="center"/>
    </xf>
    <xf numFmtId="164" fontId="4" fillId="0" borderId="0" xfId="0" applyNumberFormat="1" applyFont="1"/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4" fillId="0" borderId="1" xfId="0" applyFont="1" applyBorder="1"/>
    <xf numFmtId="164" fontId="4" fillId="0" borderId="0" xfId="1" applyNumberFormat="1" applyFont="1" applyFill="1" applyBorder="1"/>
    <xf numFmtId="164" fontId="4" fillId="0" borderId="2" xfId="1" applyNumberFormat="1" applyFont="1" applyFill="1" applyBorder="1" applyAlignment="1">
      <alignment horizontal="left"/>
    </xf>
    <xf numFmtId="164" fontId="4" fillId="0" borderId="0" xfId="1" applyNumberFormat="1" applyFont="1" applyFill="1" applyBorder="1" applyAlignment="1">
      <alignment horizontal="left"/>
    </xf>
    <xf numFmtId="10" fontId="1" fillId="0" borderId="0" xfId="0" applyNumberFormat="1" applyFont="1"/>
    <xf numFmtId="43" fontId="4" fillId="2" borderId="0" xfId="0" applyNumberFormat="1" applyFont="1" applyFill="1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left"/>
    </xf>
    <xf numFmtId="165" fontId="4" fillId="0" borderId="0" xfId="2" applyNumberFormat="1" applyFont="1" applyFill="1" applyProtection="1">
      <protection locked="0"/>
    </xf>
    <xf numFmtId="164" fontId="4" fillId="0" borderId="1" xfId="1" applyNumberFormat="1" applyFont="1" applyFill="1" applyBorder="1" applyProtection="1">
      <protection locked="0"/>
    </xf>
    <xf numFmtId="164" fontId="4" fillId="0" borderId="0" xfId="1" applyNumberFormat="1" applyFont="1" applyFill="1" applyProtection="1">
      <protection locked="0"/>
    </xf>
    <xf numFmtId="164" fontId="4" fillId="0" borderId="0" xfId="0" applyNumberFormat="1" applyFont="1" applyProtection="1">
      <protection locked="0"/>
    </xf>
    <xf numFmtId="164" fontId="4" fillId="0" borderId="1" xfId="0" applyNumberFormat="1" applyFont="1" applyBorder="1" applyProtection="1">
      <protection locked="0"/>
    </xf>
    <xf numFmtId="164" fontId="3" fillId="0" borderId="0" xfId="1" applyNumberFormat="1" applyFont="1" applyFill="1" applyProtection="1">
      <protection locked="0"/>
    </xf>
    <xf numFmtId="164" fontId="8" fillId="0" borderId="0" xfId="1" applyNumberFormat="1" applyFont="1" applyFill="1" applyProtection="1">
      <protection locked="0"/>
    </xf>
    <xf numFmtId="164" fontId="4" fillId="0" borderId="1" xfId="0" applyNumberFormat="1" applyFont="1" applyBorder="1"/>
    <xf numFmtId="165" fontId="3" fillId="0" borderId="0" xfId="2" applyNumberFormat="1" applyFont="1" applyFill="1" applyProtection="1">
      <protection locked="0"/>
    </xf>
    <xf numFmtId="165" fontId="4" fillId="0" borderId="0" xfId="0" applyNumberFormat="1" applyFont="1"/>
    <xf numFmtId="10" fontId="4" fillId="0" borderId="0" xfId="3" applyNumberFormat="1" applyFont="1" applyFill="1"/>
    <xf numFmtId="164" fontId="8" fillId="0" borderId="0" xfId="0" applyNumberFormat="1" applyFont="1"/>
    <xf numFmtId="164" fontId="4" fillId="0" borderId="0" xfId="0" applyNumberFormat="1" applyFont="1" applyAlignment="1">
      <alignment horizontal="left"/>
    </xf>
    <xf numFmtId="0" fontId="3" fillId="0" borderId="0" xfId="0" applyFont="1" applyAlignment="1">
      <alignment vertical="center"/>
    </xf>
    <xf numFmtId="165" fontId="9" fillId="0" borderId="0" xfId="2" applyNumberFormat="1" applyFont="1" applyFill="1" applyBorder="1" applyAlignment="1" applyProtection="1">
      <alignment vertical="center"/>
    </xf>
    <xf numFmtId="14" fontId="10" fillId="0" borderId="0" xfId="0" applyNumberFormat="1" applyFont="1" applyAlignment="1">
      <alignment horizontal="left"/>
    </xf>
    <xf numFmtId="165" fontId="3" fillId="0" borderId="3" xfId="2" applyNumberFormat="1" applyFont="1" applyFill="1" applyBorder="1" applyProtection="1">
      <protection locked="0"/>
    </xf>
    <xf numFmtId="0" fontId="11" fillId="0" borderId="4" xfId="0" applyFont="1" applyBorder="1" applyAlignment="1">
      <alignment horizontal="left"/>
    </xf>
    <xf numFmtId="0" fontId="11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44" fontId="0" fillId="0" borderId="0" xfId="2" applyFont="1" applyFill="1"/>
    <xf numFmtId="44" fontId="0" fillId="0" borderId="0" xfId="2" applyFont="1"/>
    <xf numFmtId="44" fontId="0" fillId="0" borderId="0" xfId="2" applyFont="1" applyFill="1" applyBorder="1"/>
    <xf numFmtId="0" fontId="0" fillId="0" borderId="5" xfId="0" applyBorder="1" applyAlignment="1">
      <alignment horizontal="center"/>
    </xf>
    <xf numFmtId="0" fontId="0" fillId="0" borderId="5" xfId="0" applyBorder="1"/>
    <xf numFmtId="44" fontId="0" fillId="0" borderId="5" xfId="2" applyFont="1" applyBorder="1"/>
    <xf numFmtId="0" fontId="12" fillId="0" borderId="0" xfId="0" applyFont="1" applyAlignment="1">
      <alignment horizontal="center"/>
    </xf>
    <xf numFmtId="44" fontId="0" fillId="0" borderId="0" xfId="0" applyNumberFormat="1"/>
    <xf numFmtId="0" fontId="2" fillId="0" borderId="0" xfId="5" applyFont="1"/>
    <xf numFmtId="0" fontId="5" fillId="0" borderId="0" xfId="5" applyFont="1" applyAlignment="1">
      <alignment horizontal="center"/>
    </xf>
    <xf numFmtId="0" fontId="5" fillId="0" borderId="0" xfId="5" applyFont="1" applyAlignment="1">
      <alignment horizontal="left"/>
    </xf>
    <xf numFmtId="0" fontId="2" fillId="0" borderId="0" xfId="5" applyFont="1" applyAlignment="1">
      <alignment horizontal="center" vertical="center" wrapText="1"/>
    </xf>
    <xf numFmtId="164" fontId="1" fillId="0" borderId="0" xfId="6" applyNumberFormat="1" applyFont="1" applyAlignment="1">
      <alignment vertical="center" wrapText="1"/>
    </xf>
    <xf numFmtId="3" fontId="1" fillId="0" borderId="0" xfId="5" applyNumberFormat="1" applyFont="1" applyAlignment="1">
      <alignment vertical="center" wrapText="1"/>
    </xf>
    <xf numFmtId="164" fontId="1" fillId="0" borderId="1" xfId="6" applyNumberFormat="1" applyFont="1" applyBorder="1" applyAlignment="1">
      <alignment vertical="center" wrapText="1"/>
    </xf>
    <xf numFmtId="0" fontId="1" fillId="0" borderId="0" xfId="5" applyFont="1" applyAlignment="1">
      <alignment vertical="center" wrapText="1"/>
    </xf>
    <xf numFmtId="0" fontId="1" fillId="0" borderId="0" xfId="5" applyFont="1"/>
    <xf numFmtId="164" fontId="1" fillId="0" borderId="2" xfId="5" applyNumberFormat="1" applyFont="1" applyBorder="1"/>
    <xf numFmtId="0" fontId="1" fillId="0" borderId="0" xfId="5" applyFont="1" applyAlignment="1">
      <alignment horizontal="center"/>
    </xf>
    <xf numFmtId="164" fontId="1" fillId="0" borderId="0" xfId="5" applyNumberFormat="1" applyFont="1"/>
    <xf numFmtId="0" fontId="1" fillId="0" borderId="0" xfId="5" applyFont="1" applyAlignment="1">
      <alignment horizontal="left" vertical="center" wrapText="1" indent="1"/>
    </xf>
    <xf numFmtId="10" fontId="1" fillId="0" borderId="0" xfId="5" applyNumberFormat="1" applyFont="1"/>
    <xf numFmtId="164" fontId="1" fillId="0" borderId="1" xfId="5" applyNumberFormat="1" applyFont="1" applyBorder="1"/>
    <xf numFmtId="164" fontId="2" fillId="0" borderId="3" xfId="5" applyNumberFormat="1" applyFont="1" applyBorder="1"/>
    <xf numFmtId="164" fontId="1" fillId="0" borderId="0" xfId="6" applyNumberFormat="1" applyFont="1" applyBorder="1" applyAlignment="1">
      <alignment vertical="center" wrapText="1"/>
    </xf>
    <xf numFmtId="0" fontId="1" fillId="0" borderId="0" xfId="5" applyFont="1" applyBorder="1" applyAlignment="1">
      <alignment horizontal="left" vertical="center" wrapText="1" indent="1"/>
    </xf>
    <xf numFmtId="164" fontId="1" fillId="0" borderId="0" xfId="5" applyNumberFormat="1" applyFont="1" applyBorder="1"/>
    <xf numFmtId="10" fontId="1" fillId="0" borderId="0" xfId="5" applyNumberFormat="1" applyFont="1" applyBorder="1"/>
    <xf numFmtId="0" fontId="2" fillId="0" borderId="1" xfId="5" applyFont="1" applyBorder="1" applyAlignment="1">
      <alignment horizontal="left" vertical="center" wrapText="1" indent="1"/>
    </xf>
    <xf numFmtId="0" fontId="2" fillId="0" borderId="1" xfId="5" applyFont="1" applyBorder="1" applyAlignment="1">
      <alignment vertical="center" wrapText="1"/>
    </xf>
    <xf numFmtId="0" fontId="14" fillId="0" borderId="0" xfId="7" applyFont="1"/>
    <xf numFmtId="43" fontId="1" fillId="0" borderId="0" xfId="8" applyFont="1"/>
    <xf numFmtId="0" fontId="15" fillId="0" borderId="0" xfId="7" applyFont="1"/>
    <xf numFmtId="43" fontId="14" fillId="0" borderId="0" xfId="8" applyFont="1"/>
    <xf numFmtId="0" fontId="14" fillId="0" borderId="0" xfId="7" applyFont="1" applyAlignment="1">
      <alignment horizontal="left" vertical="center" wrapText="1"/>
    </xf>
    <xf numFmtId="43" fontId="14" fillId="0" borderId="0" xfId="8" applyFont="1" applyAlignment="1">
      <alignment horizontal="center" vertical="center" wrapText="1"/>
    </xf>
    <xf numFmtId="43" fontId="14" fillId="0" borderId="0" xfId="8" applyFont="1" applyAlignment="1">
      <alignment horizontal="center" wrapText="1"/>
    </xf>
    <xf numFmtId="43" fontId="14" fillId="0" borderId="0" xfId="8" applyFont="1" applyAlignment="1">
      <alignment horizontal="center"/>
    </xf>
    <xf numFmtId="43" fontId="14" fillId="3" borderId="0" xfId="8" applyFont="1" applyFill="1" applyAlignment="1">
      <alignment horizontal="center"/>
    </xf>
    <xf numFmtId="0" fontId="15" fillId="0" borderId="0" xfId="7" applyFont="1" applyAlignment="1">
      <alignment horizontal="left" indent="1"/>
    </xf>
    <xf numFmtId="10" fontId="1" fillId="0" borderId="0" xfId="8" applyNumberFormat="1" applyFont="1"/>
    <xf numFmtId="43" fontId="1" fillId="3" borderId="0" xfId="8" applyFont="1" applyFill="1"/>
    <xf numFmtId="10" fontId="1" fillId="0" borderId="0" xfId="9" applyNumberFormat="1" applyFont="1"/>
    <xf numFmtId="168" fontId="1" fillId="0" borderId="0" xfId="9" applyNumberFormat="1" applyFont="1"/>
    <xf numFmtId="0" fontId="15" fillId="0" borderId="0" xfId="7" applyFont="1" applyAlignment="1">
      <alignment horizontal="left" indent="2"/>
    </xf>
    <xf numFmtId="169" fontId="1" fillId="0" borderId="0" xfId="9" applyNumberFormat="1" applyFont="1"/>
    <xf numFmtId="0" fontId="0" fillId="0" borderId="0" xfId="0" applyFont="1"/>
    <xf numFmtId="9" fontId="0" fillId="0" borderId="0" xfId="0" applyNumberFormat="1" applyFont="1"/>
    <xf numFmtId="10" fontId="0" fillId="0" borderId="0" xfId="0" applyNumberFormat="1" applyFont="1"/>
    <xf numFmtId="0" fontId="0" fillId="0" borderId="0" xfId="0" applyFont="1" applyAlignment="1">
      <alignment horizontal="center"/>
    </xf>
    <xf numFmtId="41" fontId="0" fillId="0" borderId="0" xfId="0" applyNumberFormat="1" applyFont="1"/>
    <xf numFmtId="41" fontId="0" fillId="0" borderId="1" xfId="0" applyNumberFormat="1" applyFont="1" applyBorder="1"/>
    <xf numFmtId="8" fontId="0" fillId="0" borderId="3" xfId="0" applyNumberFormat="1" applyFont="1" applyBorder="1"/>
    <xf numFmtId="41" fontId="4" fillId="0" borderId="0" xfId="0" applyNumberFormat="1" applyFont="1"/>
    <xf numFmtId="0" fontId="4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horizontal="centerContinuous" vertical="top"/>
    </xf>
    <xf numFmtId="0" fontId="17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Continuous" vertical="top"/>
    </xf>
    <xf numFmtId="170" fontId="3" fillId="0" borderId="0" xfId="0" applyNumberFormat="1" applyFont="1" applyAlignment="1">
      <alignment horizontal="centerContinuous" vertical="top"/>
    </xf>
    <xf numFmtId="170" fontId="3" fillId="0" borderId="0" xfId="0" applyNumberFormat="1" applyFont="1" applyAlignment="1">
      <alignment horizontal="center" vertical="top"/>
    </xf>
    <xf numFmtId="170" fontId="4" fillId="0" borderId="0" xfId="0" applyNumberFormat="1" applyFont="1" applyAlignment="1">
      <alignment vertical="top"/>
    </xf>
    <xf numFmtId="170" fontId="3" fillId="0" borderId="0" xfId="0" applyNumberFormat="1" applyFont="1" applyAlignment="1">
      <alignment vertical="top"/>
    </xf>
    <xf numFmtId="42" fontId="4" fillId="0" borderId="0" xfId="1" applyNumberFormat="1" applyFont="1" applyFill="1" applyAlignment="1">
      <alignment vertical="top"/>
    </xf>
    <xf numFmtId="41" fontId="4" fillId="0" borderId="0" xfId="2" applyNumberFormat="1" applyFont="1" applyAlignment="1">
      <alignment vertical="top"/>
    </xf>
    <xf numFmtId="170" fontId="18" fillId="0" borderId="0" xfId="0" applyNumberFormat="1" applyFont="1" applyAlignment="1">
      <alignment vertical="top"/>
    </xf>
    <xf numFmtId="41" fontId="4" fillId="0" borderId="0" xfId="2" applyNumberFormat="1" applyFont="1" applyFill="1" applyAlignment="1">
      <alignment vertical="top"/>
    </xf>
    <xf numFmtId="41" fontId="4" fillId="0" borderId="0" xfId="1" applyNumberFormat="1" applyFont="1" applyFill="1" applyAlignment="1">
      <alignment vertical="top"/>
    </xf>
    <xf numFmtId="41" fontId="4" fillId="0" borderId="1" xfId="1" applyNumberFormat="1" applyFont="1" applyFill="1" applyBorder="1" applyAlignment="1">
      <alignment horizontal="righ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171" fontId="4" fillId="0" borderId="0" xfId="3" applyNumberFormat="1" applyFont="1" applyFill="1" applyAlignment="1">
      <alignment vertical="top"/>
    </xf>
    <xf numFmtId="171" fontId="4" fillId="0" borderId="1" xfId="3" applyNumberFormat="1" applyFont="1" applyFill="1" applyBorder="1" applyAlignment="1">
      <alignment vertical="top"/>
    </xf>
    <xf numFmtId="171" fontId="4" fillId="0" borderId="6" xfId="3" applyNumberFormat="1" applyFont="1" applyBorder="1" applyAlignment="1">
      <alignment vertical="top"/>
    </xf>
    <xf numFmtId="41" fontId="4" fillId="0" borderId="2" xfId="2" applyNumberFormat="1" applyFont="1" applyFill="1" applyBorder="1" applyAlignment="1">
      <alignment vertical="top"/>
    </xf>
    <xf numFmtId="164" fontId="4" fillId="0" borderId="0" xfId="1" applyNumberFormat="1" applyFont="1" applyFill="1" applyAlignment="1">
      <alignment vertical="top"/>
    </xf>
    <xf numFmtId="41" fontId="2" fillId="0" borderId="0" xfId="2" applyNumberFormat="1" applyFont="1" applyBorder="1" applyAlignment="1">
      <alignment vertical="top"/>
    </xf>
    <xf numFmtId="170" fontId="4" fillId="0" borderId="0" xfId="1" applyNumberFormat="1" applyFont="1" applyBorder="1" applyAlignment="1">
      <alignment vertical="top"/>
    </xf>
    <xf numFmtId="42" fontId="2" fillId="0" borderId="3" xfId="2" applyNumberFormat="1" applyFont="1" applyBorder="1" applyAlignment="1">
      <alignment vertical="top"/>
    </xf>
    <xf numFmtId="0" fontId="18" fillId="0" borderId="0" xfId="0" applyFont="1" applyAlignment="1">
      <alignment vertical="top"/>
    </xf>
    <xf numFmtId="41" fontId="4" fillId="0" borderId="0" xfId="2" applyNumberFormat="1" applyFont="1" applyBorder="1" applyAlignment="1">
      <alignment vertical="top"/>
    </xf>
    <xf numFmtId="41" fontId="4" fillId="0" borderId="0" xfId="1" applyNumberFormat="1" applyFont="1" applyAlignment="1">
      <alignment vertical="top"/>
    </xf>
    <xf numFmtId="172" fontId="4" fillId="0" borderId="0" xfId="0" applyNumberFormat="1" applyFont="1" applyAlignment="1">
      <alignment horizontal="right" vertical="top"/>
    </xf>
    <xf numFmtId="0" fontId="4" fillId="0" borderId="0" xfId="0" applyFont="1" applyAlignment="1">
      <alignment horizontal="left" vertical="top"/>
    </xf>
    <xf numFmtId="41" fontId="4" fillId="0" borderId="1" xfId="1" applyNumberFormat="1" applyFont="1" applyBorder="1" applyAlignment="1">
      <alignment vertical="top"/>
    </xf>
    <xf numFmtId="172" fontId="4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vertical="top"/>
    </xf>
    <xf numFmtId="0" fontId="3" fillId="0" borderId="0" xfId="0" quotePrefix="1" applyFont="1" applyAlignment="1">
      <alignment horizontal="center"/>
    </xf>
    <xf numFmtId="170" fontId="6" fillId="0" borderId="0" xfId="0" applyNumberFormat="1" applyFont="1"/>
    <xf numFmtId="170" fontId="6" fillId="0" borderId="0" xfId="0" applyNumberFormat="1" applyFont="1" applyAlignment="1">
      <alignment horizontal="center"/>
    </xf>
    <xf numFmtId="170" fontId="4" fillId="0" borderId="0" xfId="0" applyNumberFormat="1" applyFont="1"/>
    <xf numFmtId="41" fontId="4" fillId="0" borderId="0" xfId="0" applyNumberFormat="1" applyFont="1" applyAlignment="1">
      <alignment horizontal="right"/>
    </xf>
    <xf numFmtId="41" fontId="4" fillId="0" borderId="1" xfId="0" applyNumberFormat="1" applyFont="1" applyBorder="1" applyAlignment="1">
      <alignment horizontal="right"/>
    </xf>
    <xf numFmtId="41" fontId="4" fillId="0" borderId="0" xfId="0" applyNumberFormat="1" applyFont="1" applyAlignment="1">
      <alignment horizontal="center"/>
    </xf>
    <xf numFmtId="10" fontId="4" fillId="0" borderId="0" xfId="3" applyNumberFormat="1" applyFont="1" applyFill="1" applyAlignment="1">
      <alignment horizontal="right"/>
    </xf>
    <xf numFmtId="41" fontId="4" fillId="0" borderId="0" xfId="3" applyNumberFormat="1" applyFont="1" applyFill="1" applyAlignment="1">
      <alignment horizontal="center"/>
    </xf>
    <xf numFmtId="41" fontId="2" fillId="0" borderId="0" xfId="0" applyNumberFormat="1" applyFont="1" applyAlignment="1">
      <alignment horizontal="center"/>
    </xf>
    <xf numFmtId="170" fontId="4" fillId="0" borderId="0" xfId="0" applyNumberFormat="1" applyFont="1" applyAlignment="1">
      <alignment horizontal="center"/>
    </xf>
    <xf numFmtId="172" fontId="4" fillId="0" borderId="0" xfId="0" applyNumberFormat="1" applyFont="1" applyAlignment="1">
      <alignment horizontal="right" vertical="center"/>
    </xf>
    <xf numFmtId="41" fontId="2" fillId="0" borderId="3" xfId="0" applyNumberFormat="1" applyFont="1" applyBorder="1" applyAlignment="1">
      <alignment horizontal="center"/>
    </xf>
    <xf numFmtId="0" fontId="4" fillId="0" borderId="0" xfId="0" quotePrefix="1" applyFont="1" applyAlignment="1">
      <alignment horizontal="right"/>
    </xf>
    <xf numFmtId="0" fontId="4" fillId="0" borderId="0" xfId="0" applyFont="1" applyAlignment="1">
      <alignment horizontal="right"/>
    </xf>
    <xf numFmtId="172" fontId="4" fillId="0" borderId="0" xfId="0" quotePrefix="1" applyNumberFormat="1" applyFont="1" applyAlignment="1">
      <alignment horizontal="right" vertical="top"/>
    </xf>
    <xf numFmtId="41" fontId="4" fillId="0" borderId="1" xfId="0" applyNumberFormat="1" applyFont="1" applyBorder="1" applyAlignment="1">
      <alignment horizontal="center"/>
    </xf>
    <xf numFmtId="0" fontId="3" fillId="0" borderId="0" xfId="0" applyFont="1" applyAlignment="1"/>
    <xf numFmtId="0" fontId="4" fillId="3" borderId="0" xfId="0" applyFont="1" applyFill="1"/>
    <xf numFmtId="164" fontId="4" fillId="3" borderId="0" xfId="0" applyNumberFormat="1" applyFont="1" applyFill="1"/>
    <xf numFmtId="164" fontId="4" fillId="0" borderId="0" xfId="1" applyNumberFormat="1" applyFont="1"/>
    <xf numFmtId="0" fontId="7" fillId="0" borderId="0" xfId="10" applyFont="1"/>
    <xf numFmtId="0" fontId="15" fillId="0" borderId="0" xfId="10" applyFont="1"/>
    <xf numFmtId="0" fontId="19" fillId="0" borderId="0" xfId="10" applyFont="1"/>
    <xf numFmtId="0" fontId="14" fillId="0" borderId="0" xfId="10" applyFont="1" applyAlignment="1">
      <alignment horizontal="right"/>
    </xf>
    <xf numFmtId="0" fontId="14" fillId="3" borderId="7" xfId="10" applyFont="1" applyFill="1" applyBorder="1" applyAlignment="1">
      <alignment horizontal="center"/>
    </xf>
    <xf numFmtId="0" fontId="15" fillId="0" borderId="8" xfId="10" applyFont="1" applyBorder="1"/>
    <xf numFmtId="9" fontId="15" fillId="0" borderId="0" xfId="10" applyNumberFormat="1" applyFont="1"/>
    <xf numFmtId="42" fontId="15" fillId="0" borderId="8" xfId="10" applyNumberFormat="1" applyFont="1" applyBorder="1"/>
    <xf numFmtId="10" fontId="15" fillId="0" borderId="0" xfId="10" applyNumberFormat="1" applyFont="1"/>
    <xf numFmtId="44" fontId="1" fillId="0" borderId="8" xfId="11" applyFont="1" applyBorder="1"/>
    <xf numFmtId="42" fontId="15" fillId="0" borderId="0" xfId="10" applyNumberFormat="1" applyFont="1"/>
    <xf numFmtId="8" fontId="15" fillId="0" borderId="9" xfId="10" applyNumberFormat="1" applyFont="1" applyBorder="1"/>
    <xf numFmtId="43" fontId="15" fillId="0" borderId="0" xfId="1" applyFont="1"/>
    <xf numFmtId="43" fontId="15" fillId="0" borderId="0" xfId="10" applyNumberFormat="1" applyFont="1"/>
    <xf numFmtId="42" fontId="15" fillId="0" borderId="10" xfId="10" applyNumberFormat="1" applyFont="1" applyBorder="1"/>
    <xf numFmtId="42" fontId="15" fillId="0" borderId="11" xfId="10" applyNumberFormat="1" applyFont="1" applyBorder="1"/>
    <xf numFmtId="0" fontId="14" fillId="0" borderId="0" xfId="10" applyFont="1"/>
    <xf numFmtId="0" fontId="4" fillId="0" borderId="0" xfId="0" applyFont="1" applyFill="1"/>
    <xf numFmtId="0" fontId="1" fillId="0" borderId="0" xfId="0" applyFont="1" applyAlignment="1">
      <alignment horizontal="left" indent="2"/>
    </xf>
    <xf numFmtId="164" fontId="1" fillId="0" borderId="0" xfId="0" applyNumberFormat="1" applyFont="1"/>
    <xf numFmtId="0" fontId="1" fillId="0" borderId="0" xfId="0" applyFont="1" applyAlignment="1">
      <alignment horizontal="left" indent="4"/>
    </xf>
    <xf numFmtId="0" fontId="1" fillId="0" borderId="0" xfId="12" applyFont="1"/>
    <xf numFmtId="0" fontId="1" fillId="5" borderId="0" xfId="12" applyFont="1" applyFill="1"/>
    <xf numFmtId="0" fontId="2" fillId="4" borderId="0" xfId="0" applyFont="1" applyFill="1"/>
    <xf numFmtId="0" fontId="2" fillId="4" borderId="12" xfId="0" applyFont="1" applyFill="1" applyBorder="1"/>
    <xf numFmtId="0" fontId="2" fillId="5" borderId="1" xfId="12" applyFont="1" applyFill="1" applyBorder="1"/>
    <xf numFmtId="0" fontId="2" fillId="0" borderId="12" xfId="0" applyFont="1" applyBorder="1" applyAlignment="1">
      <alignment horizontal="left"/>
    </xf>
    <xf numFmtId="164" fontId="2" fillId="0" borderId="12" xfId="0" applyNumberFormat="1" applyFont="1" applyBorder="1"/>
    <xf numFmtId="164" fontId="1" fillId="5" borderId="0" xfId="12" applyNumberFormat="1" applyFont="1" applyFill="1"/>
    <xf numFmtId="0" fontId="2" fillId="0" borderId="0" xfId="0" applyFont="1" applyAlignment="1">
      <alignment horizontal="left" indent="1"/>
    </xf>
    <xf numFmtId="164" fontId="2" fillId="0" borderId="0" xfId="0" applyNumberFormat="1" applyFont="1"/>
    <xf numFmtId="0" fontId="2" fillId="0" borderId="0" xfId="0" applyFont="1" applyAlignment="1">
      <alignment horizontal="left" indent="3"/>
    </xf>
    <xf numFmtId="164" fontId="2" fillId="5" borderId="0" xfId="12" applyNumberFormat="1" applyFont="1" applyFill="1"/>
    <xf numFmtId="0" fontId="2" fillId="4" borderId="13" xfId="0" applyFont="1" applyFill="1" applyBorder="1" applyAlignment="1">
      <alignment horizontal="left"/>
    </xf>
    <xf numFmtId="164" fontId="2" fillId="4" borderId="13" xfId="0" applyNumberFormat="1" applyFont="1" applyFill="1" applyBorder="1"/>
    <xf numFmtId="0" fontId="0" fillId="0" borderId="0" xfId="12" applyFont="1"/>
    <xf numFmtId="14" fontId="3" fillId="0" borderId="0" xfId="0" applyNumberFormat="1" applyFont="1" applyAlignment="1">
      <alignment vertical="top"/>
    </xf>
    <xf numFmtId="0" fontId="15" fillId="0" borderId="0" xfId="13" applyFont="1"/>
    <xf numFmtId="0" fontId="15" fillId="6" borderId="0" xfId="13" applyFont="1" applyFill="1"/>
    <xf numFmtId="0" fontId="15" fillId="6" borderId="0" xfId="13" applyFont="1" applyFill="1" applyAlignment="1">
      <alignment horizontal="center" wrapText="1"/>
    </xf>
    <xf numFmtId="0" fontId="15" fillId="0" borderId="0" xfId="13" applyFont="1" applyAlignment="1">
      <alignment horizontal="left"/>
    </xf>
    <xf numFmtId="43" fontId="15" fillId="0" borderId="0" xfId="13" applyNumberFormat="1" applyFont="1"/>
    <xf numFmtId="0" fontId="15" fillId="6" borderId="0" xfId="13" applyFont="1" applyFill="1" applyAlignment="1">
      <alignment horizontal="left"/>
    </xf>
    <xf numFmtId="43" fontId="15" fillId="6" borderId="0" xfId="13" applyNumberFormat="1" applyFont="1" applyFill="1"/>
    <xf numFmtId="0" fontId="15" fillId="0" borderId="0" xfId="13" applyFont="1" applyAlignment="1">
      <alignment horizontal="center"/>
    </xf>
    <xf numFmtId="43" fontId="1" fillId="0" borderId="0" xfId="14" applyFont="1"/>
    <xf numFmtId="43" fontId="15" fillId="6" borderId="0" xfId="1" applyFont="1" applyFill="1"/>
    <xf numFmtId="0" fontId="15" fillId="6" borderId="0" xfId="13" applyFont="1" applyFill="1" applyAlignment="1">
      <alignment wrapText="1"/>
    </xf>
    <xf numFmtId="0" fontId="0" fillId="0" borderId="0" xfId="5" applyFont="1"/>
    <xf numFmtId="0" fontId="12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21" fillId="0" borderId="0" xfId="0" applyFont="1" applyAlignment="1">
      <alignment horizontal="centerContinuous"/>
    </xf>
    <xf numFmtId="0" fontId="7" fillId="0" borderId="0" xfId="0" applyFont="1"/>
    <xf numFmtId="0" fontId="22" fillId="0" borderId="0" xfId="0" applyFont="1"/>
    <xf numFmtId="0" fontId="7" fillId="0" borderId="0" xfId="0" quotePrefix="1" applyFont="1" applyAlignment="1">
      <alignment horizontal="left"/>
    </xf>
    <xf numFmtId="0" fontId="7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173" fontId="7" fillId="0" borderId="0" xfId="0" quotePrefix="1" applyNumberFormat="1" applyFont="1" applyAlignment="1">
      <alignment horizontal="left"/>
    </xf>
    <xf numFmtId="165" fontId="25" fillId="0" borderId="0" xfId="15" applyNumberFormat="1" applyFont="1" applyProtection="1">
      <protection locked="0"/>
    </xf>
    <xf numFmtId="165" fontId="7" fillId="0" borderId="0" xfId="0" applyNumberFormat="1" applyFont="1" applyProtection="1">
      <protection locked="0"/>
    </xf>
    <xf numFmtId="164" fontId="25" fillId="0" borderId="0" xfId="15" applyNumberFormat="1" applyFont="1" applyProtection="1">
      <protection locked="0"/>
    </xf>
    <xf numFmtId="164" fontId="7" fillId="0" borderId="0" xfId="0" applyNumberFormat="1" applyFont="1" applyProtection="1">
      <protection locked="0"/>
    </xf>
    <xf numFmtId="0" fontId="12" fillId="0" borderId="0" xfId="0" applyFont="1"/>
    <xf numFmtId="49" fontId="12" fillId="0" borderId="0" xfId="0" applyNumberFormat="1" applyFont="1" applyAlignment="1">
      <alignment horizontal="center" vertical="top"/>
    </xf>
    <xf numFmtId="165" fontId="7" fillId="0" borderId="0" xfId="0" applyNumberFormat="1" applyFont="1"/>
    <xf numFmtId="164" fontId="7" fillId="0" borderId="0" xfId="1" applyNumberFormat="1" applyFont="1" applyFill="1"/>
    <xf numFmtId="164" fontId="0" fillId="0" borderId="0" xfId="0" applyNumberFormat="1"/>
    <xf numFmtId="164" fontId="7" fillId="0" borderId="0" xfId="0" applyNumberFormat="1" applyFont="1"/>
    <xf numFmtId="164" fontId="26" fillId="0" borderId="0" xfId="15" applyNumberFormat="1" applyFont="1" applyProtection="1">
      <protection locked="0"/>
    </xf>
    <xf numFmtId="164" fontId="27" fillId="0" borderId="0" xfId="0" applyNumberFormat="1" applyFont="1" applyProtection="1">
      <protection locked="0"/>
    </xf>
    <xf numFmtId="164" fontId="27" fillId="0" borderId="0" xfId="0" applyNumberFormat="1" applyFont="1"/>
    <xf numFmtId="164" fontId="27" fillId="0" borderId="0" xfId="1" applyNumberFormat="1" applyFont="1" applyFill="1" applyBorder="1"/>
    <xf numFmtId="41" fontId="7" fillId="0" borderId="0" xfId="15" applyNumberFormat="1" applyFont="1" applyAlignment="1">
      <alignment horizontal="left"/>
    </xf>
    <xf numFmtId="41" fontId="7" fillId="0" borderId="0" xfId="0" applyNumberFormat="1" applyFont="1" applyAlignment="1">
      <alignment horizontal="left"/>
    </xf>
    <xf numFmtId="165" fontId="7" fillId="0" borderId="0" xfId="2" applyNumberFormat="1" applyFont="1" applyProtection="1"/>
    <xf numFmtId="5" fontId="7" fillId="0" borderId="0" xfId="0" applyNumberFormat="1" applyFont="1"/>
    <xf numFmtId="49" fontId="12" fillId="0" borderId="0" xfId="0" applyNumberFormat="1" applyFont="1" applyAlignment="1">
      <alignment horizontal="center"/>
    </xf>
    <xf numFmtId="14" fontId="28" fillId="0" borderId="0" xfId="0" applyNumberFormat="1" applyFont="1" applyAlignment="1" applyProtection="1">
      <alignment horizontal="center"/>
      <protection locked="0"/>
    </xf>
    <xf numFmtId="174" fontId="23" fillId="0" borderId="0" xfId="0" applyNumberFormat="1" applyFont="1" applyAlignment="1">
      <alignment horizontal="center"/>
    </xf>
    <xf numFmtId="42" fontId="7" fillId="0" borderId="0" xfId="0" applyNumberFormat="1" applyFont="1"/>
    <xf numFmtId="41" fontId="7" fillId="0" borderId="0" xfId="0" applyNumberFormat="1" applyFont="1"/>
    <xf numFmtId="41" fontId="27" fillId="0" borderId="0" xfId="0" applyNumberFormat="1" applyFont="1"/>
    <xf numFmtId="164" fontId="25" fillId="0" borderId="0" xfId="0" applyNumberFormat="1" applyFont="1" applyProtection="1">
      <protection locked="0"/>
    </xf>
    <xf numFmtId="164" fontId="25" fillId="0" borderId="0" xfId="16" applyNumberFormat="1" applyFont="1" applyProtection="1">
      <protection locked="0"/>
    </xf>
    <xf numFmtId="175" fontId="25" fillId="0" borderId="0" xfId="0" applyNumberFormat="1" applyFont="1" applyProtection="1">
      <protection locked="0"/>
    </xf>
    <xf numFmtId="9" fontId="7" fillId="0" borderId="0" xfId="3" applyFont="1" applyProtection="1"/>
    <xf numFmtId="176" fontId="25" fillId="0" borderId="0" xfId="0" applyNumberFormat="1" applyFont="1" applyProtection="1">
      <protection locked="0"/>
    </xf>
    <xf numFmtId="44" fontId="0" fillId="3" borderId="0" xfId="0" applyNumberFormat="1" applyFill="1"/>
    <xf numFmtId="164" fontId="26" fillId="0" borderId="0" xfId="0" applyNumberFormat="1" applyFont="1" applyProtection="1">
      <protection locked="0"/>
    </xf>
    <xf numFmtId="164" fontId="26" fillId="0" borderId="0" xfId="16" applyNumberFormat="1" applyFont="1" applyProtection="1">
      <protection locked="0"/>
    </xf>
    <xf numFmtId="165" fontId="27" fillId="0" borderId="0" xfId="0" applyNumberFormat="1" applyFont="1"/>
    <xf numFmtId="164" fontId="29" fillId="0" borderId="0" xfId="0" applyNumberFormat="1" applyFont="1"/>
    <xf numFmtId="176" fontId="7" fillId="0" borderId="0" xfId="0" applyNumberFormat="1" applyFont="1"/>
    <xf numFmtId="165" fontId="7" fillId="0" borderId="0" xfId="0" quotePrefix="1" applyNumberFormat="1" applyFont="1"/>
    <xf numFmtId="165" fontId="30" fillId="0" borderId="0" xfId="0" applyNumberFormat="1" applyFont="1"/>
    <xf numFmtId="0" fontId="31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vertical="top" wrapText="1"/>
    </xf>
    <xf numFmtId="166" fontId="15" fillId="0" borderId="0" xfId="7" applyNumberFormat="1" applyFont="1" applyAlignment="1">
      <alignment horizontal="center"/>
    </xf>
    <xf numFmtId="167" fontId="15" fillId="0" borderId="0" xfId="7" applyNumberFormat="1" applyFont="1" applyAlignment="1">
      <alignment horizontal="center"/>
    </xf>
    <xf numFmtId="166" fontId="1" fillId="0" borderId="0" xfId="8" applyNumberFormat="1" applyFont="1" applyAlignment="1">
      <alignment horizontal="center"/>
    </xf>
  </cellXfs>
  <cellStyles count="17">
    <cellStyle name="Comma" xfId="1" builtinId="3"/>
    <cellStyle name="Comma 4" xfId="6"/>
    <cellStyle name="Comma 6" xfId="8"/>
    <cellStyle name="Comma 7" xfId="14"/>
    <cellStyle name="Currency" xfId="2" builtinId="4"/>
    <cellStyle name="Currency 3" xfId="11"/>
    <cellStyle name="Normal" xfId="0" builtinId="0"/>
    <cellStyle name="Normal 10" xfId="16"/>
    <cellStyle name="Normal 11" xfId="13"/>
    <cellStyle name="Normal 12" xfId="10"/>
    <cellStyle name="Normal 2 2" xfId="4"/>
    <cellStyle name="Normal 42" xfId="15"/>
    <cellStyle name="Normal 5" xfId="5"/>
    <cellStyle name="Normal 7" xfId="7"/>
    <cellStyle name="Normal 9" xfId="12"/>
    <cellStyle name="Percent" xfId="3" builtinId="5"/>
    <cellStyle name="Percent 4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jork\Desktop\Rush%20Island%20EF-2024-0021\Workpapers\Lansford\10_15_24%20Retirement%20Lansford%20-%20Schedules%20MJL%20-%20D1-D5%20WORKPAPER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 MJL-D1"/>
      <sheetName val="SCHEDULE MJL-D2"/>
      <sheetName val="SCHEDULE MJL-D3"/>
      <sheetName val="SCHEDULE MJL-D4"/>
      <sheetName val="SCHEDULE MJL-D5"/>
      <sheetName val="FCCS"/>
      <sheetName val="HFM"/>
      <sheetName val="Water Treatment and Monitoring"/>
      <sheetName val="NPV ADIT"/>
      <sheetName val="ARO"/>
      <sheetName val="AF193"/>
      <sheetName val="Asset Transfers"/>
      <sheetName val="Inventory Balance"/>
      <sheetName val="Inventory Transfers"/>
      <sheetName val="CWIP"/>
      <sheetName val="RI Intangibles"/>
      <sheetName val="SW runout"/>
      <sheetName val="Mat&amp;Sup2"/>
      <sheetName val="Community Transition"/>
      <sheetName val="Def Tax &amp; NBNT"/>
      <sheetName val="Value_Rec_Instance_8283"/>
      <sheetName val="Value_Rec_Instance_8383"/>
    </sheetNames>
    <sheetDataSet>
      <sheetData sheetId="0" refreshError="1"/>
      <sheetData sheetId="1" refreshError="1"/>
      <sheetData sheetId="2" refreshError="1"/>
      <sheetData sheetId="3">
        <row r="14">
          <cell r="D14">
            <v>5.5910000000000001E-2</v>
          </cell>
        </row>
      </sheetData>
      <sheetData sheetId="4" refreshError="1"/>
      <sheetData sheetId="5">
        <row r="20">
          <cell r="F20">
            <v>2445929.91</v>
          </cell>
        </row>
        <row r="21">
          <cell r="F21">
            <v>979536.67</v>
          </cell>
        </row>
        <row r="22">
          <cell r="F22">
            <v>112373967.10000002</v>
          </cell>
        </row>
        <row r="23">
          <cell r="F23">
            <v>548315181.96000016</v>
          </cell>
        </row>
        <row r="24">
          <cell r="F24">
            <v>175700443.75999999</v>
          </cell>
        </row>
        <row r="25">
          <cell r="F25">
            <v>76358450.329999983</v>
          </cell>
        </row>
        <row r="27">
          <cell r="F27">
            <v>21360767.339999996</v>
          </cell>
        </row>
        <row r="28">
          <cell r="F28">
            <v>584317.91</v>
          </cell>
        </row>
        <row r="29">
          <cell r="F29">
            <v>516284.61</v>
          </cell>
        </row>
        <row r="30">
          <cell r="F30">
            <v>1331142.26</v>
          </cell>
        </row>
        <row r="32">
          <cell r="F32">
            <v>432687.33999999997</v>
          </cell>
        </row>
        <row r="34">
          <cell r="F34">
            <v>-2435096.9100000006</v>
          </cell>
        </row>
        <row r="36">
          <cell r="F36">
            <v>-42697274.460000001</v>
          </cell>
        </row>
        <row r="37">
          <cell r="F37">
            <v>-228940115.04999998</v>
          </cell>
        </row>
        <row r="38">
          <cell r="F38">
            <v>-85188280.940000013</v>
          </cell>
        </row>
        <row r="39">
          <cell r="F39">
            <v>-30775074.140000001</v>
          </cell>
        </row>
        <row r="41">
          <cell r="F41">
            <v>-4907021.1100000013</v>
          </cell>
        </row>
        <row r="42">
          <cell r="F42">
            <v>-275680.40999999997</v>
          </cell>
        </row>
        <row r="43">
          <cell r="F43">
            <v>-362830.44</v>
          </cell>
        </row>
        <row r="44">
          <cell r="F44">
            <v>-1180137.92</v>
          </cell>
        </row>
        <row r="46">
          <cell r="F46">
            <v>-538922.09000000008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6">
          <cell r="AB6">
            <v>5.8799999999999998E-2</v>
          </cell>
        </row>
        <row r="387">
          <cell r="Q387">
            <v>10433037.560000001</v>
          </cell>
          <cell r="R387">
            <v>3365557.8099999996</v>
          </cell>
          <cell r="V387">
            <v>555211.48215133161</v>
          </cell>
        </row>
        <row r="388">
          <cell r="Q388">
            <v>23448007.499999996</v>
          </cell>
          <cell r="R388">
            <v>9903411.6100000013</v>
          </cell>
          <cell r="V388">
            <v>1047930.5351875001</v>
          </cell>
        </row>
        <row r="389">
          <cell r="Q389">
            <v>6506368.8000000007</v>
          </cell>
          <cell r="R389">
            <v>1198115.8799999999</v>
          </cell>
          <cell r="V389">
            <v>300865.33726</v>
          </cell>
        </row>
        <row r="390">
          <cell r="Q390">
            <v>4959409.2500000009</v>
          </cell>
          <cell r="R390">
            <v>1066476.4700000004</v>
          </cell>
          <cell r="V390">
            <v>359371.192778125</v>
          </cell>
        </row>
        <row r="391">
          <cell r="Q391">
            <v>48204.39</v>
          </cell>
          <cell r="R391">
            <v>51978.33</v>
          </cell>
          <cell r="V391">
            <v>3661.1234205000001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tabSelected="1" workbookViewId="0">
      <selection activeCell="D21" sqref="D21"/>
    </sheetView>
  </sheetViews>
  <sheetFormatPr defaultColWidth="7.21875" defaultRowHeight="15" x14ac:dyDescent="0.2"/>
  <cols>
    <col min="1" max="1" width="5.33203125" style="1" customWidth="1"/>
    <col min="2" max="2" width="2.77734375" style="1" customWidth="1"/>
    <col min="3" max="3" width="2.21875" style="1" customWidth="1"/>
    <col min="4" max="4" width="51.77734375" style="1" customWidth="1"/>
    <col min="5" max="5" width="22.5546875" style="1" customWidth="1"/>
    <col min="6" max="6" width="14.5546875" style="1" customWidth="1"/>
    <col min="7" max="16384" width="7.21875" style="1"/>
  </cols>
  <sheetData>
    <row r="1" spans="1:5" ht="15.75" x14ac:dyDescent="0.25">
      <c r="A1" s="151" t="s">
        <v>0</v>
      </c>
    </row>
    <row r="2" spans="1:5" ht="15.75" x14ac:dyDescent="0.25">
      <c r="A2" s="151" t="s">
        <v>22</v>
      </c>
    </row>
    <row r="3" spans="1:5" ht="15.75" x14ac:dyDescent="0.25">
      <c r="A3" s="151" t="s">
        <v>150</v>
      </c>
    </row>
    <row r="4" spans="1:5" x14ac:dyDescent="0.2">
      <c r="A4" s="1" t="s">
        <v>147</v>
      </c>
    </row>
    <row r="5" spans="1:5" ht="15.75" x14ac:dyDescent="0.25">
      <c r="B5" s="151"/>
      <c r="C5" s="151"/>
      <c r="D5" s="151"/>
      <c r="E5" s="151"/>
    </row>
    <row r="6" spans="1:5" ht="15.75" x14ac:dyDescent="0.25">
      <c r="B6" s="151"/>
      <c r="C6" s="151"/>
      <c r="D6" s="151"/>
      <c r="E6" s="151"/>
    </row>
    <row r="7" spans="1:5" ht="15.75" x14ac:dyDescent="0.25">
      <c r="B7" s="151"/>
      <c r="C7" s="151"/>
      <c r="D7" s="151"/>
      <c r="E7" s="151"/>
    </row>
    <row r="8" spans="1:5" ht="15.75" x14ac:dyDescent="0.25">
      <c r="E8" s="2"/>
    </row>
    <row r="9" spans="1:5" ht="15.75" x14ac:dyDescent="0.25">
      <c r="A9" s="5" t="s">
        <v>13</v>
      </c>
      <c r="B9" s="5"/>
      <c r="C9" s="21"/>
      <c r="D9" s="21" t="s">
        <v>23</v>
      </c>
      <c r="E9" s="5" t="s">
        <v>24</v>
      </c>
    </row>
    <row r="10" spans="1:5" ht="15.75" x14ac:dyDescent="0.25">
      <c r="A10" s="5"/>
      <c r="B10" s="5"/>
      <c r="C10" s="22"/>
      <c r="D10" s="22"/>
      <c r="E10" s="3"/>
    </row>
    <row r="11" spans="1:5" ht="15.75" x14ac:dyDescent="0.25">
      <c r="A11" s="5"/>
      <c r="B11" s="5"/>
      <c r="C11" s="23"/>
      <c r="D11" s="23"/>
    </row>
    <row r="12" spans="1:5" x14ac:dyDescent="0.2">
      <c r="A12" s="10">
        <v>1</v>
      </c>
      <c r="B12" s="10"/>
      <c r="C12" s="1" t="s">
        <v>25</v>
      </c>
      <c r="E12" s="24">
        <f>'Rush Island Plant'!Q26</f>
        <v>895859601.96410012</v>
      </c>
    </row>
    <row r="13" spans="1:5" x14ac:dyDescent="0.2">
      <c r="A13" s="10">
        <v>2</v>
      </c>
      <c r="B13" s="10"/>
      <c r="C13" s="1" t="s">
        <v>26</v>
      </c>
      <c r="E13" s="25">
        <f>'Rush Island Plant'!Q40</f>
        <v>426933471.43093204</v>
      </c>
    </row>
    <row r="14" spans="1:5" x14ac:dyDescent="0.2">
      <c r="A14" s="10">
        <v>3</v>
      </c>
      <c r="B14" s="10"/>
      <c r="C14" s="1" t="s">
        <v>27</v>
      </c>
      <c r="E14" s="24">
        <f>E12-E13</f>
        <v>468926130.53316808</v>
      </c>
    </row>
    <row r="15" spans="1:5" x14ac:dyDescent="0.2">
      <c r="A15" s="10"/>
      <c r="B15" s="10"/>
      <c r="E15" s="24"/>
    </row>
    <row r="16" spans="1:5" x14ac:dyDescent="0.2">
      <c r="A16" s="10">
        <v>4</v>
      </c>
      <c r="B16" s="10"/>
      <c r="C16" s="1" t="s">
        <v>28</v>
      </c>
      <c r="E16" s="26">
        <f>CWIP!C20</f>
        <v>3936152.3799999971</v>
      </c>
    </row>
    <row r="17" spans="1:6" x14ac:dyDescent="0.2">
      <c r="A17" s="10">
        <v>5</v>
      </c>
      <c r="B17" s="10"/>
      <c r="C17" s="1" t="s">
        <v>29</v>
      </c>
      <c r="E17" s="26">
        <f>Basemat!L56</f>
        <v>1923659.9411764706</v>
      </c>
    </row>
    <row r="18" spans="1:6" x14ac:dyDescent="0.2">
      <c r="A18" s="10">
        <v>6</v>
      </c>
      <c r="B18" s="10"/>
      <c r="C18" s="1" t="s">
        <v>30</v>
      </c>
      <c r="E18" s="11">
        <v>18304442.242999997</v>
      </c>
    </row>
    <row r="19" spans="1:6" x14ac:dyDescent="0.2">
      <c r="A19" s="10">
        <v>7</v>
      </c>
      <c r="B19" s="10"/>
      <c r="C19" s="1" t="s">
        <v>31</v>
      </c>
      <c r="E19" s="11">
        <f>-ADIT!E32</f>
        <v>-49178167.123114683</v>
      </c>
    </row>
    <row r="20" spans="1:6" x14ac:dyDescent="0.2">
      <c r="A20" s="10">
        <v>8</v>
      </c>
      <c r="B20" s="10"/>
      <c r="C20" s="1" t="s">
        <v>286</v>
      </c>
      <c r="E20" s="11">
        <f>42500000+4407500</f>
        <v>46907500</v>
      </c>
    </row>
    <row r="21" spans="1:6" x14ac:dyDescent="0.2">
      <c r="A21" s="10">
        <v>9</v>
      </c>
      <c r="B21" s="10"/>
      <c r="C21" s="1" t="s">
        <v>32</v>
      </c>
      <c r="E21" s="27">
        <v>149356</v>
      </c>
      <c r="F21" s="154"/>
    </row>
    <row r="22" spans="1:6" x14ac:dyDescent="0.2">
      <c r="A22" s="10">
        <v>10</v>
      </c>
      <c r="B22" s="10"/>
      <c r="C22" s="1" t="s">
        <v>33</v>
      </c>
      <c r="E22" s="27">
        <v>0</v>
      </c>
    </row>
    <row r="23" spans="1:6" x14ac:dyDescent="0.2">
      <c r="A23" s="10">
        <v>11</v>
      </c>
      <c r="B23" s="10"/>
      <c r="C23" s="1" t="s">
        <v>34</v>
      </c>
      <c r="E23" s="28">
        <v>0</v>
      </c>
    </row>
    <row r="24" spans="1:6" ht="15.75" x14ac:dyDescent="0.25">
      <c r="A24" s="10">
        <v>12</v>
      </c>
      <c r="B24" s="10"/>
      <c r="C24" s="4" t="s">
        <v>35</v>
      </c>
      <c r="E24" s="29">
        <f>SUM(E14:E23)</f>
        <v>490969073.97422981</v>
      </c>
    </row>
    <row r="25" spans="1:6" ht="17.25" x14ac:dyDescent="0.35">
      <c r="A25" s="10"/>
      <c r="B25" s="10"/>
      <c r="E25" s="30"/>
    </row>
    <row r="26" spans="1:6" ht="15.75" x14ac:dyDescent="0.25">
      <c r="A26" s="10">
        <v>13</v>
      </c>
      <c r="B26" s="10"/>
      <c r="C26" s="8" t="s">
        <v>148</v>
      </c>
      <c r="D26" s="4"/>
      <c r="E26" s="31">
        <f>'Financing Costs'!E32</f>
        <v>6514154.9796304647</v>
      </c>
    </row>
    <row r="27" spans="1:6" ht="15.75" x14ac:dyDescent="0.25">
      <c r="A27" s="10">
        <v>14</v>
      </c>
      <c r="B27" s="10"/>
      <c r="C27" s="4" t="s">
        <v>36</v>
      </c>
      <c r="E27" s="32">
        <f>E24+E26</f>
        <v>497483228.95386028</v>
      </c>
      <c r="F27" s="33"/>
    </row>
    <row r="28" spans="1:6" ht="15.75" x14ac:dyDescent="0.25">
      <c r="A28" s="10"/>
      <c r="B28" s="10"/>
      <c r="C28" s="4"/>
      <c r="D28" s="4"/>
      <c r="E28" s="26"/>
    </row>
    <row r="29" spans="1:6" x14ac:dyDescent="0.2">
      <c r="A29" s="10">
        <v>16</v>
      </c>
      <c r="C29" s="1" t="s">
        <v>210</v>
      </c>
      <c r="E29" s="34">
        <v>5.5910000000000001E-2</v>
      </c>
    </row>
    <row r="30" spans="1:6" ht="15.75" x14ac:dyDescent="0.25">
      <c r="A30" s="10">
        <v>17</v>
      </c>
      <c r="B30" s="10"/>
      <c r="C30" s="4" t="s">
        <v>283</v>
      </c>
      <c r="D30" s="4"/>
      <c r="E30" s="26">
        <v>15</v>
      </c>
    </row>
    <row r="31" spans="1:6" ht="15.75" x14ac:dyDescent="0.25">
      <c r="A31" s="10">
        <v>18</v>
      </c>
      <c r="B31" s="10"/>
      <c r="C31" s="4" t="s">
        <v>38</v>
      </c>
      <c r="D31" s="4"/>
      <c r="E31" s="26">
        <f>+PMT(E29/12,E30*12,-E27)</f>
        <v>4088916.1249171523</v>
      </c>
    </row>
    <row r="32" spans="1:6" ht="17.25" x14ac:dyDescent="0.35">
      <c r="B32" s="10"/>
      <c r="C32" s="4"/>
      <c r="D32" s="4"/>
      <c r="E32" s="35"/>
    </row>
    <row r="33" spans="1:5" x14ac:dyDescent="0.2">
      <c r="A33" s="10">
        <v>19</v>
      </c>
      <c r="C33" s="1" t="s">
        <v>284</v>
      </c>
      <c r="E33" s="36">
        <f>'Financing Costs'!E49</f>
        <v>771789.10082543455</v>
      </c>
    </row>
    <row r="34" spans="1:5" ht="18" x14ac:dyDescent="0.2">
      <c r="A34" s="10">
        <v>20</v>
      </c>
      <c r="B34" s="20"/>
      <c r="C34" s="37" t="s">
        <v>39</v>
      </c>
      <c r="D34" s="37"/>
      <c r="E34" s="38">
        <f>E33/12</f>
        <v>64315.758402119543</v>
      </c>
    </row>
    <row r="35" spans="1:5" x14ac:dyDescent="0.2">
      <c r="E35" s="11"/>
    </row>
    <row r="36" spans="1:5" ht="16.5" thickBot="1" x14ac:dyDescent="0.3">
      <c r="A36" s="10">
        <v>21</v>
      </c>
      <c r="B36" s="10"/>
      <c r="C36" s="39" t="s">
        <v>40</v>
      </c>
      <c r="D36" s="39"/>
      <c r="E36" s="40">
        <f>E31+E34</f>
        <v>4153231.8833192717</v>
      </c>
    </row>
    <row r="37" spans="1:5" ht="15.75" thickTop="1" x14ac:dyDescent="0.2"/>
  </sheetData>
  <pageMargins left="0.7" right="0.7" top="0.75" bottom="0.75" header="0.3" footer="0.3"/>
  <pageSetup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workbookViewId="0">
      <selection activeCell="F33" sqref="F33"/>
    </sheetView>
  </sheetViews>
  <sheetFormatPr defaultRowHeight="15" x14ac:dyDescent="0.2"/>
  <cols>
    <col min="1" max="1" width="15.44140625" bestFit="1" customWidth="1"/>
    <col min="2" max="2" width="31.21875" bestFit="1" customWidth="1"/>
    <col min="3" max="3" width="19.77734375" bestFit="1" customWidth="1"/>
  </cols>
  <sheetData>
    <row r="1" spans="1:4" x14ac:dyDescent="0.2">
      <c r="A1" t="s">
        <v>212</v>
      </c>
    </row>
    <row r="2" spans="1:4" x14ac:dyDescent="0.2">
      <c r="A2" t="s">
        <v>213</v>
      </c>
    </row>
    <row r="7" spans="1:4" ht="16.5" thickBot="1" x14ac:dyDescent="0.3">
      <c r="A7" s="41" t="s">
        <v>41</v>
      </c>
      <c r="B7" s="42" t="s">
        <v>42</v>
      </c>
      <c r="C7" s="42" t="s">
        <v>43</v>
      </c>
    </row>
    <row r="8" spans="1:4" x14ac:dyDescent="0.2">
      <c r="A8" s="43">
        <v>15441</v>
      </c>
      <c r="B8" t="s">
        <v>44</v>
      </c>
      <c r="C8" s="44">
        <v>9032645.8599999994</v>
      </c>
      <c r="D8" t="s">
        <v>63</v>
      </c>
    </row>
    <row r="9" spans="1:4" x14ac:dyDescent="0.2">
      <c r="A9" s="43">
        <v>16428</v>
      </c>
      <c r="B9" t="s">
        <v>45</v>
      </c>
      <c r="C9" s="44">
        <v>1806365.91</v>
      </c>
      <c r="D9" t="s">
        <v>64</v>
      </c>
    </row>
    <row r="10" spans="1:4" x14ac:dyDescent="0.2">
      <c r="A10" s="43" t="s">
        <v>46</v>
      </c>
      <c r="B10" t="s">
        <v>47</v>
      </c>
      <c r="C10" s="45">
        <v>502329.99</v>
      </c>
      <c r="D10" t="s">
        <v>64</v>
      </c>
    </row>
    <row r="11" spans="1:4" x14ac:dyDescent="0.2">
      <c r="A11" s="43">
        <v>14410</v>
      </c>
      <c r="B11" t="s">
        <v>48</v>
      </c>
      <c r="C11" s="45">
        <v>436987.86</v>
      </c>
      <c r="D11" t="s">
        <v>64</v>
      </c>
    </row>
    <row r="12" spans="1:4" x14ac:dyDescent="0.2">
      <c r="A12" s="43" t="s">
        <v>49</v>
      </c>
      <c r="B12" t="s">
        <v>50</v>
      </c>
      <c r="C12" s="45">
        <v>427658.39</v>
      </c>
      <c r="D12" t="s">
        <v>64</v>
      </c>
    </row>
    <row r="13" spans="1:4" x14ac:dyDescent="0.2">
      <c r="A13" s="43" t="s">
        <v>51</v>
      </c>
      <c r="B13" t="s">
        <v>52</v>
      </c>
      <c r="C13" s="44">
        <v>268917.36</v>
      </c>
      <c r="D13" t="s">
        <v>64</v>
      </c>
    </row>
    <row r="14" spans="1:4" x14ac:dyDescent="0.2">
      <c r="A14" s="43" t="s">
        <v>53</v>
      </c>
      <c r="B14" t="s">
        <v>54</v>
      </c>
      <c r="C14" s="45">
        <v>249187.04</v>
      </c>
      <c r="D14" t="s">
        <v>64</v>
      </c>
    </row>
    <row r="15" spans="1:4" x14ac:dyDescent="0.2">
      <c r="A15" s="43" t="s">
        <v>55</v>
      </c>
      <c r="B15" t="s">
        <v>56</v>
      </c>
      <c r="C15" s="44">
        <v>192471.52</v>
      </c>
      <c r="D15" t="s">
        <v>64</v>
      </c>
    </row>
    <row r="16" spans="1:4" x14ac:dyDescent="0.2">
      <c r="A16" s="43" t="s">
        <v>57</v>
      </c>
      <c r="B16" t="s">
        <v>58</v>
      </c>
      <c r="C16" s="45">
        <v>43323.92</v>
      </c>
      <c r="D16" t="s">
        <v>64</v>
      </c>
    </row>
    <row r="17" spans="1:4" x14ac:dyDescent="0.2">
      <c r="A17" s="43" t="s">
        <v>59</v>
      </c>
      <c r="B17" t="s">
        <v>60</v>
      </c>
      <c r="C17" s="46">
        <v>5980.95</v>
      </c>
      <c r="D17" t="s">
        <v>64</v>
      </c>
    </row>
    <row r="18" spans="1:4" ht="15.75" thickBot="1" x14ac:dyDescent="0.25">
      <c r="A18" s="47" t="s">
        <v>61</v>
      </c>
      <c r="B18" s="48" t="s">
        <v>62</v>
      </c>
      <c r="C18" s="49">
        <v>2929.44</v>
      </c>
      <c r="D18" t="s">
        <v>64</v>
      </c>
    </row>
    <row r="19" spans="1:4" x14ac:dyDescent="0.2">
      <c r="A19" s="50" t="s">
        <v>21</v>
      </c>
      <c r="C19" s="51">
        <f>SUM(C8:C18)</f>
        <v>12968798.239999996</v>
      </c>
    </row>
    <row r="20" spans="1:4" x14ac:dyDescent="0.2">
      <c r="C20" s="51">
        <f>C19-C8</f>
        <v>3936152.3799999971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>
      <selection activeCell="G25" sqref="G25"/>
    </sheetView>
  </sheetViews>
  <sheetFormatPr defaultColWidth="8.77734375" defaultRowHeight="15" x14ac:dyDescent="0.2"/>
  <cols>
    <col min="1" max="1" width="18.44140625" style="90" customWidth="1"/>
    <col min="2" max="2" width="8.77734375" style="90" bestFit="1" customWidth="1"/>
    <col min="3" max="3" width="10.21875" style="90" bestFit="1" customWidth="1"/>
    <col min="4" max="4" width="13.21875" style="90" bestFit="1" customWidth="1"/>
    <col min="5" max="8" width="10.21875" style="90" bestFit="1" customWidth="1"/>
    <col min="9" max="11" width="8.77734375" style="90" bestFit="1" customWidth="1"/>
    <col min="12" max="13" width="10.77734375" style="90" bestFit="1" customWidth="1"/>
    <col min="14" max="16384" width="8.77734375" style="90"/>
  </cols>
  <sheetData>
    <row r="1" spans="1:13" x14ac:dyDescent="0.2">
      <c r="A1" s="1" t="s">
        <v>89</v>
      </c>
    </row>
    <row r="2" spans="1:13" x14ac:dyDescent="0.2">
      <c r="A2" s="1" t="s">
        <v>90</v>
      </c>
    </row>
    <row r="3" spans="1:13" x14ac:dyDescent="0.2">
      <c r="A3" s="1" t="s">
        <v>2</v>
      </c>
    </row>
    <row r="5" spans="1:13" x14ac:dyDescent="0.2">
      <c r="A5" s="1" t="s">
        <v>91</v>
      </c>
      <c r="B5" s="91">
        <v>0.03</v>
      </c>
    </row>
    <row r="6" spans="1:13" x14ac:dyDescent="0.2">
      <c r="A6" s="1" t="s">
        <v>92</v>
      </c>
      <c r="B6" s="92">
        <f>'[1]SCHEDULE MJL-D4'!D14</f>
        <v>5.5910000000000001E-2</v>
      </c>
    </row>
    <row r="8" spans="1:13" x14ac:dyDescent="0.2">
      <c r="B8" s="93">
        <v>2023</v>
      </c>
      <c r="C8" s="93">
        <v>2024</v>
      </c>
      <c r="D8" s="93">
        <v>2025</v>
      </c>
      <c r="E8" s="93">
        <v>2026</v>
      </c>
      <c r="F8" s="93">
        <v>2027</v>
      </c>
      <c r="G8" s="93">
        <v>2028</v>
      </c>
      <c r="H8" s="93">
        <v>2029</v>
      </c>
      <c r="I8" s="93">
        <v>2030</v>
      </c>
      <c r="J8" s="93">
        <v>2031</v>
      </c>
      <c r="K8" s="93">
        <v>2032</v>
      </c>
    </row>
    <row r="9" spans="1:13" x14ac:dyDescent="0.2">
      <c r="A9" s="1" t="s">
        <v>93</v>
      </c>
      <c r="B9" s="94">
        <v>118220</v>
      </c>
      <c r="C9" s="94">
        <f t="shared" ref="C9:K9" si="0">B9*(1+$B$5)</f>
        <v>121766.6</v>
      </c>
      <c r="D9" s="94">
        <f t="shared" si="0"/>
        <v>125419.59800000001</v>
      </c>
      <c r="E9" s="94">
        <f t="shared" si="0"/>
        <v>129182.18594000001</v>
      </c>
      <c r="F9" s="94">
        <f t="shared" si="0"/>
        <v>133057.6515182</v>
      </c>
      <c r="G9" s="94">
        <f t="shared" si="0"/>
        <v>137049.381063746</v>
      </c>
      <c r="H9" s="94">
        <f t="shared" si="0"/>
        <v>141160.8624956584</v>
      </c>
      <c r="I9" s="94">
        <f t="shared" si="0"/>
        <v>145395.68837052817</v>
      </c>
      <c r="J9" s="94">
        <f t="shared" si="0"/>
        <v>149757.559021644</v>
      </c>
      <c r="K9" s="94">
        <f t="shared" si="0"/>
        <v>154250.28579229332</v>
      </c>
      <c r="L9" s="94"/>
      <c r="M9" s="94"/>
    </row>
    <row r="10" spans="1:13" x14ac:dyDescent="0.2">
      <c r="A10" s="1" t="s">
        <v>94</v>
      </c>
      <c r="B10" s="95">
        <v>878602</v>
      </c>
      <c r="C10" s="95">
        <f t="shared" ref="C10:H10" si="1">B10</f>
        <v>878602</v>
      </c>
      <c r="D10" s="95">
        <f t="shared" si="1"/>
        <v>878602</v>
      </c>
      <c r="E10" s="95">
        <f t="shared" si="1"/>
        <v>878602</v>
      </c>
      <c r="F10" s="95">
        <f t="shared" si="1"/>
        <v>878602</v>
      </c>
      <c r="G10" s="95">
        <f t="shared" si="1"/>
        <v>878602</v>
      </c>
      <c r="H10" s="95">
        <f t="shared" si="1"/>
        <v>878602</v>
      </c>
      <c r="I10" s="95">
        <v>0</v>
      </c>
      <c r="J10" s="95">
        <v>0</v>
      </c>
      <c r="K10" s="95">
        <v>0</v>
      </c>
      <c r="L10" s="94"/>
      <c r="M10" s="94"/>
    </row>
    <row r="11" spans="1:13" x14ac:dyDescent="0.2">
      <c r="A11" s="1" t="s">
        <v>21</v>
      </c>
      <c r="B11" s="94">
        <f>SUM(B9:B10)</f>
        <v>996822</v>
      </c>
      <c r="C11" s="94">
        <f>SUM(C9:C10)</f>
        <v>1000368.6</v>
      </c>
      <c r="D11" s="94">
        <f t="shared" ref="D11:K11" si="2">SUM(D9:D10)</f>
        <v>1004021.598</v>
      </c>
      <c r="E11" s="94">
        <f t="shared" si="2"/>
        <v>1007784.18594</v>
      </c>
      <c r="F11" s="94">
        <f t="shared" si="2"/>
        <v>1011659.6515182001</v>
      </c>
      <c r="G11" s="94">
        <f t="shared" si="2"/>
        <v>1015651.3810637461</v>
      </c>
      <c r="H11" s="94">
        <f t="shared" si="2"/>
        <v>1019762.8624956585</v>
      </c>
      <c r="I11" s="94">
        <f t="shared" si="2"/>
        <v>145395.68837052817</v>
      </c>
      <c r="J11" s="94">
        <f t="shared" si="2"/>
        <v>149757.559021644</v>
      </c>
      <c r="K11" s="94">
        <f t="shared" si="2"/>
        <v>154250.28579229332</v>
      </c>
      <c r="L11" s="94"/>
      <c r="M11" s="94"/>
    </row>
    <row r="12" spans="1:13" x14ac:dyDescent="0.2"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</row>
    <row r="13" spans="1:13" ht="15.75" thickBot="1" x14ac:dyDescent="0.25">
      <c r="B13" s="94"/>
      <c r="C13" s="97" t="s">
        <v>95</v>
      </c>
      <c r="D13" s="96">
        <f>NPV(B6, D11:M11)</f>
        <v>4615041.630974682</v>
      </c>
      <c r="E13" s="94"/>
      <c r="F13" s="94"/>
      <c r="G13" s="94"/>
      <c r="H13" s="94"/>
      <c r="I13" s="94"/>
      <c r="J13" s="94"/>
      <c r="K13" s="94"/>
      <c r="L13" s="94"/>
      <c r="M13" s="94"/>
    </row>
    <row r="14" spans="1:13" ht="15.75" thickTop="1" x14ac:dyDescent="0.2"/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3"/>
  <sheetViews>
    <sheetView zoomScale="55" zoomScaleNormal="55" workbookViewId="0">
      <selection activeCell="S34" sqref="S34"/>
    </sheetView>
  </sheetViews>
  <sheetFormatPr defaultRowHeight="15" x14ac:dyDescent="0.2"/>
  <cols>
    <col min="1" max="1" width="12.6640625" customWidth="1"/>
    <col min="2" max="2" width="13.77734375" customWidth="1"/>
    <col min="3" max="3" width="16.77734375" customWidth="1"/>
    <col min="4" max="4" width="16.21875" bestFit="1" customWidth="1"/>
    <col min="5" max="5" width="13.5546875" customWidth="1"/>
    <col min="6" max="6" width="12.88671875" customWidth="1"/>
    <col min="7" max="7" width="10.21875" customWidth="1"/>
    <col min="8" max="8" width="13.88671875" customWidth="1"/>
    <col min="9" max="9" width="22.21875" customWidth="1"/>
    <col min="10" max="10" width="13.21875" customWidth="1"/>
    <col min="12" max="12" width="13.77734375" bestFit="1" customWidth="1"/>
    <col min="14" max="14" width="22.44140625" bestFit="1" customWidth="1"/>
    <col min="258" max="258" width="12.6640625" customWidth="1"/>
    <col min="259" max="259" width="13.77734375" customWidth="1"/>
    <col min="260" max="260" width="16.77734375" customWidth="1"/>
    <col min="261" max="261" width="16.21875" bestFit="1" customWidth="1"/>
    <col min="262" max="262" width="13.5546875" customWidth="1"/>
    <col min="263" max="263" width="12.88671875" customWidth="1"/>
    <col min="264" max="264" width="10.21875" customWidth="1"/>
    <col min="265" max="265" width="13.88671875" customWidth="1"/>
    <col min="266" max="266" width="22.21875" customWidth="1"/>
    <col min="268" max="268" width="12.21875" bestFit="1" customWidth="1"/>
    <col min="270" max="270" width="22.44140625" bestFit="1" customWidth="1"/>
    <col min="514" max="514" width="12.6640625" customWidth="1"/>
    <col min="515" max="515" width="13.77734375" customWidth="1"/>
    <col min="516" max="516" width="16.77734375" customWidth="1"/>
    <col min="517" max="517" width="16.21875" bestFit="1" customWidth="1"/>
    <col min="518" max="518" width="13.5546875" customWidth="1"/>
    <col min="519" max="519" width="12.88671875" customWidth="1"/>
    <col min="520" max="520" width="10.21875" customWidth="1"/>
    <col min="521" max="521" width="13.88671875" customWidth="1"/>
    <col min="522" max="522" width="22.21875" customWidth="1"/>
    <col min="524" max="524" width="12.21875" bestFit="1" customWidth="1"/>
    <col min="526" max="526" width="22.44140625" bestFit="1" customWidth="1"/>
    <col min="770" max="770" width="12.6640625" customWidth="1"/>
    <col min="771" max="771" width="13.77734375" customWidth="1"/>
    <col min="772" max="772" width="16.77734375" customWidth="1"/>
    <col min="773" max="773" width="16.21875" bestFit="1" customWidth="1"/>
    <col min="774" max="774" width="13.5546875" customWidth="1"/>
    <col min="775" max="775" width="12.88671875" customWidth="1"/>
    <col min="776" max="776" width="10.21875" customWidth="1"/>
    <col min="777" max="777" width="13.88671875" customWidth="1"/>
    <col min="778" max="778" width="22.21875" customWidth="1"/>
    <col min="780" max="780" width="12.21875" bestFit="1" customWidth="1"/>
    <col min="782" max="782" width="22.44140625" bestFit="1" customWidth="1"/>
    <col min="1026" max="1026" width="12.6640625" customWidth="1"/>
    <col min="1027" max="1027" width="13.77734375" customWidth="1"/>
    <col min="1028" max="1028" width="16.77734375" customWidth="1"/>
    <col min="1029" max="1029" width="16.21875" bestFit="1" customWidth="1"/>
    <col min="1030" max="1030" width="13.5546875" customWidth="1"/>
    <col min="1031" max="1031" width="12.88671875" customWidth="1"/>
    <col min="1032" max="1032" width="10.21875" customWidth="1"/>
    <col min="1033" max="1033" width="13.88671875" customWidth="1"/>
    <col min="1034" max="1034" width="22.21875" customWidth="1"/>
    <col min="1036" max="1036" width="12.21875" bestFit="1" customWidth="1"/>
    <col min="1038" max="1038" width="22.44140625" bestFit="1" customWidth="1"/>
    <col min="1282" max="1282" width="12.6640625" customWidth="1"/>
    <col min="1283" max="1283" width="13.77734375" customWidth="1"/>
    <col min="1284" max="1284" width="16.77734375" customWidth="1"/>
    <col min="1285" max="1285" width="16.21875" bestFit="1" customWidth="1"/>
    <col min="1286" max="1286" width="13.5546875" customWidth="1"/>
    <col min="1287" max="1287" width="12.88671875" customWidth="1"/>
    <col min="1288" max="1288" width="10.21875" customWidth="1"/>
    <col min="1289" max="1289" width="13.88671875" customWidth="1"/>
    <col min="1290" max="1290" width="22.21875" customWidth="1"/>
    <col min="1292" max="1292" width="12.21875" bestFit="1" customWidth="1"/>
    <col min="1294" max="1294" width="22.44140625" bestFit="1" customWidth="1"/>
    <col min="1538" max="1538" width="12.6640625" customWidth="1"/>
    <col min="1539" max="1539" width="13.77734375" customWidth="1"/>
    <col min="1540" max="1540" width="16.77734375" customWidth="1"/>
    <col min="1541" max="1541" width="16.21875" bestFit="1" customWidth="1"/>
    <col min="1542" max="1542" width="13.5546875" customWidth="1"/>
    <col min="1543" max="1543" width="12.88671875" customWidth="1"/>
    <col min="1544" max="1544" width="10.21875" customWidth="1"/>
    <col min="1545" max="1545" width="13.88671875" customWidth="1"/>
    <col min="1546" max="1546" width="22.21875" customWidth="1"/>
    <col min="1548" max="1548" width="12.21875" bestFit="1" customWidth="1"/>
    <col min="1550" max="1550" width="22.44140625" bestFit="1" customWidth="1"/>
    <col min="1794" max="1794" width="12.6640625" customWidth="1"/>
    <col min="1795" max="1795" width="13.77734375" customWidth="1"/>
    <col min="1796" max="1796" width="16.77734375" customWidth="1"/>
    <col min="1797" max="1797" width="16.21875" bestFit="1" customWidth="1"/>
    <col min="1798" max="1798" width="13.5546875" customWidth="1"/>
    <col min="1799" max="1799" width="12.88671875" customWidth="1"/>
    <col min="1800" max="1800" width="10.21875" customWidth="1"/>
    <col min="1801" max="1801" width="13.88671875" customWidth="1"/>
    <col min="1802" max="1802" width="22.21875" customWidth="1"/>
    <col min="1804" max="1804" width="12.21875" bestFit="1" customWidth="1"/>
    <col min="1806" max="1806" width="22.44140625" bestFit="1" customWidth="1"/>
    <col min="2050" max="2050" width="12.6640625" customWidth="1"/>
    <col min="2051" max="2051" width="13.77734375" customWidth="1"/>
    <col min="2052" max="2052" width="16.77734375" customWidth="1"/>
    <col min="2053" max="2053" width="16.21875" bestFit="1" customWidth="1"/>
    <col min="2054" max="2054" width="13.5546875" customWidth="1"/>
    <col min="2055" max="2055" width="12.88671875" customWidth="1"/>
    <col min="2056" max="2056" width="10.21875" customWidth="1"/>
    <col min="2057" max="2057" width="13.88671875" customWidth="1"/>
    <col min="2058" max="2058" width="22.21875" customWidth="1"/>
    <col min="2060" max="2060" width="12.21875" bestFit="1" customWidth="1"/>
    <col min="2062" max="2062" width="22.44140625" bestFit="1" customWidth="1"/>
    <col min="2306" max="2306" width="12.6640625" customWidth="1"/>
    <col min="2307" max="2307" width="13.77734375" customWidth="1"/>
    <col min="2308" max="2308" width="16.77734375" customWidth="1"/>
    <col min="2309" max="2309" width="16.21875" bestFit="1" customWidth="1"/>
    <col min="2310" max="2310" width="13.5546875" customWidth="1"/>
    <col min="2311" max="2311" width="12.88671875" customWidth="1"/>
    <col min="2312" max="2312" width="10.21875" customWidth="1"/>
    <col min="2313" max="2313" width="13.88671875" customWidth="1"/>
    <col min="2314" max="2314" width="22.21875" customWidth="1"/>
    <col min="2316" max="2316" width="12.21875" bestFit="1" customWidth="1"/>
    <col min="2318" max="2318" width="22.44140625" bestFit="1" customWidth="1"/>
    <col min="2562" max="2562" width="12.6640625" customWidth="1"/>
    <col min="2563" max="2563" width="13.77734375" customWidth="1"/>
    <col min="2564" max="2564" width="16.77734375" customWidth="1"/>
    <col min="2565" max="2565" width="16.21875" bestFit="1" customWidth="1"/>
    <col min="2566" max="2566" width="13.5546875" customWidth="1"/>
    <col min="2567" max="2567" width="12.88671875" customWidth="1"/>
    <col min="2568" max="2568" width="10.21875" customWidth="1"/>
    <col min="2569" max="2569" width="13.88671875" customWidth="1"/>
    <col min="2570" max="2570" width="22.21875" customWidth="1"/>
    <col min="2572" max="2572" width="12.21875" bestFit="1" customWidth="1"/>
    <col min="2574" max="2574" width="22.44140625" bestFit="1" customWidth="1"/>
    <col min="2818" max="2818" width="12.6640625" customWidth="1"/>
    <col min="2819" max="2819" width="13.77734375" customWidth="1"/>
    <col min="2820" max="2820" width="16.77734375" customWidth="1"/>
    <col min="2821" max="2821" width="16.21875" bestFit="1" customWidth="1"/>
    <col min="2822" max="2822" width="13.5546875" customWidth="1"/>
    <col min="2823" max="2823" width="12.88671875" customWidth="1"/>
    <col min="2824" max="2824" width="10.21875" customWidth="1"/>
    <col min="2825" max="2825" width="13.88671875" customWidth="1"/>
    <col min="2826" max="2826" width="22.21875" customWidth="1"/>
    <col min="2828" max="2828" width="12.21875" bestFit="1" customWidth="1"/>
    <col min="2830" max="2830" width="22.44140625" bestFit="1" customWidth="1"/>
    <col min="3074" max="3074" width="12.6640625" customWidth="1"/>
    <col min="3075" max="3075" width="13.77734375" customWidth="1"/>
    <col min="3076" max="3076" width="16.77734375" customWidth="1"/>
    <col min="3077" max="3077" width="16.21875" bestFit="1" customWidth="1"/>
    <col min="3078" max="3078" width="13.5546875" customWidth="1"/>
    <col min="3079" max="3079" width="12.88671875" customWidth="1"/>
    <col min="3080" max="3080" width="10.21875" customWidth="1"/>
    <col min="3081" max="3081" width="13.88671875" customWidth="1"/>
    <col min="3082" max="3082" width="22.21875" customWidth="1"/>
    <col min="3084" max="3084" width="12.21875" bestFit="1" customWidth="1"/>
    <col min="3086" max="3086" width="22.44140625" bestFit="1" customWidth="1"/>
    <col min="3330" max="3330" width="12.6640625" customWidth="1"/>
    <col min="3331" max="3331" width="13.77734375" customWidth="1"/>
    <col min="3332" max="3332" width="16.77734375" customWidth="1"/>
    <col min="3333" max="3333" width="16.21875" bestFit="1" customWidth="1"/>
    <col min="3334" max="3334" width="13.5546875" customWidth="1"/>
    <col min="3335" max="3335" width="12.88671875" customWidth="1"/>
    <col min="3336" max="3336" width="10.21875" customWidth="1"/>
    <col min="3337" max="3337" width="13.88671875" customWidth="1"/>
    <col min="3338" max="3338" width="22.21875" customWidth="1"/>
    <col min="3340" max="3340" width="12.21875" bestFit="1" customWidth="1"/>
    <col min="3342" max="3342" width="22.44140625" bestFit="1" customWidth="1"/>
    <col min="3586" max="3586" width="12.6640625" customWidth="1"/>
    <col min="3587" max="3587" width="13.77734375" customWidth="1"/>
    <col min="3588" max="3588" width="16.77734375" customWidth="1"/>
    <col min="3589" max="3589" width="16.21875" bestFit="1" customWidth="1"/>
    <col min="3590" max="3590" width="13.5546875" customWidth="1"/>
    <col min="3591" max="3591" width="12.88671875" customWidth="1"/>
    <col min="3592" max="3592" width="10.21875" customWidth="1"/>
    <col min="3593" max="3593" width="13.88671875" customWidth="1"/>
    <col min="3594" max="3594" width="22.21875" customWidth="1"/>
    <col min="3596" max="3596" width="12.21875" bestFit="1" customWidth="1"/>
    <col min="3598" max="3598" width="22.44140625" bestFit="1" customWidth="1"/>
    <col min="3842" max="3842" width="12.6640625" customWidth="1"/>
    <col min="3843" max="3843" width="13.77734375" customWidth="1"/>
    <col min="3844" max="3844" width="16.77734375" customWidth="1"/>
    <col min="3845" max="3845" width="16.21875" bestFit="1" customWidth="1"/>
    <col min="3846" max="3846" width="13.5546875" customWidth="1"/>
    <col min="3847" max="3847" width="12.88671875" customWidth="1"/>
    <col min="3848" max="3848" width="10.21875" customWidth="1"/>
    <col min="3849" max="3849" width="13.88671875" customWidth="1"/>
    <col min="3850" max="3850" width="22.21875" customWidth="1"/>
    <col min="3852" max="3852" width="12.21875" bestFit="1" customWidth="1"/>
    <col min="3854" max="3854" width="22.44140625" bestFit="1" customWidth="1"/>
    <col min="4098" max="4098" width="12.6640625" customWidth="1"/>
    <col min="4099" max="4099" width="13.77734375" customWidth="1"/>
    <col min="4100" max="4100" width="16.77734375" customWidth="1"/>
    <col min="4101" max="4101" width="16.21875" bestFit="1" customWidth="1"/>
    <col min="4102" max="4102" width="13.5546875" customWidth="1"/>
    <col min="4103" max="4103" width="12.88671875" customWidth="1"/>
    <col min="4104" max="4104" width="10.21875" customWidth="1"/>
    <col min="4105" max="4105" width="13.88671875" customWidth="1"/>
    <col min="4106" max="4106" width="22.21875" customWidth="1"/>
    <col min="4108" max="4108" width="12.21875" bestFit="1" customWidth="1"/>
    <col min="4110" max="4110" width="22.44140625" bestFit="1" customWidth="1"/>
    <col min="4354" max="4354" width="12.6640625" customWidth="1"/>
    <col min="4355" max="4355" width="13.77734375" customWidth="1"/>
    <col min="4356" max="4356" width="16.77734375" customWidth="1"/>
    <col min="4357" max="4357" width="16.21875" bestFit="1" customWidth="1"/>
    <col min="4358" max="4358" width="13.5546875" customWidth="1"/>
    <col min="4359" max="4359" width="12.88671875" customWidth="1"/>
    <col min="4360" max="4360" width="10.21875" customWidth="1"/>
    <col min="4361" max="4361" width="13.88671875" customWidth="1"/>
    <col min="4362" max="4362" width="22.21875" customWidth="1"/>
    <col min="4364" max="4364" width="12.21875" bestFit="1" customWidth="1"/>
    <col min="4366" max="4366" width="22.44140625" bestFit="1" customWidth="1"/>
    <col min="4610" max="4610" width="12.6640625" customWidth="1"/>
    <col min="4611" max="4611" width="13.77734375" customWidth="1"/>
    <col min="4612" max="4612" width="16.77734375" customWidth="1"/>
    <col min="4613" max="4613" width="16.21875" bestFit="1" customWidth="1"/>
    <col min="4614" max="4614" width="13.5546875" customWidth="1"/>
    <col min="4615" max="4615" width="12.88671875" customWidth="1"/>
    <col min="4616" max="4616" width="10.21875" customWidth="1"/>
    <col min="4617" max="4617" width="13.88671875" customWidth="1"/>
    <col min="4618" max="4618" width="22.21875" customWidth="1"/>
    <col min="4620" max="4620" width="12.21875" bestFit="1" customWidth="1"/>
    <col min="4622" max="4622" width="22.44140625" bestFit="1" customWidth="1"/>
    <col min="4866" max="4866" width="12.6640625" customWidth="1"/>
    <col min="4867" max="4867" width="13.77734375" customWidth="1"/>
    <col min="4868" max="4868" width="16.77734375" customWidth="1"/>
    <col min="4869" max="4869" width="16.21875" bestFit="1" customWidth="1"/>
    <col min="4870" max="4870" width="13.5546875" customWidth="1"/>
    <col min="4871" max="4871" width="12.88671875" customWidth="1"/>
    <col min="4872" max="4872" width="10.21875" customWidth="1"/>
    <col min="4873" max="4873" width="13.88671875" customWidth="1"/>
    <col min="4874" max="4874" width="22.21875" customWidth="1"/>
    <col min="4876" max="4876" width="12.21875" bestFit="1" customWidth="1"/>
    <col min="4878" max="4878" width="22.44140625" bestFit="1" customWidth="1"/>
    <col min="5122" max="5122" width="12.6640625" customWidth="1"/>
    <col min="5123" max="5123" width="13.77734375" customWidth="1"/>
    <col min="5124" max="5124" width="16.77734375" customWidth="1"/>
    <col min="5125" max="5125" width="16.21875" bestFit="1" customWidth="1"/>
    <col min="5126" max="5126" width="13.5546875" customWidth="1"/>
    <col min="5127" max="5127" width="12.88671875" customWidth="1"/>
    <col min="5128" max="5128" width="10.21875" customWidth="1"/>
    <col min="5129" max="5129" width="13.88671875" customWidth="1"/>
    <col min="5130" max="5130" width="22.21875" customWidth="1"/>
    <col min="5132" max="5132" width="12.21875" bestFit="1" customWidth="1"/>
    <col min="5134" max="5134" width="22.44140625" bestFit="1" customWidth="1"/>
    <col min="5378" max="5378" width="12.6640625" customWidth="1"/>
    <col min="5379" max="5379" width="13.77734375" customWidth="1"/>
    <col min="5380" max="5380" width="16.77734375" customWidth="1"/>
    <col min="5381" max="5381" width="16.21875" bestFit="1" customWidth="1"/>
    <col min="5382" max="5382" width="13.5546875" customWidth="1"/>
    <col min="5383" max="5383" width="12.88671875" customWidth="1"/>
    <col min="5384" max="5384" width="10.21875" customWidth="1"/>
    <col min="5385" max="5385" width="13.88671875" customWidth="1"/>
    <col min="5386" max="5386" width="22.21875" customWidth="1"/>
    <col min="5388" max="5388" width="12.21875" bestFit="1" customWidth="1"/>
    <col min="5390" max="5390" width="22.44140625" bestFit="1" customWidth="1"/>
    <col min="5634" max="5634" width="12.6640625" customWidth="1"/>
    <col min="5635" max="5635" width="13.77734375" customWidth="1"/>
    <col min="5636" max="5636" width="16.77734375" customWidth="1"/>
    <col min="5637" max="5637" width="16.21875" bestFit="1" customWidth="1"/>
    <col min="5638" max="5638" width="13.5546875" customWidth="1"/>
    <col min="5639" max="5639" width="12.88671875" customWidth="1"/>
    <col min="5640" max="5640" width="10.21875" customWidth="1"/>
    <col min="5641" max="5641" width="13.88671875" customWidth="1"/>
    <col min="5642" max="5642" width="22.21875" customWidth="1"/>
    <col min="5644" max="5644" width="12.21875" bestFit="1" customWidth="1"/>
    <col min="5646" max="5646" width="22.44140625" bestFit="1" customWidth="1"/>
    <col min="5890" max="5890" width="12.6640625" customWidth="1"/>
    <col min="5891" max="5891" width="13.77734375" customWidth="1"/>
    <col min="5892" max="5892" width="16.77734375" customWidth="1"/>
    <col min="5893" max="5893" width="16.21875" bestFit="1" customWidth="1"/>
    <col min="5894" max="5894" width="13.5546875" customWidth="1"/>
    <col min="5895" max="5895" width="12.88671875" customWidth="1"/>
    <col min="5896" max="5896" width="10.21875" customWidth="1"/>
    <col min="5897" max="5897" width="13.88671875" customWidth="1"/>
    <col min="5898" max="5898" width="22.21875" customWidth="1"/>
    <col min="5900" max="5900" width="12.21875" bestFit="1" customWidth="1"/>
    <col min="5902" max="5902" width="22.44140625" bestFit="1" customWidth="1"/>
    <col min="6146" max="6146" width="12.6640625" customWidth="1"/>
    <col min="6147" max="6147" width="13.77734375" customWidth="1"/>
    <col min="6148" max="6148" width="16.77734375" customWidth="1"/>
    <col min="6149" max="6149" width="16.21875" bestFit="1" customWidth="1"/>
    <col min="6150" max="6150" width="13.5546875" customWidth="1"/>
    <col min="6151" max="6151" width="12.88671875" customWidth="1"/>
    <col min="6152" max="6152" width="10.21875" customWidth="1"/>
    <col min="6153" max="6153" width="13.88671875" customWidth="1"/>
    <col min="6154" max="6154" width="22.21875" customWidth="1"/>
    <col min="6156" max="6156" width="12.21875" bestFit="1" customWidth="1"/>
    <col min="6158" max="6158" width="22.44140625" bestFit="1" customWidth="1"/>
    <col min="6402" max="6402" width="12.6640625" customWidth="1"/>
    <col min="6403" max="6403" width="13.77734375" customWidth="1"/>
    <col min="6404" max="6404" width="16.77734375" customWidth="1"/>
    <col min="6405" max="6405" width="16.21875" bestFit="1" customWidth="1"/>
    <col min="6406" max="6406" width="13.5546875" customWidth="1"/>
    <col min="6407" max="6407" width="12.88671875" customWidth="1"/>
    <col min="6408" max="6408" width="10.21875" customWidth="1"/>
    <col min="6409" max="6409" width="13.88671875" customWidth="1"/>
    <col min="6410" max="6410" width="22.21875" customWidth="1"/>
    <col min="6412" max="6412" width="12.21875" bestFit="1" customWidth="1"/>
    <col min="6414" max="6414" width="22.44140625" bestFit="1" customWidth="1"/>
    <col min="6658" max="6658" width="12.6640625" customWidth="1"/>
    <col min="6659" max="6659" width="13.77734375" customWidth="1"/>
    <col min="6660" max="6660" width="16.77734375" customWidth="1"/>
    <col min="6661" max="6661" width="16.21875" bestFit="1" customWidth="1"/>
    <col min="6662" max="6662" width="13.5546875" customWidth="1"/>
    <col min="6663" max="6663" width="12.88671875" customWidth="1"/>
    <col min="6664" max="6664" width="10.21875" customWidth="1"/>
    <col min="6665" max="6665" width="13.88671875" customWidth="1"/>
    <col min="6666" max="6666" width="22.21875" customWidth="1"/>
    <col min="6668" max="6668" width="12.21875" bestFit="1" customWidth="1"/>
    <col min="6670" max="6670" width="22.44140625" bestFit="1" customWidth="1"/>
    <col min="6914" max="6914" width="12.6640625" customWidth="1"/>
    <col min="6915" max="6915" width="13.77734375" customWidth="1"/>
    <col min="6916" max="6916" width="16.77734375" customWidth="1"/>
    <col min="6917" max="6917" width="16.21875" bestFit="1" customWidth="1"/>
    <col min="6918" max="6918" width="13.5546875" customWidth="1"/>
    <col min="6919" max="6919" width="12.88671875" customWidth="1"/>
    <col min="6920" max="6920" width="10.21875" customWidth="1"/>
    <col min="6921" max="6921" width="13.88671875" customWidth="1"/>
    <col min="6922" max="6922" width="22.21875" customWidth="1"/>
    <col min="6924" max="6924" width="12.21875" bestFit="1" customWidth="1"/>
    <col min="6926" max="6926" width="22.44140625" bestFit="1" customWidth="1"/>
    <col min="7170" max="7170" width="12.6640625" customWidth="1"/>
    <col min="7171" max="7171" width="13.77734375" customWidth="1"/>
    <col min="7172" max="7172" width="16.77734375" customWidth="1"/>
    <col min="7173" max="7173" width="16.21875" bestFit="1" customWidth="1"/>
    <col min="7174" max="7174" width="13.5546875" customWidth="1"/>
    <col min="7175" max="7175" width="12.88671875" customWidth="1"/>
    <col min="7176" max="7176" width="10.21875" customWidth="1"/>
    <col min="7177" max="7177" width="13.88671875" customWidth="1"/>
    <col min="7178" max="7178" width="22.21875" customWidth="1"/>
    <col min="7180" max="7180" width="12.21875" bestFit="1" customWidth="1"/>
    <col min="7182" max="7182" width="22.44140625" bestFit="1" customWidth="1"/>
    <col min="7426" max="7426" width="12.6640625" customWidth="1"/>
    <col min="7427" max="7427" width="13.77734375" customWidth="1"/>
    <col min="7428" max="7428" width="16.77734375" customWidth="1"/>
    <col min="7429" max="7429" width="16.21875" bestFit="1" customWidth="1"/>
    <col min="7430" max="7430" width="13.5546875" customWidth="1"/>
    <col min="7431" max="7431" width="12.88671875" customWidth="1"/>
    <col min="7432" max="7432" width="10.21875" customWidth="1"/>
    <col min="7433" max="7433" width="13.88671875" customWidth="1"/>
    <col min="7434" max="7434" width="22.21875" customWidth="1"/>
    <col min="7436" max="7436" width="12.21875" bestFit="1" customWidth="1"/>
    <col min="7438" max="7438" width="22.44140625" bestFit="1" customWidth="1"/>
    <col min="7682" max="7682" width="12.6640625" customWidth="1"/>
    <col min="7683" max="7683" width="13.77734375" customWidth="1"/>
    <col min="7684" max="7684" width="16.77734375" customWidth="1"/>
    <col min="7685" max="7685" width="16.21875" bestFit="1" customWidth="1"/>
    <col min="7686" max="7686" width="13.5546875" customWidth="1"/>
    <col min="7687" max="7687" width="12.88671875" customWidth="1"/>
    <col min="7688" max="7688" width="10.21875" customWidth="1"/>
    <col min="7689" max="7689" width="13.88671875" customWidth="1"/>
    <col min="7690" max="7690" width="22.21875" customWidth="1"/>
    <col min="7692" max="7692" width="12.21875" bestFit="1" customWidth="1"/>
    <col min="7694" max="7694" width="22.44140625" bestFit="1" customWidth="1"/>
    <col min="7938" max="7938" width="12.6640625" customWidth="1"/>
    <col min="7939" max="7939" width="13.77734375" customWidth="1"/>
    <col min="7940" max="7940" width="16.77734375" customWidth="1"/>
    <col min="7941" max="7941" width="16.21875" bestFit="1" customWidth="1"/>
    <col min="7942" max="7942" width="13.5546875" customWidth="1"/>
    <col min="7943" max="7943" width="12.88671875" customWidth="1"/>
    <col min="7944" max="7944" width="10.21875" customWidth="1"/>
    <col min="7945" max="7945" width="13.88671875" customWidth="1"/>
    <col min="7946" max="7946" width="22.21875" customWidth="1"/>
    <col min="7948" max="7948" width="12.21875" bestFit="1" customWidth="1"/>
    <col min="7950" max="7950" width="22.44140625" bestFit="1" customWidth="1"/>
    <col min="8194" max="8194" width="12.6640625" customWidth="1"/>
    <col min="8195" max="8195" width="13.77734375" customWidth="1"/>
    <col min="8196" max="8196" width="16.77734375" customWidth="1"/>
    <col min="8197" max="8197" width="16.21875" bestFit="1" customWidth="1"/>
    <col min="8198" max="8198" width="13.5546875" customWidth="1"/>
    <col min="8199" max="8199" width="12.88671875" customWidth="1"/>
    <col min="8200" max="8200" width="10.21875" customWidth="1"/>
    <col min="8201" max="8201" width="13.88671875" customWidth="1"/>
    <col min="8202" max="8202" width="22.21875" customWidth="1"/>
    <col min="8204" max="8204" width="12.21875" bestFit="1" customWidth="1"/>
    <col min="8206" max="8206" width="22.44140625" bestFit="1" customWidth="1"/>
    <col min="8450" max="8450" width="12.6640625" customWidth="1"/>
    <col min="8451" max="8451" width="13.77734375" customWidth="1"/>
    <col min="8452" max="8452" width="16.77734375" customWidth="1"/>
    <col min="8453" max="8453" width="16.21875" bestFit="1" customWidth="1"/>
    <col min="8454" max="8454" width="13.5546875" customWidth="1"/>
    <col min="8455" max="8455" width="12.88671875" customWidth="1"/>
    <col min="8456" max="8456" width="10.21875" customWidth="1"/>
    <col min="8457" max="8457" width="13.88671875" customWidth="1"/>
    <col min="8458" max="8458" width="22.21875" customWidth="1"/>
    <col min="8460" max="8460" width="12.21875" bestFit="1" customWidth="1"/>
    <col min="8462" max="8462" width="22.44140625" bestFit="1" customWidth="1"/>
    <col min="8706" max="8706" width="12.6640625" customWidth="1"/>
    <col min="8707" max="8707" width="13.77734375" customWidth="1"/>
    <col min="8708" max="8708" width="16.77734375" customWidth="1"/>
    <col min="8709" max="8709" width="16.21875" bestFit="1" customWidth="1"/>
    <col min="8710" max="8710" width="13.5546875" customWidth="1"/>
    <col min="8711" max="8711" width="12.88671875" customWidth="1"/>
    <col min="8712" max="8712" width="10.21875" customWidth="1"/>
    <col min="8713" max="8713" width="13.88671875" customWidth="1"/>
    <col min="8714" max="8714" width="22.21875" customWidth="1"/>
    <col min="8716" max="8716" width="12.21875" bestFit="1" customWidth="1"/>
    <col min="8718" max="8718" width="22.44140625" bestFit="1" customWidth="1"/>
    <col min="8962" max="8962" width="12.6640625" customWidth="1"/>
    <col min="8963" max="8963" width="13.77734375" customWidth="1"/>
    <col min="8964" max="8964" width="16.77734375" customWidth="1"/>
    <col min="8965" max="8965" width="16.21875" bestFit="1" customWidth="1"/>
    <col min="8966" max="8966" width="13.5546875" customWidth="1"/>
    <col min="8967" max="8967" width="12.88671875" customWidth="1"/>
    <col min="8968" max="8968" width="10.21875" customWidth="1"/>
    <col min="8969" max="8969" width="13.88671875" customWidth="1"/>
    <col min="8970" max="8970" width="22.21875" customWidth="1"/>
    <col min="8972" max="8972" width="12.21875" bestFit="1" customWidth="1"/>
    <col min="8974" max="8974" width="22.44140625" bestFit="1" customWidth="1"/>
    <col min="9218" max="9218" width="12.6640625" customWidth="1"/>
    <col min="9219" max="9219" width="13.77734375" customWidth="1"/>
    <col min="9220" max="9220" width="16.77734375" customWidth="1"/>
    <col min="9221" max="9221" width="16.21875" bestFit="1" customWidth="1"/>
    <col min="9222" max="9222" width="13.5546875" customWidth="1"/>
    <col min="9223" max="9223" width="12.88671875" customWidth="1"/>
    <col min="9224" max="9224" width="10.21875" customWidth="1"/>
    <col min="9225" max="9225" width="13.88671875" customWidth="1"/>
    <col min="9226" max="9226" width="22.21875" customWidth="1"/>
    <col min="9228" max="9228" width="12.21875" bestFit="1" customWidth="1"/>
    <col min="9230" max="9230" width="22.44140625" bestFit="1" customWidth="1"/>
    <col min="9474" max="9474" width="12.6640625" customWidth="1"/>
    <col min="9475" max="9475" width="13.77734375" customWidth="1"/>
    <col min="9476" max="9476" width="16.77734375" customWidth="1"/>
    <col min="9477" max="9477" width="16.21875" bestFit="1" customWidth="1"/>
    <col min="9478" max="9478" width="13.5546875" customWidth="1"/>
    <col min="9479" max="9479" width="12.88671875" customWidth="1"/>
    <col min="9480" max="9480" width="10.21875" customWidth="1"/>
    <col min="9481" max="9481" width="13.88671875" customWidth="1"/>
    <col min="9482" max="9482" width="22.21875" customWidth="1"/>
    <col min="9484" max="9484" width="12.21875" bestFit="1" customWidth="1"/>
    <col min="9486" max="9486" width="22.44140625" bestFit="1" customWidth="1"/>
    <col min="9730" max="9730" width="12.6640625" customWidth="1"/>
    <col min="9731" max="9731" width="13.77734375" customWidth="1"/>
    <col min="9732" max="9732" width="16.77734375" customWidth="1"/>
    <col min="9733" max="9733" width="16.21875" bestFit="1" customWidth="1"/>
    <col min="9734" max="9734" width="13.5546875" customWidth="1"/>
    <col min="9735" max="9735" width="12.88671875" customWidth="1"/>
    <col min="9736" max="9736" width="10.21875" customWidth="1"/>
    <col min="9737" max="9737" width="13.88671875" customWidth="1"/>
    <col min="9738" max="9738" width="22.21875" customWidth="1"/>
    <col min="9740" max="9740" width="12.21875" bestFit="1" customWidth="1"/>
    <col min="9742" max="9742" width="22.44140625" bestFit="1" customWidth="1"/>
    <col min="9986" max="9986" width="12.6640625" customWidth="1"/>
    <col min="9987" max="9987" width="13.77734375" customWidth="1"/>
    <col min="9988" max="9988" width="16.77734375" customWidth="1"/>
    <col min="9989" max="9989" width="16.21875" bestFit="1" customWidth="1"/>
    <col min="9990" max="9990" width="13.5546875" customWidth="1"/>
    <col min="9991" max="9991" width="12.88671875" customWidth="1"/>
    <col min="9992" max="9992" width="10.21875" customWidth="1"/>
    <col min="9993" max="9993" width="13.88671875" customWidth="1"/>
    <col min="9994" max="9994" width="22.21875" customWidth="1"/>
    <col min="9996" max="9996" width="12.21875" bestFit="1" customWidth="1"/>
    <col min="9998" max="9998" width="22.44140625" bestFit="1" customWidth="1"/>
    <col min="10242" max="10242" width="12.6640625" customWidth="1"/>
    <col min="10243" max="10243" width="13.77734375" customWidth="1"/>
    <col min="10244" max="10244" width="16.77734375" customWidth="1"/>
    <col min="10245" max="10245" width="16.21875" bestFit="1" customWidth="1"/>
    <col min="10246" max="10246" width="13.5546875" customWidth="1"/>
    <col min="10247" max="10247" width="12.88671875" customWidth="1"/>
    <col min="10248" max="10248" width="10.21875" customWidth="1"/>
    <col min="10249" max="10249" width="13.88671875" customWidth="1"/>
    <col min="10250" max="10250" width="22.21875" customWidth="1"/>
    <col min="10252" max="10252" width="12.21875" bestFit="1" customWidth="1"/>
    <col min="10254" max="10254" width="22.44140625" bestFit="1" customWidth="1"/>
    <col min="10498" max="10498" width="12.6640625" customWidth="1"/>
    <col min="10499" max="10499" width="13.77734375" customWidth="1"/>
    <col min="10500" max="10500" width="16.77734375" customWidth="1"/>
    <col min="10501" max="10501" width="16.21875" bestFit="1" customWidth="1"/>
    <col min="10502" max="10502" width="13.5546875" customWidth="1"/>
    <col min="10503" max="10503" width="12.88671875" customWidth="1"/>
    <col min="10504" max="10504" width="10.21875" customWidth="1"/>
    <col min="10505" max="10505" width="13.88671875" customWidth="1"/>
    <col min="10506" max="10506" width="22.21875" customWidth="1"/>
    <col min="10508" max="10508" width="12.21875" bestFit="1" customWidth="1"/>
    <col min="10510" max="10510" width="22.44140625" bestFit="1" customWidth="1"/>
    <col min="10754" max="10754" width="12.6640625" customWidth="1"/>
    <col min="10755" max="10755" width="13.77734375" customWidth="1"/>
    <col min="10756" max="10756" width="16.77734375" customWidth="1"/>
    <col min="10757" max="10757" width="16.21875" bestFit="1" customWidth="1"/>
    <col min="10758" max="10758" width="13.5546875" customWidth="1"/>
    <col min="10759" max="10759" width="12.88671875" customWidth="1"/>
    <col min="10760" max="10760" width="10.21875" customWidth="1"/>
    <col min="10761" max="10761" width="13.88671875" customWidth="1"/>
    <col min="10762" max="10762" width="22.21875" customWidth="1"/>
    <col min="10764" max="10764" width="12.21875" bestFit="1" customWidth="1"/>
    <col min="10766" max="10766" width="22.44140625" bestFit="1" customWidth="1"/>
    <col min="11010" max="11010" width="12.6640625" customWidth="1"/>
    <col min="11011" max="11011" width="13.77734375" customWidth="1"/>
    <col min="11012" max="11012" width="16.77734375" customWidth="1"/>
    <col min="11013" max="11013" width="16.21875" bestFit="1" customWidth="1"/>
    <col min="11014" max="11014" width="13.5546875" customWidth="1"/>
    <col min="11015" max="11015" width="12.88671875" customWidth="1"/>
    <col min="11016" max="11016" width="10.21875" customWidth="1"/>
    <col min="11017" max="11017" width="13.88671875" customWidth="1"/>
    <col min="11018" max="11018" width="22.21875" customWidth="1"/>
    <col min="11020" max="11020" width="12.21875" bestFit="1" customWidth="1"/>
    <col min="11022" max="11022" width="22.44140625" bestFit="1" customWidth="1"/>
    <col min="11266" max="11266" width="12.6640625" customWidth="1"/>
    <col min="11267" max="11267" width="13.77734375" customWidth="1"/>
    <col min="11268" max="11268" width="16.77734375" customWidth="1"/>
    <col min="11269" max="11269" width="16.21875" bestFit="1" customWidth="1"/>
    <col min="11270" max="11270" width="13.5546875" customWidth="1"/>
    <col min="11271" max="11271" width="12.88671875" customWidth="1"/>
    <col min="11272" max="11272" width="10.21875" customWidth="1"/>
    <col min="11273" max="11273" width="13.88671875" customWidth="1"/>
    <col min="11274" max="11274" width="22.21875" customWidth="1"/>
    <col min="11276" max="11276" width="12.21875" bestFit="1" customWidth="1"/>
    <col min="11278" max="11278" width="22.44140625" bestFit="1" customWidth="1"/>
    <col min="11522" max="11522" width="12.6640625" customWidth="1"/>
    <col min="11523" max="11523" width="13.77734375" customWidth="1"/>
    <col min="11524" max="11524" width="16.77734375" customWidth="1"/>
    <col min="11525" max="11525" width="16.21875" bestFit="1" customWidth="1"/>
    <col min="11526" max="11526" width="13.5546875" customWidth="1"/>
    <col min="11527" max="11527" width="12.88671875" customWidth="1"/>
    <col min="11528" max="11528" width="10.21875" customWidth="1"/>
    <col min="11529" max="11529" width="13.88671875" customWidth="1"/>
    <col min="11530" max="11530" width="22.21875" customWidth="1"/>
    <col min="11532" max="11532" width="12.21875" bestFit="1" customWidth="1"/>
    <col min="11534" max="11534" width="22.44140625" bestFit="1" customWidth="1"/>
    <col min="11778" max="11778" width="12.6640625" customWidth="1"/>
    <col min="11779" max="11779" width="13.77734375" customWidth="1"/>
    <col min="11780" max="11780" width="16.77734375" customWidth="1"/>
    <col min="11781" max="11781" width="16.21875" bestFit="1" customWidth="1"/>
    <col min="11782" max="11782" width="13.5546875" customWidth="1"/>
    <col min="11783" max="11783" width="12.88671875" customWidth="1"/>
    <col min="11784" max="11784" width="10.21875" customWidth="1"/>
    <col min="11785" max="11785" width="13.88671875" customWidth="1"/>
    <col min="11786" max="11786" width="22.21875" customWidth="1"/>
    <col min="11788" max="11788" width="12.21875" bestFit="1" customWidth="1"/>
    <col min="11790" max="11790" width="22.44140625" bestFit="1" customWidth="1"/>
    <col min="12034" max="12034" width="12.6640625" customWidth="1"/>
    <col min="12035" max="12035" width="13.77734375" customWidth="1"/>
    <col min="12036" max="12036" width="16.77734375" customWidth="1"/>
    <col min="12037" max="12037" width="16.21875" bestFit="1" customWidth="1"/>
    <col min="12038" max="12038" width="13.5546875" customWidth="1"/>
    <col min="12039" max="12039" width="12.88671875" customWidth="1"/>
    <col min="12040" max="12040" width="10.21875" customWidth="1"/>
    <col min="12041" max="12041" width="13.88671875" customWidth="1"/>
    <col min="12042" max="12042" width="22.21875" customWidth="1"/>
    <col min="12044" max="12044" width="12.21875" bestFit="1" customWidth="1"/>
    <col min="12046" max="12046" width="22.44140625" bestFit="1" customWidth="1"/>
    <col min="12290" max="12290" width="12.6640625" customWidth="1"/>
    <col min="12291" max="12291" width="13.77734375" customWidth="1"/>
    <col min="12292" max="12292" width="16.77734375" customWidth="1"/>
    <col min="12293" max="12293" width="16.21875" bestFit="1" customWidth="1"/>
    <col min="12294" max="12294" width="13.5546875" customWidth="1"/>
    <col min="12295" max="12295" width="12.88671875" customWidth="1"/>
    <col min="12296" max="12296" width="10.21875" customWidth="1"/>
    <col min="12297" max="12297" width="13.88671875" customWidth="1"/>
    <col min="12298" max="12298" width="22.21875" customWidth="1"/>
    <col min="12300" max="12300" width="12.21875" bestFit="1" customWidth="1"/>
    <col min="12302" max="12302" width="22.44140625" bestFit="1" customWidth="1"/>
    <col min="12546" max="12546" width="12.6640625" customWidth="1"/>
    <col min="12547" max="12547" width="13.77734375" customWidth="1"/>
    <col min="12548" max="12548" width="16.77734375" customWidth="1"/>
    <col min="12549" max="12549" width="16.21875" bestFit="1" customWidth="1"/>
    <col min="12550" max="12550" width="13.5546875" customWidth="1"/>
    <col min="12551" max="12551" width="12.88671875" customWidth="1"/>
    <col min="12552" max="12552" width="10.21875" customWidth="1"/>
    <col min="12553" max="12553" width="13.88671875" customWidth="1"/>
    <col min="12554" max="12554" width="22.21875" customWidth="1"/>
    <col min="12556" max="12556" width="12.21875" bestFit="1" customWidth="1"/>
    <col min="12558" max="12558" width="22.44140625" bestFit="1" customWidth="1"/>
    <col min="12802" max="12802" width="12.6640625" customWidth="1"/>
    <col min="12803" max="12803" width="13.77734375" customWidth="1"/>
    <col min="12804" max="12804" width="16.77734375" customWidth="1"/>
    <col min="12805" max="12805" width="16.21875" bestFit="1" customWidth="1"/>
    <col min="12806" max="12806" width="13.5546875" customWidth="1"/>
    <col min="12807" max="12807" width="12.88671875" customWidth="1"/>
    <col min="12808" max="12808" width="10.21875" customWidth="1"/>
    <col min="12809" max="12809" width="13.88671875" customWidth="1"/>
    <col min="12810" max="12810" width="22.21875" customWidth="1"/>
    <col min="12812" max="12812" width="12.21875" bestFit="1" customWidth="1"/>
    <col min="12814" max="12814" width="22.44140625" bestFit="1" customWidth="1"/>
    <col min="13058" max="13058" width="12.6640625" customWidth="1"/>
    <col min="13059" max="13059" width="13.77734375" customWidth="1"/>
    <col min="13060" max="13060" width="16.77734375" customWidth="1"/>
    <col min="13061" max="13061" width="16.21875" bestFit="1" customWidth="1"/>
    <col min="13062" max="13062" width="13.5546875" customWidth="1"/>
    <col min="13063" max="13063" width="12.88671875" customWidth="1"/>
    <col min="13064" max="13064" width="10.21875" customWidth="1"/>
    <col min="13065" max="13065" width="13.88671875" customWidth="1"/>
    <col min="13066" max="13066" width="22.21875" customWidth="1"/>
    <col min="13068" max="13068" width="12.21875" bestFit="1" customWidth="1"/>
    <col min="13070" max="13070" width="22.44140625" bestFit="1" customWidth="1"/>
    <col min="13314" max="13314" width="12.6640625" customWidth="1"/>
    <col min="13315" max="13315" width="13.77734375" customWidth="1"/>
    <col min="13316" max="13316" width="16.77734375" customWidth="1"/>
    <col min="13317" max="13317" width="16.21875" bestFit="1" customWidth="1"/>
    <col min="13318" max="13318" width="13.5546875" customWidth="1"/>
    <col min="13319" max="13319" width="12.88671875" customWidth="1"/>
    <col min="13320" max="13320" width="10.21875" customWidth="1"/>
    <col min="13321" max="13321" width="13.88671875" customWidth="1"/>
    <col min="13322" max="13322" width="22.21875" customWidth="1"/>
    <col min="13324" max="13324" width="12.21875" bestFit="1" customWidth="1"/>
    <col min="13326" max="13326" width="22.44140625" bestFit="1" customWidth="1"/>
    <col min="13570" max="13570" width="12.6640625" customWidth="1"/>
    <col min="13571" max="13571" width="13.77734375" customWidth="1"/>
    <col min="13572" max="13572" width="16.77734375" customWidth="1"/>
    <col min="13573" max="13573" width="16.21875" bestFit="1" customWidth="1"/>
    <col min="13574" max="13574" width="13.5546875" customWidth="1"/>
    <col min="13575" max="13575" width="12.88671875" customWidth="1"/>
    <col min="13576" max="13576" width="10.21875" customWidth="1"/>
    <col min="13577" max="13577" width="13.88671875" customWidth="1"/>
    <col min="13578" max="13578" width="22.21875" customWidth="1"/>
    <col min="13580" max="13580" width="12.21875" bestFit="1" customWidth="1"/>
    <col min="13582" max="13582" width="22.44140625" bestFit="1" customWidth="1"/>
    <col min="13826" max="13826" width="12.6640625" customWidth="1"/>
    <col min="13827" max="13827" width="13.77734375" customWidth="1"/>
    <col min="13828" max="13828" width="16.77734375" customWidth="1"/>
    <col min="13829" max="13829" width="16.21875" bestFit="1" customWidth="1"/>
    <col min="13830" max="13830" width="13.5546875" customWidth="1"/>
    <col min="13831" max="13831" width="12.88671875" customWidth="1"/>
    <col min="13832" max="13832" width="10.21875" customWidth="1"/>
    <col min="13833" max="13833" width="13.88671875" customWidth="1"/>
    <col min="13834" max="13834" width="22.21875" customWidth="1"/>
    <col min="13836" max="13836" width="12.21875" bestFit="1" customWidth="1"/>
    <col min="13838" max="13838" width="22.44140625" bestFit="1" customWidth="1"/>
    <col min="14082" max="14082" width="12.6640625" customWidth="1"/>
    <col min="14083" max="14083" width="13.77734375" customWidth="1"/>
    <col min="14084" max="14084" width="16.77734375" customWidth="1"/>
    <col min="14085" max="14085" width="16.21875" bestFit="1" customWidth="1"/>
    <col min="14086" max="14086" width="13.5546875" customWidth="1"/>
    <col min="14087" max="14087" width="12.88671875" customWidth="1"/>
    <col min="14088" max="14088" width="10.21875" customWidth="1"/>
    <col min="14089" max="14089" width="13.88671875" customWidth="1"/>
    <col min="14090" max="14090" width="22.21875" customWidth="1"/>
    <col min="14092" max="14092" width="12.21875" bestFit="1" customWidth="1"/>
    <col min="14094" max="14094" width="22.44140625" bestFit="1" customWidth="1"/>
    <col min="14338" max="14338" width="12.6640625" customWidth="1"/>
    <col min="14339" max="14339" width="13.77734375" customWidth="1"/>
    <col min="14340" max="14340" width="16.77734375" customWidth="1"/>
    <col min="14341" max="14341" width="16.21875" bestFit="1" customWidth="1"/>
    <col min="14342" max="14342" width="13.5546875" customWidth="1"/>
    <col min="14343" max="14343" width="12.88671875" customWidth="1"/>
    <col min="14344" max="14344" width="10.21875" customWidth="1"/>
    <col min="14345" max="14345" width="13.88671875" customWidth="1"/>
    <col min="14346" max="14346" width="22.21875" customWidth="1"/>
    <col min="14348" max="14348" width="12.21875" bestFit="1" customWidth="1"/>
    <col min="14350" max="14350" width="22.44140625" bestFit="1" customWidth="1"/>
    <col min="14594" max="14594" width="12.6640625" customWidth="1"/>
    <col min="14595" max="14595" width="13.77734375" customWidth="1"/>
    <col min="14596" max="14596" width="16.77734375" customWidth="1"/>
    <col min="14597" max="14597" width="16.21875" bestFit="1" customWidth="1"/>
    <col min="14598" max="14598" width="13.5546875" customWidth="1"/>
    <col min="14599" max="14599" width="12.88671875" customWidth="1"/>
    <col min="14600" max="14600" width="10.21875" customWidth="1"/>
    <col min="14601" max="14601" width="13.88671875" customWidth="1"/>
    <col min="14602" max="14602" width="22.21875" customWidth="1"/>
    <col min="14604" max="14604" width="12.21875" bestFit="1" customWidth="1"/>
    <col min="14606" max="14606" width="22.44140625" bestFit="1" customWidth="1"/>
    <col min="14850" max="14850" width="12.6640625" customWidth="1"/>
    <col min="14851" max="14851" width="13.77734375" customWidth="1"/>
    <col min="14852" max="14852" width="16.77734375" customWidth="1"/>
    <col min="14853" max="14853" width="16.21875" bestFit="1" customWidth="1"/>
    <col min="14854" max="14854" width="13.5546875" customWidth="1"/>
    <col min="14855" max="14855" width="12.88671875" customWidth="1"/>
    <col min="14856" max="14856" width="10.21875" customWidth="1"/>
    <col min="14857" max="14857" width="13.88671875" customWidth="1"/>
    <col min="14858" max="14858" width="22.21875" customWidth="1"/>
    <col min="14860" max="14860" width="12.21875" bestFit="1" customWidth="1"/>
    <col min="14862" max="14862" width="22.44140625" bestFit="1" customWidth="1"/>
    <col min="15106" max="15106" width="12.6640625" customWidth="1"/>
    <col min="15107" max="15107" width="13.77734375" customWidth="1"/>
    <col min="15108" max="15108" width="16.77734375" customWidth="1"/>
    <col min="15109" max="15109" width="16.21875" bestFit="1" customWidth="1"/>
    <col min="15110" max="15110" width="13.5546875" customWidth="1"/>
    <col min="15111" max="15111" width="12.88671875" customWidth="1"/>
    <col min="15112" max="15112" width="10.21875" customWidth="1"/>
    <col min="15113" max="15113" width="13.88671875" customWidth="1"/>
    <col min="15114" max="15114" width="22.21875" customWidth="1"/>
    <col min="15116" max="15116" width="12.21875" bestFit="1" customWidth="1"/>
    <col min="15118" max="15118" width="22.44140625" bestFit="1" customWidth="1"/>
    <col min="15362" max="15362" width="12.6640625" customWidth="1"/>
    <col min="15363" max="15363" width="13.77734375" customWidth="1"/>
    <col min="15364" max="15364" width="16.77734375" customWidth="1"/>
    <col min="15365" max="15365" width="16.21875" bestFit="1" customWidth="1"/>
    <col min="15366" max="15366" width="13.5546875" customWidth="1"/>
    <col min="15367" max="15367" width="12.88671875" customWidth="1"/>
    <col min="15368" max="15368" width="10.21875" customWidth="1"/>
    <col min="15369" max="15369" width="13.88671875" customWidth="1"/>
    <col min="15370" max="15370" width="22.21875" customWidth="1"/>
    <col min="15372" max="15372" width="12.21875" bestFit="1" customWidth="1"/>
    <col min="15374" max="15374" width="22.44140625" bestFit="1" customWidth="1"/>
    <col min="15618" max="15618" width="12.6640625" customWidth="1"/>
    <col min="15619" max="15619" width="13.77734375" customWidth="1"/>
    <col min="15620" max="15620" width="16.77734375" customWidth="1"/>
    <col min="15621" max="15621" width="16.21875" bestFit="1" customWidth="1"/>
    <col min="15622" max="15622" width="13.5546875" customWidth="1"/>
    <col min="15623" max="15623" width="12.88671875" customWidth="1"/>
    <col min="15624" max="15624" width="10.21875" customWidth="1"/>
    <col min="15625" max="15625" width="13.88671875" customWidth="1"/>
    <col min="15626" max="15626" width="22.21875" customWidth="1"/>
    <col min="15628" max="15628" width="12.21875" bestFit="1" customWidth="1"/>
    <col min="15630" max="15630" width="22.44140625" bestFit="1" customWidth="1"/>
    <col min="15874" max="15874" width="12.6640625" customWidth="1"/>
    <col min="15875" max="15875" width="13.77734375" customWidth="1"/>
    <col min="15876" max="15876" width="16.77734375" customWidth="1"/>
    <col min="15877" max="15877" width="16.21875" bestFit="1" customWidth="1"/>
    <col min="15878" max="15878" width="13.5546875" customWidth="1"/>
    <col min="15879" max="15879" width="12.88671875" customWidth="1"/>
    <col min="15880" max="15880" width="10.21875" customWidth="1"/>
    <col min="15881" max="15881" width="13.88671875" customWidth="1"/>
    <col min="15882" max="15882" width="22.21875" customWidth="1"/>
    <col min="15884" max="15884" width="12.21875" bestFit="1" customWidth="1"/>
    <col min="15886" max="15886" width="22.44140625" bestFit="1" customWidth="1"/>
    <col min="16130" max="16130" width="12.6640625" customWidth="1"/>
    <col min="16131" max="16131" width="13.77734375" customWidth="1"/>
    <col min="16132" max="16132" width="16.77734375" customWidth="1"/>
    <col min="16133" max="16133" width="16.21875" bestFit="1" customWidth="1"/>
    <col min="16134" max="16134" width="13.5546875" customWidth="1"/>
    <col min="16135" max="16135" width="12.88671875" customWidth="1"/>
    <col min="16136" max="16136" width="10.21875" customWidth="1"/>
    <col min="16137" max="16137" width="13.88671875" customWidth="1"/>
    <col min="16138" max="16138" width="22.21875" customWidth="1"/>
    <col min="16140" max="16140" width="12.21875" bestFit="1" customWidth="1"/>
    <col min="16142" max="16142" width="22.44140625" bestFit="1" customWidth="1"/>
  </cols>
  <sheetData>
    <row r="1" spans="1:14" x14ac:dyDescent="0.2">
      <c r="A1" t="s">
        <v>282</v>
      </c>
    </row>
    <row r="2" spans="1:14" x14ac:dyDescent="0.2">
      <c r="A2" t="s">
        <v>151</v>
      </c>
    </row>
    <row r="5" spans="1:14" x14ac:dyDescent="0.2">
      <c r="A5" s="204" t="s">
        <v>0</v>
      </c>
      <c r="B5" s="205"/>
      <c r="C5" s="206"/>
      <c r="D5" s="205"/>
      <c r="E5" s="205"/>
      <c r="F5" s="205"/>
      <c r="G5" s="205"/>
      <c r="H5" s="205"/>
      <c r="N5" t="s">
        <v>214</v>
      </c>
    </row>
    <row r="6" spans="1:14" x14ac:dyDescent="0.2">
      <c r="A6" s="204" t="s">
        <v>215</v>
      </c>
      <c r="B6" s="205"/>
      <c r="C6" s="206"/>
      <c r="D6" s="205"/>
      <c r="E6" s="205"/>
      <c r="F6" s="205"/>
      <c r="G6" s="205"/>
      <c r="H6" s="205"/>
      <c r="N6" t="s">
        <v>216</v>
      </c>
    </row>
    <row r="7" spans="1:14" x14ac:dyDescent="0.2">
      <c r="A7" s="204" t="s">
        <v>217</v>
      </c>
      <c r="B7" s="205"/>
      <c r="C7" s="206"/>
      <c r="D7" s="205"/>
      <c r="E7" s="205"/>
      <c r="F7" s="205"/>
      <c r="G7" s="205"/>
      <c r="H7" s="205"/>
      <c r="N7" t="s">
        <v>218</v>
      </c>
    </row>
    <row r="8" spans="1:14" x14ac:dyDescent="0.2">
      <c r="A8" s="207" t="s">
        <v>219</v>
      </c>
      <c r="B8" s="205"/>
      <c r="C8" s="206"/>
      <c r="D8" s="205"/>
      <c r="E8" s="205"/>
      <c r="F8" s="205"/>
      <c r="G8" s="205"/>
      <c r="H8" s="205"/>
      <c r="N8" s="208" t="s">
        <v>220</v>
      </c>
    </row>
    <row r="9" spans="1:14" x14ac:dyDescent="0.2">
      <c r="A9" s="209" t="s">
        <v>221</v>
      </c>
      <c r="B9" s="209" t="s">
        <v>222</v>
      </c>
      <c r="D9" s="209"/>
      <c r="E9" s="208"/>
      <c r="F9" s="208"/>
      <c r="G9" s="208"/>
      <c r="H9" s="208"/>
    </row>
    <row r="10" spans="1:14" x14ac:dyDescent="0.2">
      <c r="A10" s="210"/>
      <c r="B10" s="50" t="s">
        <v>223</v>
      </c>
      <c r="C10" s="50" t="s">
        <v>223</v>
      </c>
      <c r="D10" s="208"/>
      <c r="E10" s="208"/>
      <c r="F10" s="208"/>
      <c r="G10" s="208"/>
      <c r="H10" s="208"/>
    </row>
    <row r="11" spans="1:14" x14ac:dyDescent="0.2">
      <c r="A11" s="211"/>
      <c r="B11" s="50" t="s">
        <v>224</v>
      </c>
      <c r="C11" s="50" t="s">
        <v>224</v>
      </c>
      <c r="D11" s="208"/>
      <c r="E11" s="208"/>
      <c r="F11" s="208"/>
      <c r="G11" s="208"/>
      <c r="H11" s="208"/>
      <c r="I11" s="208"/>
      <c r="J11" s="208"/>
    </row>
    <row r="12" spans="1:14" x14ac:dyDescent="0.2">
      <c r="A12" s="211"/>
      <c r="B12" s="212" t="s">
        <v>225</v>
      </c>
      <c r="C12" s="212" t="s">
        <v>226</v>
      </c>
      <c r="D12" s="208"/>
      <c r="E12" s="208"/>
      <c r="F12" s="208"/>
      <c r="G12" s="208"/>
      <c r="H12" s="208"/>
      <c r="I12" s="208"/>
      <c r="J12" s="208"/>
    </row>
    <row r="13" spans="1:14" x14ac:dyDescent="0.2">
      <c r="A13" s="213">
        <v>44408</v>
      </c>
      <c r="B13" s="214">
        <v>2824031.22</v>
      </c>
      <c r="C13" s="215">
        <v>136049784</v>
      </c>
      <c r="D13" s="208"/>
      <c r="E13" s="208"/>
      <c r="F13" s="208"/>
      <c r="G13" s="208"/>
      <c r="H13" s="208"/>
      <c r="I13" s="208"/>
      <c r="J13" s="208"/>
    </row>
    <row r="14" spans="1:14" x14ac:dyDescent="0.2">
      <c r="A14" s="213">
        <v>44439</v>
      </c>
      <c r="B14" s="216">
        <v>2824031.2200000007</v>
      </c>
      <c r="C14" s="217">
        <v>128331028</v>
      </c>
      <c r="D14" s="208"/>
      <c r="E14" s="208"/>
      <c r="F14" s="208"/>
      <c r="G14" s="208"/>
      <c r="H14" s="208"/>
      <c r="I14" s="208"/>
      <c r="J14" s="208"/>
    </row>
    <row r="15" spans="1:14" x14ac:dyDescent="0.2">
      <c r="A15" s="213">
        <v>44469</v>
      </c>
      <c r="B15" s="216">
        <v>2824031.2200000007</v>
      </c>
      <c r="C15" s="217">
        <v>125031188</v>
      </c>
      <c r="D15" s="208"/>
      <c r="E15" s="208"/>
      <c r="F15" s="208"/>
      <c r="G15" s="208"/>
      <c r="H15" s="208"/>
      <c r="I15" s="208"/>
      <c r="J15" s="208"/>
    </row>
    <row r="16" spans="1:14" x14ac:dyDescent="0.2">
      <c r="A16" s="213">
        <v>44500</v>
      </c>
      <c r="B16" s="216">
        <v>2824031.2200000007</v>
      </c>
      <c r="C16" s="217">
        <v>118315420</v>
      </c>
      <c r="D16" s="218"/>
      <c r="E16" s="218"/>
      <c r="F16" s="50" t="s">
        <v>227</v>
      </c>
      <c r="G16" s="219" t="s">
        <v>228</v>
      </c>
      <c r="H16" s="50" t="s">
        <v>229</v>
      </c>
      <c r="I16" s="50" t="s">
        <v>230</v>
      </c>
      <c r="J16" s="50"/>
    </row>
    <row r="17" spans="1:12" x14ac:dyDescent="0.2">
      <c r="A17" s="213">
        <v>44530</v>
      </c>
      <c r="B17" s="216">
        <v>60202093.949999988</v>
      </c>
      <c r="C17" s="217">
        <v>111806107</v>
      </c>
      <c r="D17" s="212" t="s">
        <v>231</v>
      </c>
      <c r="E17" s="212" t="s">
        <v>232</v>
      </c>
      <c r="F17" s="212" t="s">
        <v>233</v>
      </c>
      <c r="G17" s="212" t="s">
        <v>234</v>
      </c>
      <c r="H17" s="212" t="s">
        <v>235</v>
      </c>
      <c r="I17" s="212" t="s">
        <v>236</v>
      </c>
      <c r="J17" s="212"/>
    </row>
    <row r="18" spans="1:12" x14ac:dyDescent="0.2">
      <c r="A18" s="213">
        <v>44561</v>
      </c>
      <c r="B18" s="216">
        <v>87776951.079999998</v>
      </c>
      <c r="C18" s="217">
        <v>110374675</v>
      </c>
      <c r="D18" s="215">
        <v>112896017</v>
      </c>
      <c r="E18" s="215">
        <v>3191043</v>
      </c>
      <c r="F18" s="220">
        <v>1612145</v>
      </c>
      <c r="G18" s="220">
        <v>0</v>
      </c>
      <c r="H18" s="215">
        <v>294584863</v>
      </c>
      <c r="I18" s="221">
        <v>0</v>
      </c>
      <c r="J18" s="221"/>
      <c r="L18" s="222"/>
    </row>
    <row r="19" spans="1:12" x14ac:dyDescent="0.2">
      <c r="A19" s="213">
        <v>44592</v>
      </c>
      <c r="B19" s="216">
        <v>86476675.180000007</v>
      </c>
      <c r="C19" s="217">
        <v>104504776</v>
      </c>
      <c r="D19" s="217">
        <v>104705861</v>
      </c>
      <c r="E19" s="223">
        <v>3280880</v>
      </c>
      <c r="F19" s="223">
        <v>1589612</v>
      </c>
      <c r="G19" s="223">
        <v>0</v>
      </c>
      <c r="H19" s="217">
        <v>301169360</v>
      </c>
      <c r="I19" s="221">
        <v>0</v>
      </c>
      <c r="J19" s="221"/>
      <c r="L19" s="222"/>
    </row>
    <row r="20" spans="1:12" x14ac:dyDescent="0.2">
      <c r="A20" s="213">
        <v>44620</v>
      </c>
      <c r="B20" s="216">
        <v>87105397.859999999</v>
      </c>
      <c r="C20" s="217">
        <v>98434281</v>
      </c>
      <c r="D20" s="217">
        <v>104566515</v>
      </c>
      <c r="E20" s="223">
        <v>3383079</v>
      </c>
      <c r="F20" s="223">
        <v>1582997</v>
      </c>
      <c r="G20" s="223">
        <v>0</v>
      </c>
      <c r="H20" s="217">
        <v>308823845</v>
      </c>
      <c r="I20" s="221">
        <v>0</v>
      </c>
      <c r="J20" s="221"/>
      <c r="L20" s="222"/>
    </row>
    <row r="21" spans="1:12" x14ac:dyDescent="0.2">
      <c r="A21" s="213">
        <v>44651</v>
      </c>
      <c r="B21" s="216">
        <v>88430653.150000006</v>
      </c>
      <c r="C21" s="217">
        <v>88678661</v>
      </c>
      <c r="D21" s="217">
        <v>99533539</v>
      </c>
      <c r="E21" s="223">
        <v>3460076</v>
      </c>
      <c r="F21" s="223">
        <v>1546721</v>
      </c>
      <c r="G21" s="223">
        <v>0</v>
      </c>
      <c r="H21" s="217">
        <v>311734401</v>
      </c>
      <c r="I21" s="221">
        <v>160398</v>
      </c>
      <c r="J21" s="221"/>
      <c r="L21" s="222"/>
    </row>
    <row r="22" spans="1:12" x14ac:dyDescent="0.2">
      <c r="A22" s="213">
        <v>44681</v>
      </c>
      <c r="B22" s="216">
        <v>88458884.969999999</v>
      </c>
      <c r="C22" s="217">
        <v>87953533</v>
      </c>
      <c r="D22" s="217">
        <v>82166877</v>
      </c>
      <c r="E22" s="223">
        <v>3731655</v>
      </c>
      <c r="F22" s="223">
        <v>1808946</v>
      </c>
      <c r="G22" s="223">
        <v>0</v>
      </c>
      <c r="H22" s="217">
        <v>316467585</v>
      </c>
      <c r="I22" s="221">
        <v>374172</v>
      </c>
      <c r="J22" s="221"/>
      <c r="L22" s="222"/>
    </row>
    <row r="23" spans="1:12" x14ac:dyDescent="0.2">
      <c r="A23" s="213">
        <v>44712</v>
      </c>
      <c r="B23" s="216">
        <v>43842892.979999997</v>
      </c>
      <c r="C23" s="217">
        <v>133965513</v>
      </c>
      <c r="D23" s="217">
        <v>86344683</v>
      </c>
      <c r="E23" s="223">
        <v>4075506</v>
      </c>
      <c r="F23" s="223">
        <v>2607538</v>
      </c>
      <c r="G23" s="223">
        <v>0</v>
      </c>
      <c r="H23" s="217">
        <v>325172139</v>
      </c>
      <c r="I23" s="221">
        <v>1137035</v>
      </c>
      <c r="J23" s="221"/>
      <c r="L23" s="222"/>
    </row>
    <row r="24" spans="1:12" x14ac:dyDescent="0.2">
      <c r="A24" s="213">
        <v>44742</v>
      </c>
      <c r="B24" s="216">
        <v>43766159.979999997</v>
      </c>
      <c r="C24" s="217">
        <v>128327520</v>
      </c>
      <c r="D24" s="217">
        <v>81724612</v>
      </c>
      <c r="E24" s="223">
        <v>4340539</v>
      </c>
      <c r="F24" s="223">
        <v>2472105</v>
      </c>
      <c r="G24" s="223">
        <v>0</v>
      </c>
      <c r="H24" s="217">
        <v>330191525</v>
      </c>
      <c r="I24" s="221">
        <v>1530288</v>
      </c>
      <c r="J24" s="221"/>
      <c r="L24" s="222"/>
    </row>
    <row r="25" spans="1:12" x14ac:dyDescent="0.2">
      <c r="A25" s="213">
        <v>44773</v>
      </c>
      <c r="B25" s="216">
        <v>43766159.979999997</v>
      </c>
      <c r="C25" s="217">
        <v>122327366</v>
      </c>
      <c r="D25" s="217">
        <v>66575657</v>
      </c>
      <c r="E25" s="223">
        <v>4352878</v>
      </c>
      <c r="F25" s="223">
        <v>2470748</v>
      </c>
      <c r="G25" s="223">
        <v>0</v>
      </c>
      <c r="H25" s="217">
        <v>340433882</v>
      </c>
      <c r="I25" s="221">
        <v>990230</v>
      </c>
      <c r="J25" s="221"/>
      <c r="L25" s="222"/>
    </row>
    <row r="26" spans="1:12" x14ac:dyDescent="0.2">
      <c r="A26" s="213">
        <v>44804</v>
      </c>
      <c r="B26" s="216">
        <v>43819559.979999997</v>
      </c>
      <c r="C26" s="217">
        <v>116245043</v>
      </c>
      <c r="D26" s="217">
        <v>65321968</v>
      </c>
      <c r="E26" s="223">
        <v>4314250</v>
      </c>
      <c r="F26" s="223">
        <v>2466549</v>
      </c>
      <c r="G26" s="223">
        <v>0</v>
      </c>
      <c r="H26" s="217">
        <v>349749986</v>
      </c>
      <c r="I26" s="221">
        <v>469670</v>
      </c>
      <c r="J26" s="221"/>
      <c r="L26" s="222"/>
    </row>
    <row r="27" spans="1:12" x14ac:dyDescent="0.2">
      <c r="A27" s="213">
        <v>44834</v>
      </c>
      <c r="B27" s="216">
        <v>43819559.979999997</v>
      </c>
      <c r="C27" s="217">
        <v>110391398</v>
      </c>
      <c r="D27" s="217">
        <v>66097865</v>
      </c>
      <c r="E27" s="223">
        <v>4253561</v>
      </c>
      <c r="F27" s="223">
        <v>2178088</v>
      </c>
      <c r="G27" s="223">
        <v>0</v>
      </c>
      <c r="H27" s="217">
        <v>350119711</v>
      </c>
      <c r="I27" s="221">
        <v>168245</v>
      </c>
      <c r="J27" s="221"/>
      <c r="L27" s="222"/>
    </row>
    <row r="28" spans="1:12" x14ac:dyDescent="0.2">
      <c r="A28" s="213">
        <v>44865</v>
      </c>
      <c r="B28" s="216">
        <v>43819559.979999997</v>
      </c>
      <c r="C28" s="217">
        <v>104330045</v>
      </c>
      <c r="D28" s="217">
        <v>72481103</v>
      </c>
      <c r="E28" s="223">
        <v>4155251</v>
      </c>
      <c r="F28" s="223">
        <v>2259987</v>
      </c>
      <c r="G28" s="223">
        <v>0</v>
      </c>
      <c r="H28" s="217">
        <v>349506971</v>
      </c>
      <c r="I28" s="221">
        <v>168335</v>
      </c>
      <c r="J28" s="221"/>
      <c r="L28" s="222"/>
    </row>
    <row r="29" spans="1:12" x14ac:dyDescent="0.2">
      <c r="A29" s="213">
        <v>44895</v>
      </c>
      <c r="B29" s="216">
        <v>43819559.979999997</v>
      </c>
      <c r="C29" s="217">
        <v>98449054</v>
      </c>
      <c r="D29" s="217">
        <v>73041098</v>
      </c>
      <c r="E29" s="223">
        <v>3875135</v>
      </c>
      <c r="F29" s="223">
        <v>2295934</v>
      </c>
      <c r="G29" s="223">
        <v>0</v>
      </c>
      <c r="H29" s="217">
        <v>356206211</v>
      </c>
      <c r="I29" s="221">
        <v>297645</v>
      </c>
      <c r="J29" s="221"/>
      <c r="L29" s="222"/>
    </row>
    <row r="30" spans="1:12" ht="17.25" x14ac:dyDescent="0.35">
      <c r="A30" s="213">
        <v>44926</v>
      </c>
      <c r="B30" s="224">
        <v>43819559.979999997</v>
      </c>
      <c r="C30" s="225">
        <v>91878494</v>
      </c>
      <c r="D30" s="225">
        <v>73285889</v>
      </c>
      <c r="E30" s="226">
        <v>3153202</v>
      </c>
      <c r="F30" s="226">
        <v>2394794</v>
      </c>
      <c r="G30" s="226">
        <v>0</v>
      </c>
      <c r="H30" s="225">
        <v>348216950</v>
      </c>
      <c r="I30" s="227">
        <v>82828</v>
      </c>
      <c r="J30" s="227"/>
      <c r="L30" s="222"/>
    </row>
    <row r="31" spans="1:12" x14ac:dyDescent="0.2">
      <c r="A31" s="211"/>
      <c r="B31" s="228"/>
      <c r="C31" s="229"/>
      <c r="D31" s="229"/>
      <c r="E31" s="229"/>
      <c r="F31" s="229"/>
      <c r="G31" s="229"/>
      <c r="H31" s="229"/>
      <c r="I31" s="229"/>
      <c r="J31" s="229"/>
    </row>
    <row r="32" spans="1:12" x14ac:dyDescent="0.2">
      <c r="A32" s="211" t="s">
        <v>237</v>
      </c>
      <c r="B32" s="230">
        <f>SUM(B13:B30)</f>
        <v>860219793.91000021</v>
      </c>
      <c r="C32" s="230">
        <f>SUM(C13:C30)</f>
        <v>2015393886</v>
      </c>
      <c r="D32" s="230">
        <f t="shared" ref="D32:I32" si="0">SUM(D18:D30)</f>
        <v>1088741684</v>
      </c>
      <c r="E32" s="230">
        <f t="shared" si="0"/>
        <v>49567055</v>
      </c>
      <c r="F32" s="230">
        <f t="shared" si="0"/>
        <v>27286164</v>
      </c>
      <c r="G32" s="230">
        <f t="shared" si="0"/>
        <v>0</v>
      </c>
      <c r="H32" s="230">
        <f t="shared" si="0"/>
        <v>4282377429</v>
      </c>
      <c r="I32" s="230">
        <f t="shared" si="0"/>
        <v>5378846</v>
      </c>
      <c r="J32" s="230"/>
    </row>
    <row r="33" spans="1:10" x14ac:dyDescent="0.2">
      <c r="A33" s="208"/>
      <c r="B33" s="220"/>
      <c r="C33" s="220"/>
      <c r="D33" s="220"/>
      <c r="E33" s="220"/>
      <c r="F33" s="220"/>
      <c r="G33" s="220"/>
      <c r="H33" s="220"/>
      <c r="I33" s="220"/>
      <c r="J33" s="220"/>
    </row>
    <row r="34" spans="1:10" x14ac:dyDescent="0.2">
      <c r="A34" s="211" t="s">
        <v>238</v>
      </c>
      <c r="B34" s="220">
        <f>ROUND(+B32/18,0)</f>
        <v>47789989</v>
      </c>
      <c r="C34" s="220">
        <f>ROUND(+C32/18,0)</f>
        <v>111966327</v>
      </c>
      <c r="D34" s="220">
        <f t="shared" ref="D34:I34" si="1">ROUND(+D32/13,0)</f>
        <v>83749360</v>
      </c>
      <c r="E34" s="220">
        <f t="shared" si="1"/>
        <v>3812850</v>
      </c>
      <c r="F34" s="220">
        <f t="shared" si="1"/>
        <v>2098936</v>
      </c>
      <c r="G34" s="220">
        <f t="shared" si="1"/>
        <v>0</v>
      </c>
      <c r="H34" s="220">
        <f t="shared" si="1"/>
        <v>329413648</v>
      </c>
      <c r="I34" s="220">
        <f t="shared" si="1"/>
        <v>413757</v>
      </c>
      <c r="J34" s="220"/>
    </row>
    <row r="35" spans="1:10" x14ac:dyDescent="0.2">
      <c r="A35" s="211"/>
      <c r="B35" s="231"/>
      <c r="C35" s="231"/>
      <c r="D35" s="231"/>
      <c r="E35" s="231"/>
      <c r="F35" s="231"/>
      <c r="G35" s="231"/>
      <c r="H35" s="231"/>
    </row>
    <row r="36" spans="1:10" x14ac:dyDescent="0.2">
      <c r="A36" s="211"/>
      <c r="B36" s="231"/>
      <c r="C36" s="231"/>
      <c r="E36" s="231"/>
      <c r="F36" s="231"/>
      <c r="G36" s="231"/>
      <c r="H36" s="231"/>
    </row>
    <row r="37" spans="1:10" x14ac:dyDescent="0.2">
      <c r="A37" s="208"/>
      <c r="B37" s="208"/>
      <c r="C37" s="50"/>
      <c r="D37" s="50" t="s">
        <v>12</v>
      </c>
      <c r="E37" s="50" t="s">
        <v>12</v>
      </c>
      <c r="F37" s="50"/>
      <c r="G37" s="208"/>
      <c r="H37" s="208"/>
    </row>
    <row r="38" spans="1:10" x14ac:dyDescent="0.2">
      <c r="A38" s="208"/>
      <c r="B38" s="208"/>
      <c r="C38" s="50" t="s">
        <v>239</v>
      </c>
      <c r="D38" s="50" t="s">
        <v>240</v>
      </c>
      <c r="E38" s="50" t="s">
        <v>241</v>
      </c>
      <c r="F38" s="50"/>
      <c r="G38" s="208"/>
      <c r="H38" s="208"/>
    </row>
    <row r="39" spans="1:10" x14ac:dyDescent="0.2">
      <c r="A39" s="208"/>
      <c r="B39" s="208"/>
      <c r="C39" s="50" t="s">
        <v>242</v>
      </c>
      <c r="D39" s="50" t="s">
        <v>243</v>
      </c>
      <c r="E39" s="232" t="s">
        <v>244</v>
      </c>
      <c r="F39" s="50"/>
      <c r="G39" s="208">
        <v>0</v>
      </c>
      <c r="H39" s="208"/>
    </row>
    <row r="40" spans="1:10" ht="17.25" x14ac:dyDescent="0.35">
      <c r="A40" s="211" t="s">
        <v>245</v>
      </c>
      <c r="B40" s="208"/>
      <c r="C40" s="233">
        <v>44926</v>
      </c>
      <c r="D40" s="212" t="s">
        <v>246</v>
      </c>
      <c r="E40" s="234">
        <f>+C40</f>
        <v>44926</v>
      </c>
      <c r="F40" s="234"/>
      <c r="G40" s="208"/>
      <c r="H40" s="208"/>
    </row>
    <row r="41" spans="1:10" x14ac:dyDescent="0.2">
      <c r="A41" s="211" t="s">
        <v>247</v>
      </c>
      <c r="B41" s="208"/>
      <c r="C41" s="235">
        <f>D34</f>
        <v>83749360</v>
      </c>
      <c r="D41" s="235">
        <f>E41-C41</f>
        <v>21060531</v>
      </c>
      <c r="E41" s="235">
        <f>H64</f>
        <v>104809891</v>
      </c>
      <c r="F41" s="235"/>
      <c r="G41" s="235"/>
      <c r="H41" s="235"/>
    </row>
    <row r="42" spans="1:10" x14ac:dyDescent="0.2">
      <c r="A42" s="211" t="s">
        <v>248</v>
      </c>
      <c r="B42" s="208"/>
      <c r="C42" s="236">
        <f>E34</f>
        <v>3812850</v>
      </c>
      <c r="D42" s="236"/>
      <c r="E42" s="236">
        <f>C42</f>
        <v>3812850</v>
      </c>
      <c r="F42" s="236"/>
      <c r="G42" s="236"/>
      <c r="H42" s="236"/>
    </row>
    <row r="43" spans="1:10" x14ac:dyDescent="0.2">
      <c r="A43" s="211" t="s">
        <v>249</v>
      </c>
      <c r="B43" s="208"/>
      <c r="C43" s="236">
        <f>F34</f>
        <v>2098936</v>
      </c>
      <c r="D43" s="236"/>
      <c r="E43" s="236">
        <f>SUM(C43:D43)</f>
        <v>2098936</v>
      </c>
      <c r="F43" s="236"/>
      <c r="G43" s="236"/>
      <c r="H43" s="236"/>
    </row>
    <row r="44" spans="1:10" ht="17.25" x14ac:dyDescent="0.35">
      <c r="A44" s="211" t="s">
        <v>250</v>
      </c>
      <c r="B44" s="208"/>
      <c r="C44" s="237">
        <f>G34</f>
        <v>0</v>
      </c>
      <c r="D44" s="237">
        <v>0</v>
      </c>
      <c r="E44" s="237">
        <f>SUM(C44:D44)</f>
        <v>0</v>
      </c>
      <c r="F44" s="236"/>
      <c r="G44" s="236"/>
      <c r="H44" s="236"/>
    </row>
    <row r="45" spans="1:10" x14ac:dyDescent="0.2">
      <c r="A45" s="208"/>
      <c r="B45" s="208"/>
      <c r="C45" s="229"/>
      <c r="D45" s="236"/>
      <c r="E45" s="229"/>
      <c r="F45" s="229"/>
      <c r="G45" s="236"/>
      <c r="H45" s="236"/>
    </row>
    <row r="46" spans="1:10" x14ac:dyDescent="0.2">
      <c r="A46" s="211" t="s">
        <v>251</v>
      </c>
      <c r="B46" s="208"/>
      <c r="C46" s="235">
        <f>SUM(C41:C44)</f>
        <v>89661146</v>
      </c>
      <c r="D46" s="235">
        <f>SUM(D41:D44)</f>
        <v>21060531</v>
      </c>
      <c r="E46" s="235">
        <f>SUM(E41:E44)</f>
        <v>110721677</v>
      </c>
      <c r="F46" s="235"/>
      <c r="G46" s="235"/>
      <c r="H46" s="235"/>
    </row>
    <row r="47" spans="1:10" x14ac:dyDescent="0.2">
      <c r="A47" s="208"/>
      <c r="B47" s="208"/>
      <c r="C47" s="208"/>
      <c r="D47" s="208"/>
      <c r="E47" s="208"/>
      <c r="F47" s="208"/>
      <c r="G47" s="208"/>
      <c r="H47" s="208"/>
    </row>
    <row r="48" spans="1:10" x14ac:dyDescent="0.2">
      <c r="A48" s="208"/>
      <c r="B48" s="50" t="s">
        <v>252</v>
      </c>
      <c r="C48" s="50"/>
      <c r="D48" s="50"/>
    </row>
    <row r="49" spans="1:12" x14ac:dyDescent="0.2">
      <c r="A49" s="208"/>
      <c r="B49" s="50" t="s">
        <v>247</v>
      </c>
      <c r="C49" s="50" t="s">
        <v>253</v>
      </c>
      <c r="D49" s="50" t="s">
        <v>254</v>
      </c>
      <c r="E49" s="50" t="s">
        <v>254</v>
      </c>
      <c r="F49" s="50" t="s">
        <v>255</v>
      </c>
      <c r="G49" s="50"/>
      <c r="H49" s="50" t="s">
        <v>256</v>
      </c>
      <c r="I49" s="50"/>
      <c r="J49" s="50" t="s">
        <v>257</v>
      </c>
      <c r="K49" s="50"/>
    </row>
    <row r="50" spans="1:12" x14ac:dyDescent="0.2">
      <c r="A50" s="208"/>
      <c r="B50" s="50" t="s">
        <v>241</v>
      </c>
      <c r="C50" s="50" t="s">
        <v>258</v>
      </c>
      <c r="D50" s="50" t="s">
        <v>259</v>
      </c>
      <c r="E50" s="50" t="s">
        <v>259</v>
      </c>
      <c r="F50" s="50" t="s">
        <v>241</v>
      </c>
      <c r="G50" s="50" t="s">
        <v>260</v>
      </c>
      <c r="H50" s="50" t="s">
        <v>238</v>
      </c>
      <c r="I50" s="50"/>
      <c r="J50" s="50"/>
      <c r="K50" s="50"/>
    </row>
    <row r="51" spans="1:12" x14ac:dyDescent="0.2">
      <c r="A51" s="211" t="s">
        <v>261</v>
      </c>
      <c r="B51" s="212" t="s">
        <v>262</v>
      </c>
      <c r="C51" s="212" t="s">
        <v>263</v>
      </c>
      <c r="D51" s="212" t="s">
        <v>264</v>
      </c>
      <c r="E51" s="212" t="s">
        <v>265</v>
      </c>
      <c r="F51" s="212" t="s">
        <v>266</v>
      </c>
      <c r="G51" s="212" t="s">
        <v>267</v>
      </c>
      <c r="H51" s="212" t="s">
        <v>241</v>
      </c>
      <c r="I51" s="212"/>
      <c r="J51" s="211" t="s">
        <v>261</v>
      </c>
      <c r="K51" s="212"/>
    </row>
    <row r="52" spans="1:12" x14ac:dyDescent="0.2">
      <c r="A52" s="211" t="s">
        <v>268</v>
      </c>
      <c r="B52" s="238">
        <v>1711705</v>
      </c>
      <c r="C52" s="239">
        <v>77764</v>
      </c>
      <c r="D52" s="238">
        <v>65000</v>
      </c>
      <c r="E52" s="238">
        <v>0</v>
      </c>
      <c r="F52" s="220">
        <f t="shared" ref="F52:F57" si="2">+B52-D52+C52</f>
        <v>1724469</v>
      </c>
      <c r="G52" s="240">
        <v>28.614999999999998</v>
      </c>
      <c r="H52" s="220">
        <f t="shared" ref="H52:H57" si="3">ROUND(+F52*G52,0)</f>
        <v>49345680</v>
      </c>
      <c r="I52" s="220"/>
      <c r="J52" s="211" t="s">
        <v>268</v>
      </c>
      <c r="K52" s="241">
        <f>D52/$D$59</f>
        <v>0.42483660130718953</v>
      </c>
    </row>
    <row r="53" spans="1:12" x14ac:dyDescent="0.2">
      <c r="A53" s="211" t="s">
        <v>269</v>
      </c>
      <c r="B53" s="238">
        <v>306786</v>
      </c>
      <c r="C53" s="239">
        <v>0</v>
      </c>
      <c r="D53" s="238">
        <f>15000</f>
        <v>15000</v>
      </c>
      <c r="E53" s="238">
        <v>0</v>
      </c>
      <c r="F53" s="220">
        <f t="shared" si="2"/>
        <v>291786</v>
      </c>
      <c r="G53" s="242">
        <v>40.369</v>
      </c>
      <c r="H53" s="223">
        <f t="shared" si="3"/>
        <v>11779109</v>
      </c>
      <c r="I53" s="223"/>
      <c r="J53" s="211" t="s">
        <v>269</v>
      </c>
      <c r="K53" s="241">
        <f t="shared" ref="K53:K56" si="4">D53/$D$59</f>
        <v>9.8039215686274508E-2</v>
      </c>
    </row>
    <row r="54" spans="1:12" x14ac:dyDescent="0.2">
      <c r="A54" s="211" t="s">
        <v>270</v>
      </c>
      <c r="B54" s="238">
        <v>281659</v>
      </c>
      <c r="C54" s="239">
        <v>0</v>
      </c>
      <c r="D54" s="238">
        <v>20000</v>
      </c>
      <c r="E54" s="238">
        <v>0</v>
      </c>
      <c r="F54" s="220">
        <f t="shared" si="2"/>
        <v>261659</v>
      </c>
      <c r="G54" s="242">
        <v>41.597999999999999</v>
      </c>
      <c r="H54" s="223">
        <f t="shared" si="3"/>
        <v>10884491</v>
      </c>
      <c r="I54" s="223"/>
      <c r="J54" s="211" t="s">
        <v>270</v>
      </c>
      <c r="K54" s="241">
        <f t="shared" si="4"/>
        <v>0.13071895424836602</v>
      </c>
    </row>
    <row r="55" spans="1:12" x14ac:dyDescent="0.2">
      <c r="A55" s="211" t="s">
        <v>271</v>
      </c>
      <c r="B55" s="238">
        <v>0</v>
      </c>
      <c r="C55" s="239">
        <v>0</v>
      </c>
      <c r="D55" s="238">
        <v>0</v>
      </c>
      <c r="E55" s="238">
        <v>0</v>
      </c>
      <c r="F55" s="220">
        <f t="shared" si="2"/>
        <v>0</v>
      </c>
      <c r="G55" s="242">
        <v>0</v>
      </c>
      <c r="H55" s="223">
        <f t="shared" si="3"/>
        <v>0</v>
      </c>
      <c r="I55" s="223"/>
      <c r="J55" s="211" t="s">
        <v>271</v>
      </c>
      <c r="K55" s="241">
        <f t="shared" si="4"/>
        <v>0</v>
      </c>
    </row>
    <row r="56" spans="1:12" x14ac:dyDescent="0.2">
      <c r="A56" s="211" t="s">
        <v>272</v>
      </c>
      <c r="B56" s="238">
        <v>737072</v>
      </c>
      <c r="C56" s="239">
        <v>30614</v>
      </c>
      <c r="D56" s="238">
        <v>53000</v>
      </c>
      <c r="E56" s="238">
        <v>0</v>
      </c>
      <c r="F56" s="220">
        <f t="shared" si="2"/>
        <v>714686</v>
      </c>
      <c r="G56" s="242">
        <v>38.125</v>
      </c>
      <c r="H56" s="223">
        <f t="shared" si="3"/>
        <v>27247404</v>
      </c>
      <c r="I56" s="223"/>
      <c r="J56" s="211" t="s">
        <v>272</v>
      </c>
      <c r="K56" s="241">
        <f t="shared" si="4"/>
        <v>0.34640522875816993</v>
      </c>
      <c r="L56" s="243">
        <f>H60*K56</f>
        <v>1923659.9411764706</v>
      </c>
    </row>
    <row r="57" spans="1:12" ht="17.25" x14ac:dyDescent="0.35">
      <c r="A57" s="211"/>
      <c r="B57" s="244"/>
      <c r="C57" s="245"/>
      <c r="D57" s="244"/>
      <c r="E57" s="244"/>
      <c r="F57" s="246">
        <f t="shared" si="2"/>
        <v>0</v>
      </c>
      <c r="G57" s="242"/>
      <c r="H57" s="226">
        <f t="shared" si="3"/>
        <v>0</v>
      </c>
      <c r="I57" s="247"/>
      <c r="J57" s="247"/>
      <c r="K57" s="247"/>
    </row>
    <row r="58" spans="1:12" x14ac:dyDescent="0.2">
      <c r="A58" s="208" t="s">
        <v>273</v>
      </c>
      <c r="B58" s="229"/>
      <c r="C58" s="229"/>
      <c r="D58" s="229"/>
      <c r="E58" s="229"/>
      <c r="F58" s="229"/>
      <c r="G58" s="248"/>
      <c r="H58" s="229"/>
      <c r="I58" s="229"/>
      <c r="J58" s="229"/>
      <c r="K58" s="229"/>
    </row>
    <row r="59" spans="1:12" x14ac:dyDescent="0.2">
      <c r="A59" s="211"/>
      <c r="B59" s="223">
        <f>SUM(B52:B57)</f>
        <v>3037222</v>
      </c>
      <c r="C59" s="223">
        <f>SUM(C52:C57)</f>
        <v>108378</v>
      </c>
      <c r="D59" s="223">
        <f>SUM(D52:D57)</f>
        <v>153000</v>
      </c>
      <c r="E59" s="223">
        <f>SUM(E52:E57)</f>
        <v>0</v>
      </c>
      <c r="F59" s="223">
        <f>SUM(F52:F57)</f>
        <v>2992600</v>
      </c>
      <c r="G59" s="248"/>
      <c r="H59" s="220">
        <f>SUM(H52:H58)</f>
        <v>99256684</v>
      </c>
      <c r="I59" s="220"/>
      <c r="J59" s="220"/>
      <c r="K59" s="220"/>
    </row>
    <row r="60" spans="1:12" x14ac:dyDescent="0.2">
      <c r="A60" s="211" t="s">
        <v>274</v>
      </c>
      <c r="B60" s="223"/>
      <c r="C60" s="223"/>
      <c r="D60" s="223"/>
      <c r="E60" s="223"/>
      <c r="F60" s="223"/>
      <c r="G60" s="248"/>
      <c r="H60" s="220">
        <v>5553207</v>
      </c>
      <c r="I60" s="220"/>
      <c r="J60" s="220"/>
      <c r="K60" s="220"/>
    </row>
    <row r="61" spans="1:12" x14ac:dyDescent="0.2">
      <c r="A61" s="211"/>
      <c r="B61" s="223"/>
      <c r="C61" s="223"/>
      <c r="D61" s="223"/>
      <c r="E61" s="223"/>
      <c r="F61" s="223"/>
      <c r="G61" s="248"/>
      <c r="H61" s="223"/>
      <c r="I61" s="249"/>
      <c r="J61" s="249"/>
      <c r="K61" s="249"/>
    </row>
    <row r="62" spans="1:12" ht="17.25" x14ac:dyDescent="0.35">
      <c r="A62" s="211"/>
      <c r="B62" s="223"/>
      <c r="C62" s="223"/>
      <c r="D62" s="223"/>
      <c r="E62" s="223"/>
      <c r="F62" s="223"/>
      <c r="G62" s="248">
        <f>+H61/D59</f>
        <v>0</v>
      </c>
      <c r="H62" s="226">
        <f>+G62*E59</f>
        <v>0</v>
      </c>
      <c r="I62" s="249"/>
      <c r="J62" s="249"/>
      <c r="K62" s="249"/>
    </row>
    <row r="63" spans="1:12" x14ac:dyDescent="0.2">
      <c r="A63" s="211" t="s">
        <v>237</v>
      </c>
      <c r="B63" s="223"/>
      <c r="C63" s="223"/>
      <c r="D63" s="223"/>
      <c r="E63" s="223"/>
      <c r="F63" s="223"/>
      <c r="G63" s="248"/>
      <c r="H63" s="220"/>
      <c r="I63" s="249"/>
      <c r="J63" s="249"/>
      <c r="K63" s="249"/>
    </row>
    <row r="64" spans="1:12" x14ac:dyDescent="0.2">
      <c r="A64" s="211"/>
      <c r="B64" s="223"/>
      <c r="C64" s="223"/>
      <c r="D64" s="223"/>
      <c r="E64" s="223"/>
      <c r="F64" s="223"/>
      <c r="G64" s="248"/>
      <c r="H64" s="220">
        <f>SUM(H59:H62)</f>
        <v>104809891</v>
      </c>
      <c r="I64" s="250"/>
      <c r="J64" s="250"/>
      <c r="K64" s="250"/>
    </row>
    <row r="65" spans="1:8" x14ac:dyDescent="0.2">
      <c r="A65" s="208" t="s">
        <v>275</v>
      </c>
      <c r="B65" s="208"/>
      <c r="C65" s="208"/>
      <c r="D65" s="208"/>
      <c r="E65" s="208"/>
      <c r="F65" s="208"/>
      <c r="G65" s="220"/>
      <c r="H65" s="208"/>
    </row>
    <row r="66" spans="1:8" x14ac:dyDescent="0.2">
      <c r="A66" s="208" t="s">
        <v>276</v>
      </c>
      <c r="C66" s="208"/>
      <c r="D66" s="208"/>
      <c r="E66" s="208"/>
      <c r="F66" s="208"/>
      <c r="G66" s="208"/>
      <c r="H66" s="208"/>
    </row>
    <row r="67" spans="1:8" x14ac:dyDescent="0.2">
      <c r="A67" s="208" t="s">
        <v>277</v>
      </c>
      <c r="C67" s="208"/>
      <c r="D67" s="208"/>
      <c r="E67" s="208"/>
      <c r="F67" s="208"/>
      <c r="G67" s="208"/>
      <c r="H67" s="208"/>
    </row>
    <row r="68" spans="1:8" x14ac:dyDescent="0.2">
      <c r="A68" s="208" t="s">
        <v>278</v>
      </c>
      <c r="B68" s="208"/>
      <c r="C68" s="208"/>
      <c r="D68" s="208"/>
      <c r="E68" s="208"/>
      <c r="F68" s="208"/>
      <c r="G68" s="208"/>
      <c r="H68" s="208"/>
    </row>
    <row r="69" spans="1:8" x14ac:dyDescent="0.2">
      <c r="A69" s="208" t="s">
        <v>279</v>
      </c>
      <c r="B69" s="208"/>
      <c r="C69" s="208"/>
      <c r="D69" s="208"/>
      <c r="E69" s="208"/>
      <c r="F69" s="208"/>
      <c r="G69" s="208"/>
      <c r="H69" s="208"/>
    </row>
    <row r="70" spans="1:8" x14ac:dyDescent="0.2">
      <c r="A70" s="208" t="s">
        <v>280</v>
      </c>
    </row>
    <row r="71" spans="1:8" ht="12.75" customHeight="1" x14ac:dyDescent="0.2">
      <c r="A71" s="251"/>
      <c r="B71" s="208"/>
      <c r="C71" s="208"/>
      <c r="D71" s="208"/>
      <c r="E71" s="208"/>
      <c r="F71" s="208"/>
      <c r="G71" s="208"/>
      <c r="H71" s="208"/>
    </row>
    <row r="72" spans="1:8" x14ac:dyDescent="0.2">
      <c r="A72" s="208"/>
    </row>
    <row r="73" spans="1:8" x14ac:dyDescent="0.2">
      <c r="A73" s="208" t="s">
        <v>281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zoomScale="85" zoomScaleNormal="85" workbookViewId="0">
      <selection activeCell="I17" sqref="I17"/>
    </sheetView>
  </sheetViews>
  <sheetFormatPr defaultColWidth="7.21875" defaultRowHeight="15" x14ac:dyDescent="0.2"/>
  <cols>
    <col min="1" max="1" width="5.33203125" style="1" customWidth="1"/>
    <col min="2" max="2" width="2.77734375" style="1" customWidth="1"/>
    <col min="3" max="3" width="14.88671875" style="1" bestFit="1" customWidth="1"/>
    <col min="4" max="4" width="0.33203125" style="1" customWidth="1"/>
    <col min="5" max="5" width="12.77734375" style="1" customWidth="1"/>
    <col min="6" max="6" width="0.33203125" style="1" customWidth="1"/>
    <col min="7" max="7" width="12.77734375" style="1" customWidth="1"/>
    <col min="8" max="8" width="0.33203125" style="1" customWidth="1"/>
    <col min="9" max="9" width="12.77734375" style="1" customWidth="1"/>
    <col min="10" max="10" width="0.33203125" style="1" customWidth="1"/>
    <col min="11" max="11" width="12.77734375" style="1" customWidth="1"/>
    <col min="12" max="12" width="0.33203125" style="1" customWidth="1"/>
    <col min="13" max="13" width="12.77734375" style="1" customWidth="1"/>
    <col min="14" max="14" width="0.33203125" style="1" customWidth="1"/>
    <col min="15" max="15" width="12.77734375" style="1" customWidth="1"/>
    <col min="16" max="16" width="0.33203125" style="1" customWidth="1"/>
    <col min="17" max="17" width="12.77734375" style="1" customWidth="1"/>
    <col min="18" max="16384" width="7.21875" style="1"/>
  </cols>
  <sheetData>
    <row r="1" spans="1:17" x14ac:dyDescent="0.2">
      <c r="A1" s="1" t="s">
        <v>165</v>
      </c>
    </row>
    <row r="2" spans="1:17" x14ac:dyDescent="0.2">
      <c r="A2" s="172" t="s">
        <v>151</v>
      </c>
    </row>
    <row r="3" spans="1:17" x14ac:dyDescent="0.2">
      <c r="A3" s="152" t="s">
        <v>149</v>
      </c>
      <c r="B3" s="152"/>
      <c r="C3" s="152"/>
      <c r="D3" s="152"/>
      <c r="E3" s="152"/>
    </row>
    <row r="4" spans="1:17" x14ac:dyDescent="0.2">
      <c r="B4" s="172"/>
      <c r="C4" s="172"/>
      <c r="D4" s="172"/>
      <c r="E4" s="172"/>
    </row>
    <row r="5" spans="1:17" ht="15.75" x14ac:dyDescent="0.25">
      <c r="A5" s="252" t="s">
        <v>0</v>
      </c>
      <c r="B5" s="252"/>
      <c r="C5" s="252"/>
      <c r="D5" s="252"/>
      <c r="E5" s="252"/>
      <c r="F5" s="252"/>
      <c r="G5" s="252"/>
      <c r="H5" s="252"/>
      <c r="I5" s="252"/>
      <c r="J5" s="252"/>
      <c r="K5" s="252"/>
      <c r="L5" s="252"/>
      <c r="M5" s="252"/>
      <c r="N5" s="252"/>
      <c r="O5" s="252"/>
      <c r="P5" s="252"/>
      <c r="Q5" s="252"/>
    </row>
    <row r="6" spans="1:17" ht="15.75" x14ac:dyDescent="0.25">
      <c r="A6" s="252" t="s">
        <v>1</v>
      </c>
      <c r="B6" s="252"/>
      <c r="C6" s="252"/>
      <c r="D6" s="252"/>
      <c r="E6" s="252"/>
      <c r="F6" s="252"/>
      <c r="G6" s="252"/>
      <c r="H6" s="252"/>
      <c r="I6" s="252"/>
      <c r="J6" s="252"/>
      <c r="K6" s="252"/>
      <c r="L6" s="252"/>
      <c r="M6" s="252"/>
      <c r="N6" s="252"/>
      <c r="O6" s="252"/>
      <c r="P6" s="252"/>
      <c r="Q6" s="252"/>
    </row>
    <row r="7" spans="1:17" ht="15.75" x14ac:dyDescent="0.25">
      <c r="A7" s="252" t="s">
        <v>2</v>
      </c>
      <c r="B7" s="252"/>
      <c r="C7" s="252"/>
      <c r="D7" s="252"/>
      <c r="E7" s="252"/>
      <c r="F7" s="252"/>
      <c r="G7" s="252"/>
      <c r="H7" s="252"/>
      <c r="I7" s="252"/>
      <c r="J7" s="252"/>
      <c r="K7" s="252"/>
      <c r="L7" s="252"/>
      <c r="M7" s="252"/>
      <c r="N7" s="252"/>
      <c r="O7" s="252"/>
      <c r="P7" s="252"/>
      <c r="Q7" s="252"/>
    </row>
    <row r="8" spans="1:17" ht="15.75" x14ac:dyDescent="0.25">
      <c r="Q8" s="2"/>
    </row>
    <row r="10" spans="1:17" ht="15.75" x14ac:dyDescent="0.25">
      <c r="K10" s="3" t="s">
        <v>3</v>
      </c>
      <c r="M10" s="3" t="s">
        <v>4</v>
      </c>
      <c r="O10" s="3" t="s">
        <v>5</v>
      </c>
    </row>
    <row r="11" spans="1:17" ht="15.75" x14ac:dyDescent="0.25">
      <c r="E11" s="3" t="s">
        <v>6</v>
      </c>
      <c r="F11" s="3"/>
      <c r="G11" s="3" t="s">
        <v>7</v>
      </c>
      <c r="H11" s="4"/>
      <c r="I11" s="3" t="s">
        <v>8</v>
      </c>
      <c r="J11" s="3"/>
      <c r="K11" s="3" t="s">
        <v>9</v>
      </c>
      <c r="L11" s="3"/>
      <c r="M11" s="3" t="s">
        <v>10</v>
      </c>
      <c r="N11" s="3"/>
      <c r="O11" s="3" t="s">
        <v>11</v>
      </c>
      <c r="P11" s="3"/>
      <c r="Q11" s="3" t="s">
        <v>12</v>
      </c>
    </row>
    <row r="12" spans="1:17" ht="15.75" x14ac:dyDescent="0.25">
      <c r="A12" s="5" t="s">
        <v>13</v>
      </c>
      <c r="B12" s="5"/>
      <c r="E12" s="6" t="s">
        <v>14</v>
      </c>
      <c r="F12" s="6"/>
      <c r="G12" s="6" t="s">
        <v>15</v>
      </c>
      <c r="H12" s="6"/>
      <c r="I12" s="6" t="s">
        <v>16</v>
      </c>
      <c r="J12" s="6"/>
      <c r="K12" s="6" t="s">
        <v>17</v>
      </c>
      <c r="L12" s="6"/>
      <c r="M12" s="6" t="s">
        <v>18</v>
      </c>
      <c r="N12" s="6"/>
      <c r="O12" s="6" t="s">
        <v>19</v>
      </c>
      <c r="P12" s="3"/>
      <c r="Q12" s="6" t="s">
        <v>6</v>
      </c>
    </row>
    <row r="13" spans="1:17" ht="15.75" x14ac:dyDescent="0.25">
      <c r="A13" s="5"/>
      <c r="B13" s="5"/>
    </row>
    <row r="14" spans="1:17" ht="15.75" x14ac:dyDescent="0.25">
      <c r="A14" s="5"/>
      <c r="B14" s="5"/>
      <c r="C14" s="7" t="s">
        <v>20</v>
      </c>
      <c r="D14" s="8"/>
      <c r="E14" s="9"/>
      <c r="F14" s="9"/>
    </row>
    <row r="15" spans="1:17" x14ac:dyDescent="0.2">
      <c r="A15" s="10">
        <v>1</v>
      </c>
      <c r="B15" s="10"/>
      <c r="C15" s="8">
        <v>303</v>
      </c>
      <c r="D15" s="8"/>
      <c r="E15" s="9">
        <f>+[1]FCCS!F20</f>
        <v>2445929.91</v>
      </c>
      <c r="F15" s="9"/>
      <c r="G15" s="11">
        <v>0</v>
      </c>
      <c r="I15" s="11">
        <v>0</v>
      </c>
      <c r="J15" s="11"/>
      <c r="K15" s="11">
        <v>0</v>
      </c>
      <c r="M15" s="12"/>
      <c r="O15" s="13"/>
      <c r="Q15" s="9">
        <f t="shared" ref="Q15:Q23" si="0">SUM(E15:P15)</f>
        <v>2445929.91</v>
      </c>
    </row>
    <row r="16" spans="1:17" x14ac:dyDescent="0.2">
      <c r="A16" s="10">
        <f>1+A15</f>
        <v>2</v>
      </c>
      <c r="B16" s="10"/>
      <c r="C16" s="8">
        <v>310</v>
      </c>
      <c r="D16" s="8"/>
      <c r="E16" s="9">
        <f>+[1]FCCS!F21</f>
        <v>979536.67</v>
      </c>
      <c r="F16" s="9"/>
      <c r="G16" s="11">
        <v>-979536.67</v>
      </c>
      <c r="I16" s="11">
        <v>0</v>
      </c>
      <c r="J16" s="11"/>
      <c r="K16" s="11">
        <v>0</v>
      </c>
      <c r="M16" s="12"/>
      <c r="O16" s="13"/>
      <c r="Q16" s="9">
        <f t="shared" si="0"/>
        <v>0</v>
      </c>
    </row>
    <row r="17" spans="1:17" x14ac:dyDescent="0.2">
      <c r="A17" s="10">
        <f>1+A16</f>
        <v>3</v>
      </c>
      <c r="B17" s="10"/>
      <c r="C17" s="8">
        <v>311</v>
      </c>
      <c r="D17" s="8"/>
      <c r="E17" s="9">
        <f>+[1]FCCS!F22</f>
        <v>112373967.10000002</v>
      </c>
      <c r="F17" s="9"/>
      <c r="G17" s="11">
        <v>0</v>
      </c>
      <c r="I17" s="11">
        <v>0</v>
      </c>
      <c r="J17" s="11"/>
      <c r="K17" s="11">
        <v>0</v>
      </c>
      <c r="M17" s="12"/>
      <c r="O17" s="13"/>
      <c r="Q17" s="9">
        <f t="shared" si="0"/>
        <v>112373967.10000002</v>
      </c>
    </row>
    <row r="18" spans="1:17" x14ac:dyDescent="0.2">
      <c r="A18" s="10">
        <f t="shared" ref="A18:A26" si="1">1+A17</f>
        <v>4</v>
      </c>
      <c r="B18" s="10"/>
      <c r="C18" s="8">
        <v>312</v>
      </c>
      <c r="D18" s="8"/>
      <c r="E18" s="9">
        <f>+[1]FCCS!F23</f>
        <v>548315181.96000016</v>
      </c>
      <c r="F18" s="9"/>
      <c r="G18" s="11">
        <v>0</v>
      </c>
      <c r="I18" s="11">
        <v>0</v>
      </c>
      <c r="J18" s="11"/>
      <c r="K18" s="11">
        <f>-'[1]Asset Transfers'!Q387</f>
        <v>-10433037.560000001</v>
      </c>
      <c r="M18" s="12"/>
      <c r="O18" s="13"/>
      <c r="Q18" s="9">
        <f t="shared" si="0"/>
        <v>537882144.40000021</v>
      </c>
    </row>
    <row r="19" spans="1:17" x14ac:dyDescent="0.2">
      <c r="A19" s="10">
        <f t="shared" si="1"/>
        <v>5</v>
      </c>
      <c r="B19" s="10"/>
      <c r="C19" s="8">
        <v>314</v>
      </c>
      <c r="D19" s="8"/>
      <c r="E19" s="9">
        <f>+[1]FCCS!F24</f>
        <v>175700443.75999999</v>
      </c>
      <c r="F19" s="9"/>
      <c r="G19" s="11">
        <v>0</v>
      </c>
      <c r="I19" s="11">
        <v>0</v>
      </c>
      <c r="J19" s="11"/>
      <c r="K19" s="11">
        <f>-'[1]Asset Transfers'!Q388</f>
        <v>-23448007.499999996</v>
      </c>
      <c r="M19" s="12"/>
      <c r="O19" s="13"/>
      <c r="Q19" s="9">
        <f t="shared" si="0"/>
        <v>152252436.25999999</v>
      </c>
    </row>
    <row r="20" spans="1:17" x14ac:dyDescent="0.2">
      <c r="A20" s="10">
        <f t="shared" si="1"/>
        <v>6</v>
      </c>
      <c r="B20" s="10"/>
      <c r="C20" s="8">
        <v>315</v>
      </c>
      <c r="D20" s="8"/>
      <c r="E20" s="9">
        <f>+[1]FCCS!F25</f>
        <v>76358450.329999983</v>
      </c>
      <c r="F20" s="9"/>
      <c r="G20" s="11">
        <v>0</v>
      </c>
      <c r="I20" s="11">
        <v>0</v>
      </c>
      <c r="J20" s="11"/>
      <c r="K20" s="11">
        <f>-'[1]Asset Transfers'!Q389</f>
        <v>-6506368.8000000007</v>
      </c>
      <c r="M20" s="12"/>
      <c r="O20" s="13"/>
      <c r="Q20" s="9">
        <f t="shared" si="0"/>
        <v>69852081.529999986</v>
      </c>
    </row>
    <row r="21" spans="1:17" x14ac:dyDescent="0.2">
      <c r="A21" s="10">
        <f t="shared" si="1"/>
        <v>7</v>
      </c>
      <c r="B21" s="10"/>
      <c r="C21" s="8">
        <v>316</v>
      </c>
      <c r="D21" s="8"/>
      <c r="E21" s="9">
        <f>+[1]FCCS!F27</f>
        <v>21360767.339999996</v>
      </c>
      <c r="F21" s="9"/>
      <c r="G21" s="11">
        <v>0</v>
      </c>
      <c r="I21" s="153">
        <f>'Additions - Revised'!P13</f>
        <v>1835456.9441</v>
      </c>
      <c r="J21" s="11"/>
      <c r="K21" s="11">
        <f>-'[1]Asset Transfers'!Q390</f>
        <v>-4959409.2500000009</v>
      </c>
      <c r="M21" s="12"/>
      <c r="O21" s="13"/>
      <c r="Q21" s="9">
        <f t="shared" si="0"/>
        <v>18236815.034099996</v>
      </c>
    </row>
    <row r="22" spans="1:17" x14ac:dyDescent="0.2">
      <c r="A22" s="10">
        <f t="shared" si="1"/>
        <v>8</v>
      </c>
      <c r="B22" s="10"/>
      <c r="C22" s="8">
        <v>316.20999999999998</v>
      </c>
      <c r="D22" s="8"/>
      <c r="E22" s="9">
        <f>+[1]FCCS!F28</f>
        <v>584317.91</v>
      </c>
      <c r="F22" s="9"/>
      <c r="G22" s="11">
        <v>0</v>
      </c>
      <c r="I22" s="11">
        <v>0</v>
      </c>
      <c r="J22" s="11"/>
      <c r="K22" s="11">
        <v>0</v>
      </c>
      <c r="M22" s="12"/>
      <c r="O22" s="13"/>
      <c r="Q22" s="9">
        <f t="shared" si="0"/>
        <v>584317.91</v>
      </c>
    </row>
    <row r="23" spans="1:17" x14ac:dyDescent="0.2">
      <c r="A23" s="10">
        <f t="shared" si="1"/>
        <v>9</v>
      </c>
      <c r="B23" s="10"/>
      <c r="C23" s="8">
        <v>316.22000000000003</v>
      </c>
      <c r="D23" s="8"/>
      <c r="E23" s="9">
        <f>+[1]FCCS!F29</f>
        <v>516284.61</v>
      </c>
      <c r="F23" s="9"/>
      <c r="G23" s="11">
        <v>0</v>
      </c>
      <c r="I23" s="11">
        <v>0</v>
      </c>
      <c r="J23" s="11"/>
      <c r="K23" s="11">
        <v>0</v>
      </c>
      <c r="M23" s="12"/>
      <c r="O23" s="13"/>
      <c r="Q23" s="9">
        <f t="shared" si="0"/>
        <v>516284.61</v>
      </c>
    </row>
    <row r="24" spans="1:17" x14ac:dyDescent="0.2">
      <c r="A24" s="10">
        <f t="shared" si="1"/>
        <v>10</v>
      </c>
      <c r="B24" s="10"/>
      <c r="C24" s="8">
        <v>316.23</v>
      </c>
      <c r="D24" s="8"/>
      <c r="E24" s="9">
        <f>+[1]FCCS!F30</f>
        <v>1331142.26</v>
      </c>
      <c r="F24" s="9"/>
      <c r="G24" s="11">
        <v>0</v>
      </c>
      <c r="I24" s="11">
        <v>0</v>
      </c>
      <c r="J24" s="11"/>
      <c r="K24" s="11">
        <v>0</v>
      </c>
      <c r="M24" s="12"/>
      <c r="O24" s="13"/>
      <c r="Q24" s="9">
        <f t="shared" ref="Q24:Q25" si="2">SUM(E24:P24)</f>
        <v>1331142.26</v>
      </c>
    </row>
    <row r="25" spans="1:17" x14ac:dyDescent="0.2">
      <c r="A25" s="10">
        <f t="shared" si="1"/>
        <v>11</v>
      </c>
      <c r="B25" s="10"/>
      <c r="C25" s="8">
        <v>392</v>
      </c>
      <c r="D25" s="8"/>
      <c r="E25" s="9">
        <f>+[1]FCCS!F32</f>
        <v>432687.33999999997</v>
      </c>
      <c r="F25" s="9"/>
      <c r="G25" s="11">
        <v>0</v>
      </c>
      <c r="H25" s="14"/>
      <c r="I25" s="11">
        <v>0</v>
      </c>
      <c r="J25" s="11"/>
      <c r="K25" s="11">
        <f>-'[1]Asset Transfers'!Q391</f>
        <v>-48204.39</v>
      </c>
      <c r="M25" s="12"/>
      <c r="O25" s="13"/>
      <c r="Q25" s="15">
        <f t="shared" si="2"/>
        <v>384482.94999999995</v>
      </c>
    </row>
    <row r="26" spans="1:17" x14ac:dyDescent="0.2">
      <c r="A26" s="10">
        <f t="shared" si="1"/>
        <v>12</v>
      </c>
      <c r="B26" s="10"/>
      <c r="C26" s="8" t="s">
        <v>21</v>
      </c>
      <c r="D26" s="8"/>
      <c r="E26" s="16">
        <f>SUM(E15:E25)</f>
        <v>940398709.1900003</v>
      </c>
      <c r="F26" s="16"/>
      <c r="G26" s="16">
        <f>SUM(G15:G25)</f>
        <v>-979536.67</v>
      </c>
      <c r="I26" s="16">
        <f>SUM(I15:I25)</f>
        <v>1835456.9441</v>
      </c>
      <c r="J26" s="17"/>
      <c r="K26" s="16">
        <f>SUM(K15:K25)</f>
        <v>-45395027.5</v>
      </c>
      <c r="M26" s="12"/>
      <c r="O26" s="13"/>
      <c r="Q26" s="16">
        <f>SUM(Q15:Q25)</f>
        <v>895859601.96410012</v>
      </c>
    </row>
    <row r="27" spans="1:17" x14ac:dyDescent="0.2">
      <c r="A27" s="10"/>
      <c r="B27" s="10"/>
    </row>
    <row r="28" spans="1:17" ht="15.75" x14ac:dyDescent="0.25">
      <c r="A28" s="10">
        <f>1+A26</f>
        <v>13</v>
      </c>
      <c r="B28" s="10"/>
      <c r="C28" s="7" t="s">
        <v>19</v>
      </c>
    </row>
    <row r="29" spans="1:17" x14ac:dyDescent="0.2">
      <c r="A29" s="10">
        <f>1+A28</f>
        <v>14</v>
      </c>
      <c r="C29" s="8">
        <v>303</v>
      </c>
      <c r="E29" s="15">
        <f>-[1]FCCS!F34</f>
        <v>2435096.9100000006</v>
      </c>
      <c r="F29" s="15"/>
      <c r="G29" s="13"/>
      <c r="I29" s="13"/>
      <c r="M29" s="12"/>
      <c r="O29" s="15">
        <f>433.32*15.5</f>
        <v>6716.46</v>
      </c>
      <c r="Q29" s="15">
        <f t="shared" ref="Q29:Q37" si="3">SUM(E29:P29)</f>
        <v>2441813.3700000006</v>
      </c>
    </row>
    <row r="30" spans="1:17" x14ac:dyDescent="0.2">
      <c r="A30" s="10">
        <f>1+A29</f>
        <v>15</v>
      </c>
      <c r="C30" s="8">
        <v>310</v>
      </c>
      <c r="E30" s="15">
        <v>0</v>
      </c>
      <c r="F30" s="15"/>
      <c r="G30" s="13"/>
      <c r="I30" s="13"/>
      <c r="M30" s="18">
        <v>0</v>
      </c>
      <c r="O30" s="15">
        <v>0</v>
      </c>
      <c r="Q30" s="15">
        <v>0</v>
      </c>
    </row>
    <row r="31" spans="1:17" x14ac:dyDescent="0.2">
      <c r="A31" s="10">
        <f>1+A30</f>
        <v>16</v>
      </c>
      <c r="B31" s="10"/>
      <c r="C31" s="8">
        <v>311</v>
      </c>
      <c r="E31" s="15">
        <f>-[1]FCCS!F36</f>
        <v>42697274.460000001</v>
      </c>
      <c r="F31" s="15"/>
      <c r="G31" s="13"/>
      <c r="I31" s="19"/>
      <c r="K31" s="15"/>
      <c r="M31" s="18">
        <v>3.56E-2</v>
      </c>
      <c r="O31" s="15">
        <f>+E17*((M31/12)*15.5)+I17*(M31/12)*15.5/2</f>
        <v>5167329.5871483339</v>
      </c>
      <c r="Q31" s="15">
        <f t="shared" si="3"/>
        <v>47864604.082748331</v>
      </c>
    </row>
    <row r="32" spans="1:17" x14ac:dyDescent="0.2">
      <c r="A32" s="10">
        <f t="shared" ref="A32:A40" si="4">1+A31</f>
        <v>17</v>
      </c>
      <c r="B32" s="10"/>
      <c r="C32" s="8">
        <v>312</v>
      </c>
      <c r="E32" s="15">
        <f>-[1]FCCS!F37</f>
        <v>228940115.04999998</v>
      </c>
      <c r="F32" s="15"/>
      <c r="G32" s="13"/>
      <c r="I32" s="13"/>
      <c r="K32" s="15">
        <f>-'[1]Asset Transfers'!R387-'[1]Asset Transfers'!V387</f>
        <v>-3920769.292151331</v>
      </c>
      <c r="M32" s="18">
        <v>4.1200000000000001E-2</v>
      </c>
      <c r="O32" s="15">
        <f t="shared" ref="O32:O39" si="5">+E18*((M32/12)*15.5)+I18*(M32/12)*15.5/2</f>
        <v>29179506.266638011</v>
      </c>
      <c r="Q32" s="15">
        <f t="shared" si="3"/>
        <v>254198852.06568667</v>
      </c>
    </row>
    <row r="33" spans="1:17" x14ac:dyDescent="0.2">
      <c r="A33" s="10">
        <f t="shared" si="4"/>
        <v>18</v>
      </c>
      <c r="B33" s="10"/>
      <c r="C33" s="8">
        <v>314</v>
      </c>
      <c r="E33" s="15">
        <f>-[1]FCCS!F38</f>
        <v>85188280.940000013</v>
      </c>
      <c r="F33" s="15"/>
      <c r="G33" s="13"/>
      <c r="I33" s="13"/>
      <c r="K33" s="15">
        <f>-'[1]Asset Transfers'!R388-'[1]Asset Transfers'!V388</f>
        <v>-10951342.145187501</v>
      </c>
      <c r="M33" s="18">
        <v>3.4599999999999999E-2</v>
      </c>
      <c r="O33" s="15">
        <f t="shared" si="5"/>
        <v>7852345.6657073321</v>
      </c>
      <c r="Q33" s="15">
        <f t="shared" si="3"/>
        <v>82089284.495119855</v>
      </c>
    </row>
    <row r="34" spans="1:17" x14ac:dyDescent="0.2">
      <c r="A34" s="10">
        <f t="shared" si="4"/>
        <v>19</v>
      </c>
      <c r="C34" s="8">
        <v>315</v>
      </c>
      <c r="E34" s="15">
        <f>-[1]FCCS!F39</f>
        <v>30775074.140000001</v>
      </c>
      <c r="F34" s="15"/>
      <c r="G34" s="13"/>
      <c r="I34" s="13"/>
      <c r="K34" s="15">
        <f>-'[1]Asset Transfers'!R389-'[1]Asset Transfers'!V389</f>
        <v>-1498981.2172599998</v>
      </c>
      <c r="M34" s="18">
        <v>3.5799999999999998E-2</v>
      </c>
      <c r="O34" s="15">
        <f t="shared" si="5"/>
        <v>3530942.0073430822</v>
      </c>
      <c r="Q34" s="15">
        <f t="shared" si="3"/>
        <v>32807034.965883084</v>
      </c>
    </row>
    <row r="35" spans="1:17" x14ac:dyDescent="0.2">
      <c r="A35" s="10">
        <f t="shared" si="4"/>
        <v>20</v>
      </c>
      <c r="B35" s="10"/>
      <c r="C35" s="8">
        <v>316</v>
      </c>
      <c r="E35" s="15">
        <f>-[1]FCCS!F41</f>
        <v>4907021.1100000013</v>
      </c>
      <c r="F35" s="15"/>
      <c r="G35" s="13"/>
      <c r="I35" s="13"/>
      <c r="K35" s="15">
        <f>-'[1]Asset Transfers'!R390-'[1]Asset Transfers'!V390</f>
        <v>-1425847.6627781254</v>
      </c>
      <c r="M35" s="18">
        <v>5.6099999999999997E-2</v>
      </c>
      <c r="O35" s="15">
        <f t="shared" si="5"/>
        <v>1614355.5027806726</v>
      </c>
      <c r="Q35" s="15">
        <f t="shared" si="3"/>
        <v>5095529.0061025489</v>
      </c>
    </row>
    <row r="36" spans="1:17" x14ac:dyDescent="0.2">
      <c r="A36" s="10">
        <f t="shared" si="4"/>
        <v>21</v>
      </c>
      <c r="B36" s="10"/>
      <c r="C36" s="8">
        <v>316.20999999999998</v>
      </c>
      <c r="E36" s="15">
        <f>-[1]FCCS!F42</f>
        <v>275680.40999999997</v>
      </c>
      <c r="F36" s="15"/>
      <c r="G36" s="13"/>
      <c r="I36" s="13"/>
      <c r="K36" s="15"/>
      <c r="M36" s="18">
        <v>0.05</v>
      </c>
      <c r="O36" s="15">
        <f t="shared" si="5"/>
        <v>37737.198354166663</v>
      </c>
      <c r="Q36" s="15">
        <f t="shared" si="3"/>
        <v>313417.6583541666</v>
      </c>
    </row>
    <row r="37" spans="1:17" x14ac:dyDescent="0.2">
      <c r="A37" s="10">
        <f t="shared" si="4"/>
        <v>22</v>
      </c>
      <c r="B37" s="10"/>
      <c r="C37" s="8">
        <v>316.22000000000003</v>
      </c>
      <c r="E37" s="15">
        <f>-[1]FCCS!F43</f>
        <v>362830.44</v>
      </c>
      <c r="F37" s="15"/>
      <c r="G37" s="13"/>
      <c r="I37" s="13"/>
      <c r="K37" s="15"/>
      <c r="M37" s="18">
        <v>6.6699999999999995E-2</v>
      </c>
      <c r="O37" s="15">
        <f t="shared" si="5"/>
        <v>44480.070337374993</v>
      </c>
      <c r="Q37" s="15">
        <f t="shared" si="3"/>
        <v>407310.57703737501</v>
      </c>
    </row>
    <row r="38" spans="1:17" x14ac:dyDescent="0.2">
      <c r="A38" s="10">
        <f t="shared" si="4"/>
        <v>23</v>
      </c>
      <c r="C38" s="8">
        <v>316.23</v>
      </c>
      <c r="E38" s="15">
        <f>-[1]FCCS!F44</f>
        <v>1180137.92</v>
      </c>
      <c r="F38" s="15"/>
      <c r="G38" s="13"/>
      <c r="I38" s="13"/>
      <c r="M38" s="18">
        <v>0.2</v>
      </c>
      <c r="O38" s="15">
        <f t="shared" si="5"/>
        <v>343878.41716666665</v>
      </c>
      <c r="Q38" s="15">
        <f>IF(SUM(E38:P38)&lt;Q24,SUM(E38:O38),Q24)</f>
        <v>1331142.26</v>
      </c>
    </row>
    <row r="39" spans="1:17" x14ac:dyDescent="0.2">
      <c r="A39" s="10">
        <f t="shared" si="4"/>
        <v>24</v>
      </c>
      <c r="C39" s="8">
        <v>392</v>
      </c>
      <c r="E39" s="15">
        <f>-[1]FCCS!F46</f>
        <v>538922.09000000008</v>
      </c>
      <c r="F39" s="15"/>
      <c r="G39" s="13"/>
      <c r="I39" s="13"/>
      <c r="K39" s="15">
        <f>-'[1]Asset Transfers'!R391-'[1]Asset Transfers'!V391</f>
        <v>-55639.453420500002</v>
      </c>
      <c r="M39" s="18">
        <f>+'[1]Asset Transfers'!AB6</f>
        <v>5.8799999999999998E-2</v>
      </c>
      <c r="O39" s="15">
        <f t="shared" si="5"/>
        <v>32862.603472999996</v>
      </c>
      <c r="Q39" s="15">
        <f>IF(SUM(E39:P39)&lt;Q25,SUM(E39:O39),Q25)</f>
        <v>384482.94999999995</v>
      </c>
    </row>
    <row r="40" spans="1:17" ht="12.75" customHeight="1" x14ac:dyDescent="0.2">
      <c r="A40" s="10">
        <f t="shared" si="4"/>
        <v>25</v>
      </c>
      <c r="B40" s="20"/>
      <c r="C40" s="8" t="s">
        <v>21</v>
      </c>
      <c r="E40" s="16">
        <f>SUM(E29:E39)</f>
        <v>397300433.46999997</v>
      </c>
      <c r="F40" s="16"/>
      <c r="G40" s="13"/>
      <c r="I40" s="13"/>
      <c r="K40" s="16">
        <f>SUM(K29:K39)</f>
        <v>-17852579.770797458</v>
      </c>
      <c r="M40" s="13"/>
      <c r="O40" s="16">
        <f>SUM(O29:O39)</f>
        <v>47810153.77894865</v>
      </c>
      <c r="Q40" s="16">
        <f>SUM(Q29:Q39)</f>
        <v>426933471.43093204</v>
      </c>
    </row>
    <row r="41" spans="1:17" x14ac:dyDescent="0.2">
      <c r="E41" s="11"/>
      <c r="F41" s="11"/>
    </row>
  </sheetData>
  <mergeCells count="3">
    <mergeCell ref="A5:Q5"/>
    <mergeCell ref="A6:Q6"/>
    <mergeCell ref="A7:Q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zoomScale="70" zoomScaleNormal="70" workbookViewId="0">
      <selection activeCell="I22" sqref="I22"/>
    </sheetView>
  </sheetViews>
  <sheetFormatPr defaultColWidth="7.5546875" defaultRowHeight="15" x14ac:dyDescent="0.2"/>
  <cols>
    <col min="1" max="1" width="36.44140625" style="176" bestFit="1" customWidth="1"/>
    <col min="2" max="15" width="8.77734375" style="176" bestFit="1" customWidth="1"/>
    <col min="16" max="16" width="10.21875" style="177" bestFit="1" customWidth="1"/>
    <col min="17" max="16384" width="7.5546875" style="176"/>
  </cols>
  <sheetData>
    <row r="1" spans="1:16" x14ac:dyDescent="0.2">
      <c r="A1" s="190" t="s">
        <v>187</v>
      </c>
    </row>
    <row r="2" spans="1:16" x14ac:dyDescent="0.2">
      <c r="A2" s="190" t="s">
        <v>188</v>
      </c>
    </row>
    <row r="6" spans="1:16" ht="15.75" x14ac:dyDescent="0.25">
      <c r="A6" s="178" t="s">
        <v>166</v>
      </c>
      <c r="B6" s="178" t="s">
        <v>167</v>
      </c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</row>
    <row r="7" spans="1:16" ht="15.75" x14ac:dyDescent="0.25">
      <c r="A7" s="178"/>
      <c r="B7" s="178">
        <v>2023</v>
      </c>
      <c r="C7" s="178"/>
      <c r="D7" s="178"/>
      <c r="E7" s="178"/>
      <c r="F7" s="178"/>
      <c r="G7" s="178"/>
      <c r="H7" s="178">
        <v>2024</v>
      </c>
      <c r="I7" s="178"/>
      <c r="J7" s="178"/>
      <c r="K7" s="178"/>
      <c r="L7" s="178"/>
      <c r="M7" s="178"/>
      <c r="N7" s="178"/>
      <c r="O7" s="178"/>
    </row>
    <row r="8" spans="1:16" ht="15.75" x14ac:dyDescent="0.25">
      <c r="A8" s="179" t="s">
        <v>168</v>
      </c>
      <c r="B8" s="179" t="s">
        <v>169</v>
      </c>
      <c r="C8" s="179" t="s">
        <v>170</v>
      </c>
      <c r="D8" s="179" t="s">
        <v>171</v>
      </c>
      <c r="E8" s="179" t="s">
        <v>172</v>
      </c>
      <c r="F8" s="179" t="s">
        <v>173</v>
      </c>
      <c r="G8" s="179" t="s">
        <v>174</v>
      </c>
      <c r="H8" s="179" t="s">
        <v>175</v>
      </c>
      <c r="I8" s="179" t="s">
        <v>176</v>
      </c>
      <c r="J8" s="179" t="s">
        <v>177</v>
      </c>
      <c r="K8" s="179" t="s">
        <v>178</v>
      </c>
      <c r="L8" s="179" t="s">
        <v>179</v>
      </c>
      <c r="M8" s="179" t="s">
        <v>180</v>
      </c>
      <c r="N8" s="179" t="s">
        <v>169</v>
      </c>
      <c r="O8" s="179" t="s">
        <v>170</v>
      </c>
      <c r="P8" s="180" t="s">
        <v>21</v>
      </c>
    </row>
    <row r="9" spans="1:16" ht="15.75" x14ac:dyDescent="0.25">
      <c r="A9" s="181" t="s">
        <v>181</v>
      </c>
      <c r="B9" s="182">
        <v>108419.7126</v>
      </c>
      <c r="C9" s="182">
        <v>105102.2993</v>
      </c>
      <c r="D9" s="182">
        <v>101024.25629999999</v>
      </c>
      <c r="E9" s="182">
        <v>100238.7779</v>
      </c>
      <c r="F9" s="182">
        <v>106954.8924</v>
      </c>
      <c r="G9" s="182">
        <v>108359.4483</v>
      </c>
      <c r="H9" s="182">
        <v>145535.61129999999</v>
      </c>
      <c r="I9" s="182">
        <v>156031.9786</v>
      </c>
      <c r="J9" s="182">
        <v>153633.37640000001</v>
      </c>
      <c r="K9" s="182">
        <v>148501.64230000001</v>
      </c>
      <c r="L9" s="182">
        <v>151887.53700000001</v>
      </c>
      <c r="M9" s="182">
        <v>146520.04329999999</v>
      </c>
      <c r="N9" s="182">
        <v>149017.5912</v>
      </c>
      <c r="O9" s="182">
        <v>154229.77720000001</v>
      </c>
      <c r="P9" s="183"/>
    </row>
    <row r="10" spans="1:16" ht="15.75" x14ac:dyDescent="0.25">
      <c r="A10" s="184" t="s">
        <v>182</v>
      </c>
      <c r="B10" s="185">
        <v>108419.7126</v>
      </c>
      <c r="C10" s="185">
        <v>105102.2993</v>
      </c>
      <c r="D10" s="185">
        <v>101024.25629999999</v>
      </c>
      <c r="E10" s="185">
        <v>100238.7779</v>
      </c>
      <c r="F10" s="185">
        <v>106954.8924</v>
      </c>
      <c r="G10" s="185">
        <v>108359.4483</v>
      </c>
      <c r="H10" s="185">
        <v>145535.61129999999</v>
      </c>
      <c r="I10" s="185">
        <v>156031.9786</v>
      </c>
      <c r="J10" s="185">
        <v>153633.37640000001</v>
      </c>
      <c r="K10" s="185">
        <v>148501.64230000001</v>
      </c>
      <c r="L10" s="185">
        <v>151887.53700000001</v>
      </c>
      <c r="M10" s="185">
        <v>146520.04329999999</v>
      </c>
      <c r="N10" s="185">
        <v>149017.5912</v>
      </c>
      <c r="O10" s="185">
        <v>154229.77720000001</v>
      </c>
      <c r="P10" s="183"/>
    </row>
    <row r="11" spans="1:16" x14ac:dyDescent="0.2">
      <c r="A11" s="173" t="s">
        <v>183</v>
      </c>
      <c r="B11" s="174">
        <v>108419.7126</v>
      </c>
      <c r="C11" s="174">
        <v>105102.2993</v>
      </c>
      <c r="D11" s="174">
        <v>101024.25629999999</v>
      </c>
      <c r="E11" s="174">
        <v>100238.7779</v>
      </c>
      <c r="F11" s="174">
        <v>106954.8924</v>
      </c>
      <c r="G11" s="174">
        <v>108359.4483</v>
      </c>
      <c r="H11" s="174">
        <v>145535.61129999999</v>
      </c>
      <c r="I11" s="174">
        <v>156031.9786</v>
      </c>
      <c r="J11" s="174">
        <v>153633.37640000001</v>
      </c>
      <c r="K11" s="174">
        <v>148501.64230000001</v>
      </c>
      <c r="L11" s="174">
        <v>151887.53700000001</v>
      </c>
      <c r="M11" s="174">
        <v>146520.04329999999</v>
      </c>
      <c r="N11" s="174">
        <v>149017.5912</v>
      </c>
      <c r="O11" s="174">
        <v>154229.77720000001</v>
      </c>
      <c r="P11" s="183"/>
    </row>
    <row r="12" spans="1:16" ht="15.75" x14ac:dyDescent="0.25">
      <c r="A12" s="186" t="s">
        <v>184</v>
      </c>
      <c r="B12" s="185">
        <v>108419.7126</v>
      </c>
      <c r="C12" s="185">
        <v>105102.2993</v>
      </c>
      <c r="D12" s="185">
        <v>101024.25629999999</v>
      </c>
      <c r="E12" s="185">
        <v>100238.7779</v>
      </c>
      <c r="F12" s="185">
        <v>106954.8924</v>
      </c>
      <c r="G12" s="185">
        <v>108359.4483</v>
      </c>
      <c r="H12" s="185">
        <v>145535.61129999999</v>
      </c>
      <c r="I12" s="185">
        <v>156031.9786</v>
      </c>
      <c r="J12" s="185">
        <v>153633.37640000001</v>
      </c>
      <c r="K12" s="185">
        <v>148501.64230000001</v>
      </c>
      <c r="L12" s="185">
        <v>151887.53700000001</v>
      </c>
      <c r="M12" s="185">
        <v>146520.04329999999</v>
      </c>
      <c r="N12" s="185">
        <v>149017.5912</v>
      </c>
      <c r="O12" s="185">
        <v>154229.77720000001</v>
      </c>
      <c r="P12" s="183"/>
    </row>
    <row r="13" spans="1:16" ht="15.75" x14ac:dyDescent="0.25">
      <c r="A13" s="175" t="s">
        <v>185</v>
      </c>
      <c r="B13" s="174">
        <v>108419.7126</v>
      </c>
      <c r="C13" s="174">
        <v>105102.2993</v>
      </c>
      <c r="D13" s="174">
        <v>101024.25629999999</v>
      </c>
      <c r="E13" s="174">
        <v>100238.7779</v>
      </c>
      <c r="F13" s="174">
        <v>106954.8924</v>
      </c>
      <c r="G13" s="174">
        <v>108359.4483</v>
      </c>
      <c r="H13" s="174">
        <v>145535.61129999999</v>
      </c>
      <c r="I13" s="174">
        <v>156031.9786</v>
      </c>
      <c r="J13" s="174">
        <v>153633.37640000001</v>
      </c>
      <c r="K13" s="174">
        <v>148501.64230000001</v>
      </c>
      <c r="L13" s="174">
        <v>151887.53700000001</v>
      </c>
      <c r="M13" s="174">
        <v>146520.04329999999</v>
      </c>
      <c r="N13" s="174">
        <v>149017.5912</v>
      </c>
      <c r="O13" s="174">
        <v>154229.77720000001</v>
      </c>
      <c r="P13" s="187">
        <f>SUM(B13:O13)</f>
        <v>1835456.9441</v>
      </c>
    </row>
    <row r="14" spans="1:16" ht="15.75" x14ac:dyDescent="0.25">
      <c r="A14" s="188" t="s">
        <v>186</v>
      </c>
      <c r="B14" s="189">
        <v>108419.7126</v>
      </c>
      <c r="C14" s="189">
        <v>105102.2993</v>
      </c>
      <c r="D14" s="189">
        <v>101024.25629999999</v>
      </c>
      <c r="E14" s="189">
        <v>100238.7779</v>
      </c>
      <c r="F14" s="189">
        <v>106954.8924</v>
      </c>
      <c r="G14" s="189">
        <v>108359.4483</v>
      </c>
      <c r="H14" s="189">
        <v>145535.61129999999</v>
      </c>
      <c r="I14" s="189">
        <v>156031.9786</v>
      </c>
      <c r="J14" s="189">
        <v>153633.37640000001</v>
      </c>
      <c r="K14" s="189">
        <v>148501.64230000001</v>
      </c>
      <c r="L14" s="189">
        <v>151887.53700000001</v>
      </c>
      <c r="M14" s="189">
        <v>146520.04329999999</v>
      </c>
      <c r="N14" s="189">
        <v>149017.5912</v>
      </c>
      <c r="O14" s="189">
        <v>154229.77720000001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11"/>
  <sheetViews>
    <sheetView zoomScale="85" zoomScaleNormal="85" workbookViewId="0">
      <selection activeCell="C26" sqref="C26"/>
    </sheetView>
  </sheetViews>
  <sheetFormatPr defaultColWidth="7.5546875" defaultRowHeight="15" x14ac:dyDescent="0.2"/>
  <cols>
    <col min="1" max="1" width="5.77734375" style="1" customWidth="1"/>
    <col min="2" max="2" width="3.44140625" style="1" customWidth="1"/>
    <col min="3" max="3" width="44.77734375" style="1" customWidth="1"/>
    <col min="4" max="4" width="15.33203125" style="1" customWidth="1"/>
    <col min="5" max="5" width="3.44140625" style="1" customWidth="1"/>
    <col min="6" max="6" width="14.109375" style="1" customWidth="1"/>
    <col min="7" max="16384" width="7.5546875" style="1"/>
  </cols>
  <sheetData>
    <row r="1" spans="1:23" ht="15.75" x14ac:dyDescent="0.25">
      <c r="A1" s="23" t="s">
        <v>0</v>
      </c>
      <c r="B1" s="151"/>
      <c r="C1" s="151"/>
      <c r="D1" s="151"/>
      <c r="E1" s="151"/>
      <c r="F1" s="151"/>
    </row>
    <row r="2" spans="1:23" ht="15.75" x14ac:dyDescent="0.25">
      <c r="A2" s="23" t="s">
        <v>189</v>
      </c>
      <c r="B2" s="3"/>
      <c r="C2" s="3"/>
      <c r="D2" s="3"/>
      <c r="E2" s="3"/>
      <c r="F2" s="3"/>
    </row>
    <row r="3" spans="1:23" ht="15.75" x14ac:dyDescent="0.25">
      <c r="A3" s="23" t="s">
        <v>2</v>
      </c>
      <c r="B3" s="3"/>
      <c r="C3" s="3"/>
      <c r="D3" s="3"/>
      <c r="E3" s="3"/>
      <c r="F3" s="3"/>
    </row>
    <row r="4" spans="1:23" ht="15.75" x14ac:dyDescent="0.25">
      <c r="A4" s="1" t="s">
        <v>285</v>
      </c>
      <c r="D4" s="3"/>
      <c r="F4" s="2"/>
    </row>
    <row r="5" spans="1:23" ht="15.75" x14ac:dyDescent="0.25">
      <c r="D5" s="3"/>
      <c r="F5" s="3"/>
    </row>
    <row r="6" spans="1:23" ht="15.75" x14ac:dyDescent="0.25">
      <c r="D6" s="3"/>
      <c r="E6" s="3"/>
      <c r="F6" s="3" t="s">
        <v>131</v>
      </c>
    </row>
    <row r="7" spans="1:23" ht="15.75" x14ac:dyDescent="0.25">
      <c r="A7" s="5" t="s">
        <v>13</v>
      </c>
      <c r="B7" s="5"/>
      <c r="C7" s="6" t="s">
        <v>23</v>
      </c>
      <c r="D7" s="5" t="s">
        <v>132</v>
      </c>
      <c r="E7" s="5"/>
      <c r="F7" s="5" t="s">
        <v>133</v>
      </c>
    </row>
    <row r="8" spans="1:23" ht="15.75" x14ac:dyDescent="0.25">
      <c r="A8" s="5"/>
      <c r="B8" s="5"/>
      <c r="C8" s="3" t="s">
        <v>98</v>
      </c>
      <c r="D8" s="3" t="s">
        <v>99</v>
      </c>
      <c r="E8" s="3"/>
      <c r="F8" s="134" t="str">
        <f>+"("&amp;"C)"</f>
        <v>(C)</v>
      </c>
    </row>
    <row r="9" spans="1:23" ht="15.75" x14ac:dyDescent="0.25">
      <c r="A9" s="5"/>
      <c r="B9" s="5"/>
      <c r="C9" s="135"/>
      <c r="D9" s="136"/>
      <c r="E9" s="136"/>
      <c r="F9" s="136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</row>
    <row r="10" spans="1:23" x14ac:dyDescent="0.2">
      <c r="A10" s="10">
        <v>1</v>
      </c>
      <c r="B10" s="10"/>
      <c r="C10" s="1" t="s">
        <v>134</v>
      </c>
      <c r="D10" s="138">
        <f>Summary!E24</f>
        <v>490969073.97422981</v>
      </c>
      <c r="E10" s="138"/>
      <c r="F10" s="138">
        <f>D10</f>
        <v>490969073.97422981</v>
      </c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</row>
    <row r="11" spans="1:23" ht="15.75" x14ac:dyDescent="0.25">
      <c r="A11" s="10">
        <f>1+A10</f>
        <v>2</v>
      </c>
      <c r="B11" s="5"/>
      <c r="C11" s="1" t="s">
        <v>135</v>
      </c>
      <c r="D11" s="139">
        <f>Summary!E26</f>
        <v>6514154.9796304647</v>
      </c>
      <c r="E11" s="138"/>
      <c r="F11" s="139">
        <v>0</v>
      </c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</row>
    <row r="12" spans="1:23" x14ac:dyDescent="0.2">
      <c r="A12" s="10">
        <f>1+A11</f>
        <v>3</v>
      </c>
      <c r="B12" s="10"/>
      <c r="C12" s="1" t="s">
        <v>21</v>
      </c>
      <c r="D12" s="138">
        <f>D10+D11</f>
        <v>497483228.95386028</v>
      </c>
      <c r="E12" s="138"/>
      <c r="F12" s="138">
        <f>F10+F11</f>
        <v>490969073.97422981</v>
      </c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</row>
    <row r="13" spans="1:23" x14ac:dyDescent="0.2">
      <c r="A13" s="10"/>
      <c r="B13" s="10"/>
      <c r="D13" s="140"/>
      <c r="E13" s="140"/>
      <c r="F13" s="140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</row>
    <row r="14" spans="1:23" x14ac:dyDescent="0.2">
      <c r="A14" s="10">
        <f>1+A12</f>
        <v>4</v>
      </c>
      <c r="B14" s="10"/>
      <c r="C14" s="1" t="s">
        <v>136</v>
      </c>
      <c r="D14" s="141">
        <f>Summary!E29</f>
        <v>5.5910000000000001E-2</v>
      </c>
      <c r="E14" s="141"/>
      <c r="F14" s="141">
        <v>6.8210000000000007E-2</v>
      </c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</row>
    <row r="15" spans="1:23" x14ac:dyDescent="0.2">
      <c r="A15" s="10">
        <f>1+A14</f>
        <v>5</v>
      </c>
      <c r="B15" s="10"/>
      <c r="C15" s="1" t="s">
        <v>137</v>
      </c>
      <c r="D15" s="142">
        <v>0</v>
      </c>
      <c r="E15" s="142"/>
      <c r="F15" s="140">
        <f>(F12*F14-F12*0.01862)*0.23733*1/(1-0.23733)</f>
        <v>7576423.1230826098</v>
      </c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</row>
    <row r="16" spans="1:23" x14ac:dyDescent="0.2">
      <c r="A16" s="10">
        <f>1+A15</f>
        <v>6</v>
      </c>
      <c r="B16" s="10"/>
      <c r="C16" s="1" t="s">
        <v>37</v>
      </c>
      <c r="D16" s="140">
        <f>Summary!E30</f>
        <v>15</v>
      </c>
      <c r="E16" s="140"/>
      <c r="F16" s="140">
        <f>$D16</f>
        <v>15</v>
      </c>
    </row>
    <row r="17" spans="1:25" x14ac:dyDescent="0.2">
      <c r="A17" s="10">
        <f>1+A16</f>
        <v>7</v>
      </c>
      <c r="B17" s="10"/>
      <c r="C17" s="1" t="s">
        <v>138</v>
      </c>
      <c r="D17" s="140">
        <f>-PMT(D14/12,D16*12,D12)</f>
        <v>4088916.1249171523</v>
      </c>
      <c r="E17" s="140"/>
      <c r="F17" s="140">
        <f>-PMT(F14/12+F15/F12/12,F16*12,F12)</f>
        <v>4795751.8200019402</v>
      </c>
    </row>
    <row r="18" spans="1:25" x14ac:dyDescent="0.2">
      <c r="A18" s="10"/>
      <c r="B18" s="10"/>
      <c r="D18" s="140"/>
      <c r="E18" s="140"/>
      <c r="F18" s="140"/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137"/>
    </row>
    <row r="19" spans="1:25" x14ac:dyDescent="0.2">
      <c r="A19" s="10">
        <f>1+A17</f>
        <v>8</v>
      </c>
      <c r="B19" s="10"/>
      <c r="C19" s="1" t="s">
        <v>139</v>
      </c>
      <c r="D19" s="140">
        <f>Summary!E34</f>
        <v>64315.758402119543</v>
      </c>
      <c r="E19" s="140"/>
      <c r="F19" s="140">
        <v>0</v>
      </c>
    </row>
    <row r="20" spans="1:25" x14ac:dyDescent="0.2">
      <c r="A20" s="10"/>
      <c r="B20" s="10"/>
      <c r="D20" s="140"/>
      <c r="E20" s="140"/>
      <c r="F20" s="140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</row>
    <row r="21" spans="1:25" x14ac:dyDescent="0.2">
      <c r="A21" s="10">
        <f>1+A19</f>
        <v>9</v>
      </c>
      <c r="B21" s="10"/>
      <c r="C21" s="1" t="s">
        <v>140</v>
      </c>
      <c r="D21" s="140">
        <f>D17+D19</f>
        <v>4153231.8833192717</v>
      </c>
      <c r="E21" s="140"/>
      <c r="F21" s="140">
        <f>F17+F19</f>
        <v>4795751.8200019402</v>
      </c>
    </row>
    <row r="22" spans="1:25" x14ac:dyDescent="0.2">
      <c r="D22" s="140"/>
      <c r="E22" s="140"/>
      <c r="F22" s="140"/>
    </row>
    <row r="23" spans="1:25" x14ac:dyDescent="0.2">
      <c r="A23" s="10">
        <f>1+A21</f>
        <v>10</v>
      </c>
      <c r="B23" s="10"/>
      <c r="C23" s="1" t="s">
        <v>141</v>
      </c>
      <c r="D23" s="140">
        <f>SUM(D31:D210)</f>
        <v>747581738.99746704</v>
      </c>
      <c r="E23" s="140"/>
      <c r="F23" s="140">
        <f>SUM(F31:F210)</f>
        <v>863235327.60035145</v>
      </c>
    </row>
    <row r="24" spans="1:25" ht="15.75" x14ac:dyDescent="0.25">
      <c r="A24" s="10">
        <f>1+A23</f>
        <v>11</v>
      </c>
      <c r="B24" s="10"/>
      <c r="C24" s="7" t="s">
        <v>142</v>
      </c>
      <c r="D24" s="143"/>
      <c r="E24" s="143"/>
      <c r="F24" s="143">
        <f>F23-D23</f>
        <v>115653588.60288441</v>
      </c>
      <c r="G24" s="137"/>
      <c r="H24" s="137"/>
      <c r="I24" s="137"/>
      <c r="J24" s="137"/>
      <c r="K24" s="137"/>
      <c r="L24" s="137"/>
      <c r="M24" s="137"/>
      <c r="N24" s="137"/>
      <c r="O24" s="137"/>
      <c r="P24" s="137"/>
      <c r="Q24" s="137"/>
      <c r="R24" s="137"/>
      <c r="S24" s="137"/>
      <c r="T24" s="137"/>
      <c r="U24" s="137"/>
      <c r="V24" s="137"/>
      <c r="W24" s="137"/>
      <c r="X24" s="137"/>
      <c r="Y24" s="137"/>
    </row>
    <row r="25" spans="1:25" x14ac:dyDescent="0.2">
      <c r="A25" s="10"/>
      <c r="B25" s="10"/>
      <c r="D25" s="144"/>
      <c r="E25" s="144"/>
      <c r="F25" s="144"/>
      <c r="G25" s="137"/>
      <c r="H25" s="137"/>
      <c r="I25" s="137"/>
      <c r="J25" s="137"/>
      <c r="K25" s="137"/>
      <c r="L25" s="137"/>
      <c r="M25" s="137"/>
      <c r="N25" s="137"/>
      <c r="O25" s="137"/>
      <c r="P25" s="137"/>
      <c r="Q25" s="137"/>
      <c r="R25" s="137"/>
      <c r="S25" s="137"/>
      <c r="T25" s="137"/>
      <c r="U25" s="137"/>
      <c r="V25" s="137"/>
      <c r="W25" s="137"/>
      <c r="X25" s="137"/>
      <c r="Y25" s="137"/>
    </row>
    <row r="26" spans="1:25" x14ac:dyDescent="0.2">
      <c r="A26" s="10">
        <f>1+A24</f>
        <v>12</v>
      </c>
      <c r="C26" s="1" t="s">
        <v>143</v>
      </c>
      <c r="D26" s="141">
        <v>6.8210000000000007E-2</v>
      </c>
      <c r="E26" s="141"/>
      <c r="F26" s="141">
        <v>6.8210000000000007E-2</v>
      </c>
      <c r="G26" s="137"/>
      <c r="H26" s="137"/>
      <c r="I26" s="137"/>
      <c r="J26" s="137"/>
      <c r="K26" s="137"/>
      <c r="L26" s="137"/>
      <c r="M26" s="137"/>
      <c r="N26" s="137"/>
      <c r="O26" s="137"/>
      <c r="P26" s="137"/>
      <c r="Q26" s="137"/>
      <c r="R26" s="137"/>
      <c r="S26" s="137"/>
      <c r="T26" s="137"/>
      <c r="U26" s="137"/>
      <c r="V26" s="137"/>
      <c r="W26" s="137"/>
      <c r="X26" s="137"/>
      <c r="Y26" s="137"/>
    </row>
    <row r="27" spans="1:25" x14ac:dyDescent="0.2">
      <c r="A27" s="10">
        <f>1+A26</f>
        <v>13</v>
      </c>
      <c r="B27" s="145"/>
      <c r="C27" s="1" t="s">
        <v>144</v>
      </c>
      <c r="D27" s="140">
        <f>NPV(D26/12,D31:D210)</f>
        <v>467258726.26004034</v>
      </c>
      <c r="E27" s="140"/>
      <c r="F27" s="140">
        <f>NPV(F26/12,F31:F210)</f>
        <v>539545334.7725141</v>
      </c>
      <c r="G27" s="137"/>
      <c r="H27" s="137"/>
      <c r="I27" s="137"/>
      <c r="J27" s="137"/>
      <c r="K27" s="137"/>
      <c r="L27" s="137"/>
      <c r="M27" s="137"/>
      <c r="N27" s="137"/>
      <c r="O27" s="137"/>
      <c r="P27" s="137"/>
      <c r="Q27" s="137"/>
      <c r="R27" s="137"/>
      <c r="S27" s="137"/>
      <c r="T27" s="137"/>
      <c r="U27" s="137"/>
      <c r="V27" s="137"/>
      <c r="W27" s="137"/>
      <c r="X27" s="137"/>
      <c r="Y27" s="137"/>
    </row>
    <row r="28" spans="1:25" ht="16.5" thickBot="1" x14ac:dyDescent="0.3">
      <c r="A28" s="10">
        <f>1+A27</f>
        <v>14</v>
      </c>
      <c r="C28" s="7" t="s">
        <v>145</v>
      </c>
      <c r="D28" s="143"/>
      <c r="E28" s="143"/>
      <c r="F28" s="146">
        <f>F27-D27</f>
        <v>72286608.512473762</v>
      </c>
      <c r="G28" s="137"/>
      <c r="H28" s="137"/>
      <c r="I28" s="137"/>
      <c r="J28" s="137"/>
      <c r="K28" s="137"/>
      <c r="L28" s="137"/>
      <c r="M28" s="137"/>
      <c r="N28" s="137"/>
      <c r="O28" s="137"/>
      <c r="P28" s="137"/>
      <c r="Q28" s="137"/>
      <c r="R28" s="137"/>
      <c r="S28" s="137"/>
      <c r="T28" s="137"/>
      <c r="U28" s="137"/>
      <c r="V28" s="137"/>
      <c r="W28" s="137"/>
      <c r="X28" s="137"/>
      <c r="Y28" s="137"/>
    </row>
    <row r="29" spans="1:25" ht="15.75" thickTop="1" x14ac:dyDescent="0.2">
      <c r="A29" s="20"/>
      <c r="B29" s="147"/>
      <c r="D29" s="140"/>
      <c r="E29" s="140"/>
      <c r="F29" s="140"/>
    </row>
    <row r="30" spans="1:25" x14ac:dyDescent="0.2">
      <c r="A30" s="20">
        <f>1+A28</f>
        <v>15</v>
      </c>
      <c r="C30" s="148" t="s">
        <v>146</v>
      </c>
      <c r="D30" s="140"/>
      <c r="E30" s="140"/>
      <c r="F30" s="140"/>
    </row>
    <row r="31" spans="1:25" ht="12.75" customHeight="1" x14ac:dyDescent="0.2">
      <c r="A31" s="20">
        <f>1+A30</f>
        <v>16</v>
      </c>
      <c r="B31" s="149"/>
      <c r="C31" s="97">
        <v>1</v>
      </c>
      <c r="D31" s="140">
        <f t="shared" ref="D31:D94" si="0">D$21</f>
        <v>4153231.8833192717</v>
      </c>
      <c r="E31" s="140"/>
      <c r="F31" s="140">
        <f t="shared" ref="F31:F94" si="1">+F$21</f>
        <v>4795751.8200019402</v>
      </c>
    </row>
    <row r="32" spans="1:25" ht="12.75" customHeight="1" x14ac:dyDescent="0.2">
      <c r="A32" s="20">
        <f t="shared" ref="A32:A95" si="2">1+A31</f>
        <v>17</v>
      </c>
      <c r="B32" s="129"/>
      <c r="C32" s="97">
        <f>C31+1</f>
        <v>2</v>
      </c>
      <c r="D32" s="140">
        <f t="shared" si="0"/>
        <v>4153231.8833192717</v>
      </c>
      <c r="E32" s="140"/>
      <c r="F32" s="140">
        <f t="shared" si="1"/>
        <v>4795751.8200019402</v>
      </c>
      <c r="G32" s="137"/>
      <c r="H32" s="137"/>
      <c r="I32" s="137"/>
      <c r="J32" s="137"/>
      <c r="K32" s="137"/>
      <c r="L32" s="137"/>
      <c r="M32" s="137"/>
      <c r="N32" s="137"/>
      <c r="O32" s="137"/>
      <c r="P32" s="137"/>
      <c r="Q32" s="137"/>
      <c r="R32" s="137"/>
      <c r="S32" s="137"/>
      <c r="T32" s="137"/>
      <c r="U32" s="137"/>
      <c r="V32" s="137"/>
      <c r="W32" s="137"/>
      <c r="X32" s="137"/>
      <c r="Y32" s="137"/>
    </row>
    <row r="33" spans="1:25" x14ac:dyDescent="0.2">
      <c r="A33" s="20">
        <f t="shared" si="2"/>
        <v>18</v>
      </c>
      <c r="C33" s="97">
        <f t="shared" ref="C33:C96" si="3">C32+1</f>
        <v>3</v>
      </c>
      <c r="D33" s="140">
        <f t="shared" si="0"/>
        <v>4153231.8833192717</v>
      </c>
      <c r="E33" s="140"/>
      <c r="F33" s="140">
        <f t="shared" si="1"/>
        <v>4795751.8200019402</v>
      </c>
      <c r="G33" s="137"/>
      <c r="H33" s="137"/>
      <c r="I33" s="137"/>
      <c r="J33" s="137"/>
      <c r="K33" s="137"/>
      <c r="L33" s="137"/>
      <c r="M33" s="137"/>
      <c r="N33" s="137"/>
      <c r="O33" s="137"/>
      <c r="P33" s="137"/>
      <c r="Q33" s="137"/>
      <c r="R33" s="137"/>
      <c r="S33" s="137"/>
      <c r="T33" s="137"/>
      <c r="U33" s="137"/>
      <c r="V33" s="137"/>
      <c r="W33" s="137"/>
      <c r="X33" s="137"/>
      <c r="Y33" s="137"/>
    </row>
    <row r="34" spans="1:25" x14ac:dyDescent="0.2">
      <c r="A34" s="20">
        <f t="shared" si="2"/>
        <v>19</v>
      </c>
      <c r="C34" s="97">
        <f t="shared" si="3"/>
        <v>4</v>
      </c>
      <c r="D34" s="140">
        <f t="shared" si="0"/>
        <v>4153231.8833192717</v>
      </c>
      <c r="E34" s="140"/>
      <c r="F34" s="140">
        <f t="shared" si="1"/>
        <v>4795751.8200019402</v>
      </c>
      <c r="G34" s="137"/>
      <c r="H34" s="137"/>
      <c r="I34" s="137"/>
      <c r="J34" s="137"/>
      <c r="K34" s="137"/>
      <c r="L34" s="137"/>
      <c r="M34" s="137"/>
      <c r="N34" s="137"/>
      <c r="O34" s="137"/>
      <c r="P34" s="137"/>
      <c r="Q34" s="137"/>
      <c r="R34" s="137"/>
      <c r="S34" s="137"/>
      <c r="T34" s="137"/>
      <c r="U34" s="137"/>
      <c r="V34" s="137"/>
      <c r="W34" s="137"/>
      <c r="X34" s="137"/>
      <c r="Y34" s="137"/>
    </row>
    <row r="35" spans="1:25" x14ac:dyDescent="0.2">
      <c r="A35" s="20">
        <f t="shared" si="2"/>
        <v>20</v>
      </c>
      <c r="C35" s="97">
        <f t="shared" si="3"/>
        <v>5</v>
      </c>
      <c r="D35" s="140">
        <f t="shared" si="0"/>
        <v>4153231.8833192717</v>
      </c>
      <c r="E35" s="140"/>
      <c r="F35" s="140">
        <f t="shared" si="1"/>
        <v>4795751.8200019402</v>
      </c>
      <c r="G35" s="137"/>
      <c r="H35" s="137"/>
      <c r="I35" s="137"/>
      <c r="J35" s="137"/>
      <c r="K35" s="137"/>
      <c r="L35" s="137"/>
      <c r="M35" s="137"/>
      <c r="N35" s="137"/>
      <c r="O35" s="137"/>
      <c r="P35" s="137"/>
      <c r="Q35" s="137"/>
      <c r="R35" s="137"/>
      <c r="S35" s="137"/>
      <c r="T35" s="137"/>
      <c r="U35" s="137"/>
      <c r="V35" s="137"/>
      <c r="W35" s="137"/>
      <c r="X35" s="137"/>
      <c r="Y35" s="137"/>
    </row>
    <row r="36" spans="1:25" x14ac:dyDescent="0.2">
      <c r="A36" s="20">
        <f t="shared" si="2"/>
        <v>21</v>
      </c>
      <c r="C36" s="97">
        <f t="shared" si="3"/>
        <v>6</v>
      </c>
      <c r="D36" s="140">
        <f t="shared" si="0"/>
        <v>4153231.8833192717</v>
      </c>
      <c r="E36" s="140"/>
      <c r="F36" s="140">
        <f t="shared" si="1"/>
        <v>4795751.8200019402</v>
      </c>
      <c r="G36" s="137"/>
      <c r="H36" s="137"/>
      <c r="I36" s="137"/>
      <c r="J36" s="137"/>
      <c r="K36" s="137"/>
      <c r="L36" s="137"/>
      <c r="M36" s="137"/>
      <c r="N36" s="137"/>
      <c r="O36" s="137"/>
      <c r="P36" s="137"/>
      <c r="Q36" s="137"/>
      <c r="R36" s="137"/>
      <c r="S36" s="137"/>
      <c r="T36" s="137"/>
      <c r="U36" s="137"/>
      <c r="V36" s="137"/>
      <c r="W36" s="137"/>
      <c r="X36" s="137"/>
      <c r="Y36" s="137"/>
    </row>
    <row r="37" spans="1:25" x14ac:dyDescent="0.2">
      <c r="A37" s="20">
        <f t="shared" si="2"/>
        <v>22</v>
      </c>
      <c r="C37" s="97">
        <f t="shared" si="3"/>
        <v>7</v>
      </c>
      <c r="D37" s="140">
        <f t="shared" si="0"/>
        <v>4153231.8833192717</v>
      </c>
      <c r="E37" s="140"/>
      <c r="F37" s="140">
        <f t="shared" si="1"/>
        <v>4795751.8200019402</v>
      </c>
      <c r="G37" s="137"/>
      <c r="H37" s="137"/>
      <c r="I37" s="137"/>
      <c r="J37" s="137"/>
      <c r="K37" s="137"/>
      <c r="L37" s="137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37"/>
      <c r="Y37" s="137"/>
    </row>
    <row r="38" spans="1:25" x14ac:dyDescent="0.2">
      <c r="A38" s="20">
        <f t="shared" si="2"/>
        <v>23</v>
      </c>
      <c r="C38" s="97">
        <f t="shared" si="3"/>
        <v>8</v>
      </c>
      <c r="D38" s="140">
        <f t="shared" si="0"/>
        <v>4153231.8833192717</v>
      </c>
      <c r="E38" s="140"/>
      <c r="F38" s="140">
        <f t="shared" si="1"/>
        <v>4795751.8200019402</v>
      </c>
      <c r="G38" s="137"/>
      <c r="H38" s="137"/>
      <c r="I38" s="137"/>
      <c r="J38" s="137"/>
      <c r="K38" s="137"/>
      <c r="L38" s="137"/>
      <c r="M38" s="137"/>
      <c r="N38" s="137"/>
      <c r="O38" s="137"/>
      <c r="P38" s="137"/>
      <c r="Q38" s="137"/>
      <c r="R38" s="137"/>
      <c r="S38" s="137"/>
      <c r="T38" s="137"/>
      <c r="U38" s="137"/>
      <c r="V38" s="137"/>
      <c r="W38" s="137"/>
      <c r="X38" s="137"/>
      <c r="Y38" s="137"/>
    </row>
    <row r="39" spans="1:25" x14ac:dyDescent="0.2">
      <c r="A39" s="20">
        <f t="shared" si="2"/>
        <v>24</v>
      </c>
      <c r="C39" s="97">
        <f t="shared" si="3"/>
        <v>9</v>
      </c>
      <c r="D39" s="140">
        <f t="shared" si="0"/>
        <v>4153231.8833192717</v>
      </c>
      <c r="E39" s="140"/>
      <c r="F39" s="140">
        <f t="shared" si="1"/>
        <v>4795751.8200019402</v>
      </c>
      <c r="G39" s="137"/>
      <c r="H39" s="137"/>
      <c r="I39" s="137"/>
      <c r="J39" s="137"/>
      <c r="K39" s="137"/>
      <c r="L39" s="137"/>
      <c r="M39" s="137"/>
      <c r="N39" s="137"/>
      <c r="O39" s="137"/>
      <c r="P39" s="137"/>
      <c r="Q39" s="137"/>
      <c r="R39" s="137"/>
      <c r="S39" s="137"/>
      <c r="T39" s="137"/>
      <c r="U39" s="137"/>
      <c r="V39" s="137"/>
      <c r="W39" s="137"/>
      <c r="X39" s="137"/>
      <c r="Y39" s="137"/>
    </row>
    <row r="40" spans="1:25" x14ac:dyDescent="0.2">
      <c r="A40" s="20">
        <f t="shared" si="2"/>
        <v>25</v>
      </c>
      <c r="C40" s="97">
        <f t="shared" si="3"/>
        <v>10</v>
      </c>
      <c r="D40" s="140">
        <f t="shared" si="0"/>
        <v>4153231.8833192717</v>
      </c>
      <c r="E40" s="140"/>
      <c r="F40" s="140">
        <f t="shared" si="1"/>
        <v>4795751.8200019402</v>
      </c>
    </row>
    <row r="41" spans="1:25" x14ac:dyDescent="0.2">
      <c r="A41" s="20">
        <f t="shared" si="2"/>
        <v>26</v>
      </c>
      <c r="C41" s="97">
        <f t="shared" si="3"/>
        <v>11</v>
      </c>
      <c r="D41" s="140">
        <f t="shared" si="0"/>
        <v>4153231.8833192717</v>
      </c>
      <c r="E41" s="140"/>
      <c r="F41" s="140">
        <f t="shared" si="1"/>
        <v>4795751.8200019402</v>
      </c>
    </row>
    <row r="42" spans="1:25" x14ac:dyDescent="0.2">
      <c r="A42" s="20">
        <f t="shared" si="2"/>
        <v>27</v>
      </c>
      <c r="C42" s="97">
        <f t="shared" si="3"/>
        <v>12</v>
      </c>
      <c r="D42" s="140">
        <f t="shared" si="0"/>
        <v>4153231.8833192717</v>
      </c>
      <c r="E42" s="140"/>
      <c r="F42" s="140">
        <f t="shared" si="1"/>
        <v>4795751.8200019402</v>
      </c>
    </row>
    <row r="43" spans="1:25" x14ac:dyDescent="0.2">
      <c r="A43" s="20">
        <f t="shared" si="2"/>
        <v>28</v>
      </c>
      <c r="C43" s="97">
        <f t="shared" si="3"/>
        <v>13</v>
      </c>
      <c r="D43" s="140">
        <f t="shared" si="0"/>
        <v>4153231.8833192717</v>
      </c>
      <c r="E43" s="140"/>
      <c r="F43" s="140">
        <f t="shared" si="1"/>
        <v>4795751.8200019402</v>
      </c>
    </row>
    <row r="44" spans="1:25" x14ac:dyDescent="0.2">
      <c r="A44" s="20">
        <f t="shared" si="2"/>
        <v>29</v>
      </c>
      <c r="C44" s="97">
        <f t="shared" si="3"/>
        <v>14</v>
      </c>
      <c r="D44" s="140">
        <f t="shared" si="0"/>
        <v>4153231.8833192717</v>
      </c>
      <c r="E44" s="140"/>
      <c r="F44" s="140">
        <f t="shared" si="1"/>
        <v>4795751.8200019402</v>
      </c>
      <c r="G44" s="137"/>
      <c r="H44" s="137"/>
      <c r="I44" s="137"/>
      <c r="J44" s="137"/>
      <c r="K44" s="137"/>
      <c r="L44" s="137"/>
      <c r="M44" s="137"/>
      <c r="N44" s="137"/>
      <c r="O44" s="137"/>
      <c r="P44" s="137"/>
      <c r="Q44" s="137"/>
      <c r="R44" s="137"/>
      <c r="S44" s="137"/>
      <c r="T44" s="137"/>
      <c r="U44" s="137"/>
      <c r="V44" s="137"/>
      <c r="W44" s="137"/>
    </row>
    <row r="45" spans="1:25" x14ac:dyDescent="0.2">
      <c r="A45" s="20">
        <f t="shared" si="2"/>
        <v>30</v>
      </c>
      <c r="C45" s="97">
        <f t="shared" si="3"/>
        <v>15</v>
      </c>
      <c r="D45" s="140">
        <f t="shared" si="0"/>
        <v>4153231.8833192717</v>
      </c>
      <c r="E45" s="140"/>
      <c r="F45" s="140">
        <f t="shared" si="1"/>
        <v>4795751.8200019402</v>
      </c>
      <c r="G45" s="137"/>
      <c r="H45" s="137"/>
      <c r="I45" s="137"/>
      <c r="J45" s="137"/>
      <c r="K45" s="137"/>
      <c r="L45" s="137"/>
      <c r="M45" s="137"/>
      <c r="N45" s="137"/>
      <c r="O45" s="137"/>
      <c r="P45" s="137"/>
      <c r="Q45" s="137"/>
      <c r="R45" s="137"/>
      <c r="S45" s="137"/>
      <c r="T45" s="137"/>
      <c r="U45" s="137"/>
      <c r="V45" s="137"/>
      <c r="W45" s="137"/>
    </row>
    <row r="46" spans="1:25" x14ac:dyDescent="0.2">
      <c r="A46" s="20">
        <f t="shared" si="2"/>
        <v>31</v>
      </c>
      <c r="C46" s="97">
        <f t="shared" si="3"/>
        <v>16</v>
      </c>
      <c r="D46" s="140">
        <f t="shared" si="0"/>
        <v>4153231.8833192717</v>
      </c>
      <c r="E46" s="140"/>
      <c r="F46" s="140">
        <f t="shared" si="1"/>
        <v>4795751.8200019402</v>
      </c>
      <c r="G46" s="137"/>
      <c r="H46" s="137"/>
      <c r="I46" s="137"/>
      <c r="J46" s="137"/>
      <c r="K46" s="137"/>
      <c r="L46" s="137"/>
      <c r="M46" s="137"/>
      <c r="N46" s="137"/>
      <c r="O46" s="137"/>
      <c r="P46" s="137"/>
      <c r="Q46" s="137"/>
      <c r="R46" s="137"/>
      <c r="S46" s="137"/>
      <c r="T46" s="137"/>
      <c r="U46" s="137"/>
      <c r="V46" s="137"/>
      <c r="W46" s="137"/>
    </row>
    <row r="47" spans="1:25" x14ac:dyDescent="0.2">
      <c r="A47" s="20">
        <f t="shared" si="2"/>
        <v>32</v>
      </c>
      <c r="C47" s="97">
        <f t="shared" si="3"/>
        <v>17</v>
      </c>
      <c r="D47" s="140">
        <f t="shared" si="0"/>
        <v>4153231.8833192717</v>
      </c>
      <c r="E47" s="140"/>
      <c r="F47" s="140">
        <f t="shared" si="1"/>
        <v>4795751.8200019402</v>
      </c>
      <c r="G47" s="137"/>
      <c r="H47" s="137"/>
      <c r="I47" s="137"/>
      <c r="J47" s="137"/>
      <c r="K47" s="137"/>
      <c r="L47" s="137"/>
      <c r="M47" s="137"/>
      <c r="N47" s="137"/>
      <c r="O47" s="137"/>
      <c r="P47" s="137"/>
      <c r="Q47" s="137"/>
      <c r="R47" s="137"/>
      <c r="S47" s="137"/>
      <c r="T47" s="137"/>
      <c r="U47" s="137"/>
      <c r="V47" s="137"/>
      <c r="W47" s="137"/>
    </row>
    <row r="48" spans="1:25" x14ac:dyDescent="0.2">
      <c r="A48" s="20">
        <f t="shared" si="2"/>
        <v>33</v>
      </c>
      <c r="C48" s="97">
        <f t="shared" si="3"/>
        <v>18</v>
      </c>
      <c r="D48" s="140">
        <f t="shared" si="0"/>
        <v>4153231.8833192717</v>
      </c>
      <c r="E48" s="140"/>
      <c r="F48" s="140">
        <f t="shared" si="1"/>
        <v>4795751.8200019402</v>
      </c>
      <c r="G48" s="137"/>
      <c r="H48" s="137"/>
      <c r="I48" s="137"/>
      <c r="J48" s="137"/>
      <c r="K48" s="137"/>
      <c r="L48" s="137"/>
      <c r="M48" s="137"/>
      <c r="N48" s="137"/>
      <c r="O48" s="137"/>
      <c r="P48" s="137"/>
      <c r="Q48" s="137"/>
      <c r="R48" s="137"/>
      <c r="S48" s="137"/>
      <c r="T48" s="137"/>
      <c r="U48" s="137"/>
      <c r="V48" s="137"/>
      <c r="W48" s="137"/>
    </row>
    <row r="49" spans="1:23" x14ac:dyDescent="0.2">
      <c r="A49" s="20">
        <f t="shared" si="2"/>
        <v>34</v>
      </c>
      <c r="C49" s="97">
        <f t="shared" si="3"/>
        <v>19</v>
      </c>
      <c r="D49" s="140">
        <f t="shared" si="0"/>
        <v>4153231.8833192717</v>
      </c>
      <c r="E49" s="140"/>
      <c r="F49" s="140">
        <f t="shared" si="1"/>
        <v>4795751.8200019402</v>
      </c>
      <c r="G49" s="137"/>
      <c r="H49" s="137"/>
      <c r="I49" s="137"/>
      <c r="J49" s="137"/>
      <c r="K49" s="137"/>
      <c r="L49" s="137"/>
      <c r="M49" s="137"/>
      <c r="N49" s="137"/>
      <c r="O49" s="137"/>
      <c r="P49" s="137"/>
      <c r="Q49" s="137"/>
      <c r="R49" s="137"/>
      <c r="S49" s="137"/>
      <c r="T49" s="137"/>
      <c r="U49" s="137"/>
      <c r="V49" s="137"/>
      <c r="W49" s="137"/>
    </row>
    <row r="50" spans="1:23" x14ac:dyDescent="0.2">
      <c r="A50" s="20">
        <f t="shared" si="2"/>
        <v>35</v>
      </c>
      <c r="C50" s="97">
        <f t="shared" si="3"/>
        <v>20</v>
      </c>
      <c r="D50" s="140">
        <f t="shared" si="0"/>
        <v>4153231.8833192717</v>
      </c>
      <c r="E50" s="140"/>
      <c r="F50" s="140">
        <f t="shared" si="1"/>
        <v>4795751.8200019402</v>
      </c>
      <c r="G50" s="137"/>
      <c r="H50" s="137"/>
      <c r="I50" s="137"/>
      <c r="J50" s="137"/>
      <c r="K50" s="137"/>
      <c r="L50" s="137"/>
      <c r="M50" s="137"/>
      <c r="N50" s="137"/>
      <c r="O50" s="137"/>
      <c r="P50" s="137"/>
      <c r="Q50" s="137"/>
      <c r="R50" s="137"/>
      <c r="S50" s="137"/>
      <c r="T50" s="137"/>
      <c r="U50" s="137"/>
      <c r="V50" s="137"/>
      <c r="W50" s="137"/>
    </row>
    <row r="51" spans="1:23" x14ac:dyDescent="0.2">
      <c r="A51" s="20">
        <f t="shared" si="2"/>
        <v>36</v>
      </c>
      <c r="C51" s="97">
        <f t="shared" si="3"/>
        <v>21</v>
      </c>
      <c r="D51" s="140">
        <f t="shared" si="0"/>
        <v>4153231.8833192717</v>
      </c>
      <c r="E51" s="140"/>
      <c r="F51" s="140">
        <f t="shared" si="1"/>
        <v>4795751.8200019402</v>
      </c>
    </row>
    <row r="52" spans="1:23" x14ac:dyDescent="0.2">
      <c r="A52" s="20">
        <f t="shared" si="2"/>
        <v>37</v>
      </c>
      <c r="C52" s="97">
        <f t="shared" si="3"/>
        <v>22</v>
      </c>
      <c r="D52" s="140">
        <f t="shared" si="0"/>
        <v>4153231.8833192717</v>
      </c>
      <c r="E52" s="140"/>
      <c r="F52" s="140">
        <f t="shared" si="1"/>
        <v>4795751.8200019402</v>
      </c>
    </row>
    <row r="53" spans="1:23" x14ac:dyDescent="0.2">
      <c r="A53" s="20">
        <f t="shared" si="2"/>
        <v>38</v>
      </c>
      <c r="C53" s="97">
        <f t="shared" si="3"/>
        <v>23</v>
      </c>
      <c r="D53" s="140">
        <f t="shared" si="0"/>
        <v>4153231.8833192717</v>
      </c>
      <c r="E53" s="140"/>
      <c r="F53" s="140">
        <f t="shared" si="1"/>
        <v>4795751.8200019402</v>
      </c>
    </row>
    <row r="54" spans="1:23" x14ac:dyDescent="0.2">
      <c r="A54" s="20">
        <f t="shared" si="2"/>
        <v>39</v>
      </c>
      <c r="C54" s="97">
        <f t="shared" si="3"/>
        <v>24</v>
      </c>
      <c r="D54" s="140">
        <f t="shared" si="0"/>
        <v>4153231.8833192717</v>
      </c>
      <c r="E54" s="140"/>
      <c r="F54" s="140">
        <f t="shared" si="1"/>
        <v>4795751.8200019402</v>
      </c>
    </row>
    <row r="55" spans="1:23" x14ac:dyDescent="0.2">
      <c r="A55" s="20">
        <f t="shared" si="2"/>
        <v>40</v>
      </c>
      <c r="C55" s="97">
        <f t="shared" si="3"/>
        <v>25</v>
      </c>
      <c r="D55" s="140">
        <f t="shared" si="0"/>
        <v>4153231.8833192717</v>
      </c>
      <c r="E55" s="140"/>
      <c r="F55" s="140">
        <f t="shared" si="1"/>
        <v>4795751.8200019402</v>
      </c>
    </row>
    <row r="56" spans="1:23" x14ac:dyDescent="0.2">
      <c r="A56" s="20">
        <f t="shared" si="2"/>
        <v>41</v>
      </c>
      <c r="C56" s="97">
        <f t="shared" si="3"/>
        <v>26</v>
      </c>
      <c r="D56" s="140">
        <f t="shared" si="0"/>
        <v>4153231.8833192717</v>
      </c>
      <c r="E56" s="140"/>
      <c r="F56" s="140">
        <f t="shared" si="1"/>
        <v>4795751.8200019402</v>
      </c>
    </row>
    <row r="57" spans="1:23" x14ac:dyDescent="0.2">
      <c r="A57" s="20">
        <f t="shared" si="2"/>
        <v>42</v>
      </c>
      <c r="C57" s="97">
        <f t="shared" si="3"/>
        <v>27</v>
      </c>
      <c r="D57" s="140">
        <f t="shared" si="0"/>
        <v>4153231.8833192717</v>
      </c>
      <c r="E57" s="140"/>
      <c r="F57" s="140">
        <f t="shared" si="1"/>
        <v>4795751.8200019402</v>
      </c>
    </row>
    <row r="58" spans="1:23" x14ac:dyDescent="0.2">
      <c r="A58" s="20">
        <f t="shared" si="2"/>
        <v>43</v>
      </c>
      <c r="C58" s="97">
        <f t="shared" si="3"/>
        <v>28</v>
      </c>
      <c r="D58" s="140">
        <f t="shared" si="0"/>
        <v>4153231.8833192717</v>
      </c>
      <c r="E58" s="140"/>
      <c r="F58" s="140">
        <f t="shared" si="1"/>
        <v>4795751.8200019402</v>
      </c>
    </row>
    <row r="59" spans="1:23" x14ac:dyDescent="0.2">
      <c r="A59" s="20">
        <f t="shared" si="2"/>
        <v>44</v>
      </c>
      <c r="C59" s="97">
        <f t="shared" si="3"/>
        <v>29</v>
      </c>
      <c r="D59" s="140">
        <f t="shared" si="0"/>
        <v>4153231.8833192717</v>
      </c>
      <c r="E59" s="140"/>
      <c r="F59" s="140">
        <f t="shared" si="1"/>
        <v>4795751.8200019402</v>
      </c>
    </row>
    <row r="60" spans="1:23" x14ac:dyDescent="0.2">
      <c r="A60" s="20">
        <f t="shared" si="2"/>
        <v>45</v>
      </c>
      <c r="C60" s="97">
        <f t="shared" si="3"/>
        <v>30</v>
      </c>
      <c r="D60" s="140">
        <f t="shared" si="0"/>
        <v>4153231.8833192717</v>
      </c>
      <c r="E60" s="140"/>
      <c r="F60" s="140">
        <f t="shared" si="1"/>
        <v>4795751.8200019402</v>
      </c>
    </row>
    <row r="61" spans="1:23" x14ac:dyDescent="0.2">
      <c r="A61" s="20">
        <f t="shared" si="2"/>
        <v>46</v>
      </c>
      <c r="C61" s="97">
        <f t="shared" si="3"/>
        <v>31</v>
      </c>
      <c r="D61" s="140">
        <f t="shared" si="0"/>
        <v>4153231.8833192717</v>
      </c>
      <c r="E61" s="140"/>
      <c r="F61" s="140">
        <f t="shared" si="1"/>
        <v>4795751.8200019402</v>
      </c>
    </row>
    <row r="62" spans="1:23" x14ac:dyDescent="0.2">
      <c r="A62" s="20">
        <f t="shared" si="2"/>
        <v>47</v>
      </c>
      <c r="C62" s="97">
        <f t="shared" si="3"/>
        <v>32</v>
      </c>
      <c r="D62" s="140">
        <f t="shared" si="0"/>
        <v>4153231.8833192717</v>
      </c>
      <c r="E62" s="140"/>
      <c r="F62" s="140">
        <f t="shared" si="1"/>
        <v>4795751.8200019402</v>
      </c>
    </row>
    <row r="63" spans="1:23" x14ac:dyDescent="0.2">
      <c r="A63" s="20">
        <f t="shared" si="2"/>
        <v>48</v>
      </c>
      <c r="C63" s="97">
        <f t="shared" si="3"/>
        <v>33</v>
      </c>
      <c r="D63" s="140">
        <f t="shared" si="0"/>
        <v>4153231.8833192717</v>
      </c>
      <c r="E63" s="140"/>
      <c r="F63" s="140">
        <f t="shared" si="1"/>
        <v>4795751.8200019402</v>
      </c>
    </row>
    <row r="64" spans="1:23" x14ac:dyDescent="0.2">
      <c r="A64" s="20">
        <f t="shared" si="2"/>
        <v>49</v>
      </c>
      <c r="C64" s="97">
        <f t="shared" si="3"/>
        <v>34</v>
      </c>
      <c r="D64" s="140">
        <f t="shared" si="0"/>
        <v>4153231.8833192717</v>
      </c>
      <c r="E64" s="140"/>
      <c r="F64" s="140">
        <f t="shared" si="1"/>
        <v>4795751.8200019402</v>
      </c>
    </row>
    <row r="65" spans="1:6" x14ac:dyDescent="0.2">
      <c r="A65" s="20">
        <f t="shared" si="2"/>
        <v>50</v>
      </c>
      <c r="C65" s="97">
        <f t="shared" si="3"/>
        <v>35</v>
      </c>
      <c r="D65" s="140">
        <f t="shared" si="0"/>
        <v>4153231.8833192717</v>
      </c>
      <c r="E65" s="140"/>
      <c r="F65" s="140">
        <f t="shared" si="1"/>
        <v>4795751.8200019402</v>
      </c>
    </row>
    <row r="66" spans="1:6" x14ac:dyDescent="0.2">
      <c r="A66" s="20">
        <f t="shared" si="2"/>
        <v>51</v>
      </c>
      <c r="C66" s="97">
        <f t="shared" si="3"/>
        <v>36</v>
      </c>
      <c r="D66" s="140">
        <f t="shared" si="0"/>
        <v>4153231.8833192717</v>
      </c>
      <c r="E66" s="140"/>
      <c r="F66" s="140">
        <f t="shared" si="1"/>
        <v>4795751.8200019402</v>
      </c>
    </row>
    <row r="67" spans="1:6" x14ac:dyDescent="0.2">
      <c r="A67" s="20">
        <f t="shared" si="2"/>
        <v>52</v>
      </c>
      <c r="C67" s="97">
        <f t="shared" si="3"/>
        <v>37</v>
      </c>
      <c r="D67" s="140">
        <f t="shared" si="0"/>
        <v>4153231.8833192717</v>
      </c>
      <c r="E67" s="140"/>
      <c r="F67" s="140">
        <f t="shared" si="1"/>
        <v>4795751.8200019402</v>
      </c>
    </row>
    <row r="68" spans="1:6" x14ac:dyDescent="0.2">
      <c r="A68" s="20">
        <f t="shared" si="2"/>
        <v>53</v>
      </c>
      <c r="C68" s="97">
        <f t="shared" si="3"/>
        <v>38</v>
      </c>
      <c r="D68" s="140">
        <f t="shared" si="0"/>
        <v>4153231.8833192717</v>
      </c>
      <c r="E68" s="140"/>
      <c r="F68" s="140">
        <f t="shared" si="1"/>
        <v>4795751.8200019402</v>
      </c>
    </row>
    <row r="69" spans="1:6" x14ac:dyDescent="0.2">
      <c r="A69" s="20">
        <f t="shared" si="2"/>
        <v>54</v>
      </c>
      <c r="C69" s="97">
        <f t="shared" si="3"/>
        <v>39</v>
      </c>
      <c r="D69" s="140">
        <f t="shared" si="0"/>
        <v>4153231.8833192717</v>
      </c>
      <c r="E69" s="140"/>
      <c r="F69" s="140">
        <f t="shared" si="1"/>
        <v>4795751.8200019402</v>
      </c>
    </row>
    <row r="70" spans="1:6" x14ac:dyDescent="0.2">
      <c r="A70" s="20">
        <f t="shared" si="2"/>
        <v>55</v>
      </c>
      <c r="C70" s="97">
        <f t="shared" si="3"/>
        <v>40</v>
      </c>
      <c r="D70" s="140">
        <f t="shared" si="0"/>
        <v>4153231.8833192717</v>
      </c>
      <c r="E70" s="140"/>
      <c r="F70" s="140">
        <f t="shared" si="1"/>
        <v>4795751.8200019402</v>
      </c>
    </row>
    <row r="71" spans="1:6" x14ac:dyDescent="0.2">
      <c r="A71" s="20">
        <f t="shared" si="2"/>
        <v>56</v>
      </c>
      <c r="C71" s="97">
        <f t="shared" si="3"/>
        <v>41</v>
      </c>
      <c r="D71" s="140">
        <f t="shared" si="0"/>
        <v>4153231.8833192717</v>
      </c>
      <c r="E71" s="140"/>
      <c r="F71" s="140">
        <f t="shared" si="1"/>
        <v>4795751.8200019402</v>
      </c>
    </row>
    <row r="72" spans="1:6" x14ac:dyDescent="0.2">
      <c r="A72" s="20">
        <f t="shared" si="2"/>
        <v>57</v>
      </c>
      <c r="C72" s="97">
        <f t="shared" si="3"/>
        <v>42</v>
      </c>
      <c r="D72" s="140">
        <f t="shared" si="0"/>
        <v>4153231.8833192717</v>
      </c>
      <c r="E72" s="140"/>
      <c r="F72" s="140">
        <f t="shared" si="1"/>
        <v>4795751.8200019402</v>
      </c>
    </row>
    <row r="73" spans="1:6" x14ac:dyDescent="0.2">
      <c r="A73" s="20">
        <f t="shared" si="2"/>
        <v>58</v>
      </c>
      <c r="C73" s="97">
        <f t="shared" si="3"/>
        <v>43</v>
      </c>
      <c r="D73" s="140">
        <f t="shared" si="0"/>
        <v>4153231.8833192717</v>
      </c>
      <c r="E73" s="140"/>
      <c r="F73" s="140">
        <f t="shared" si="1"/>
        <v>4795751.8200019402</v>
      </c>
    </row>
    <row r="74" spans="1:6" x14ac:dyDescent="0.2">
      <c r="A74" s="20">
        <f t="shared" si="2"/>
        <v>59</v>
      </c>
      <c r="C74" s="97">
        <f t="shared" si="3"/>
        <v>44</v>
      </c>
      <c r="D74" s="140">
        <f t="shared" si="0"/>
        <v>4153231.8833192717</v>
      </c>
      <c r="E74" s="140"/>
      <c r="F74" s="140">
        <f t="shared" si="1"/>
        <v>4795751.8200019402</v>
      </c>
    </row>
    <row r="75" spans="1:6" x14ac:dyDescent="0.2">
      <c r="A75" s="20">
        <f t="shared" si="2"/>
        <v>60</v>
      </c>
      <c r="C75" s="97">
        <f t="shared" si="3"/>
        <v>45</v>
      </c>
      <c r="D75" s="140">
        <f t="shared" si="0"/>
        <v>4153231.8833192717</v>
      </c>
      <c r="E75" s="140"/>
      <c r="F75" s="140">
        <f t="shared" si="1"/>
        <v>4795751.8200019402</v>
      </c>
    </row>
    <row r="76" spans="1:6" x14ac:dyDescent="0.2">
      <c r="A76" s="20">
        <f t="shared" si="2"/>
        <v>61</v>
      </c>
      <c r="C76" s="97">
        <f t="shared" si="3"/>
        <v>46</v>
      </c>
      <c r="D76" s="140">
        <f t="shared" si="0"/>
        <v>4153231.8833192717</v>
      </c>
      <c r="E76" s="140"/>
      <c r="F76" s="140">
        <f t="shared" si="1"/>
        <v>4795751.8200019402</v>
      </c>
    </row>
    <row r="77" spans="1:6" x14ac:dyDescent="0.2">
      <c r="A77" s="20">
        <f t="shared" si="2"/>
        <v>62</v>
      </c>
      <c r="C77" s="97">
        <f t="shared" si="3"/>
        <v>47</v>
      </c>
      <c r="D77" s="140">
        <f t="shared" si="0"/>
        <v>4153231.8833192717</v>
      </c>
      <c r="E77" s="140"/>
      <c r="F77" s="140">
        <f t="shared" si="1"/>
        <v>4795751.8200019402</v>
      </c>
    </row>
    <row r="78" spans="1:6" x14ac:dyDescent="0.2">
      <c r="A78" s="20">
        <f t="shared" si="2"/>
        <v>63</v>
      </c>
      <c r="C78" s="97">
        <f t="shared" si="3"/>
        <v>48</v>
      </c>
      <c r="D78" s="140">
        <f t="shared" si="0"/>
        <v>4153231.8833192717</v>
      </c>
      <c r="E78" s="140"/>
      <c r="F78" s="140">
        <f t="shared" si="1"/>
        <v>4795751.8200019402</v>
      </c>
    </row>
    <row r="79" spans="1:6" x14ac:dyDescent="0.2">
      <c r="A79" s="20">
        <f t="shared" si="2"/>
        <v>64</v>
      </c>
      <c r="C79" s="97">
        <f t="shared" si="3"/>
        <v>49</v>
      </c>
      <c r="D79" s="140">
        <f t="shared" si="0"/>
        <v>4153231.8833192717</v>
      </c>
      <c r="E79" s="140"/>
      <c r="F79" s="140">
        <f t="shared" si="1"/>
        <v>4795751.8200019402</v>
      </c>
    </row>
    <row r="80" spans="1:6" x14ac:dyDescent="0.2">
      <c r="A80" s="20">
        <f t="shared" si="2"/>
        <v>65</v>
      </c>
      <c r="C80" s="97">
        <f t="shared" si="3"/>
        <v>50</v>
      </c>
      <c r="D80" s="140">
        <f t="shared" si="0"/>
        <v>4153231.8833192717</v>
      </c>
      <c r="E80" s="140"/>
      <c r="F80" s="140">
        <f t="shared" si="1"/>
        <v>4795751.8200019402</v>
      </c>
    </row>
    <row r="81" spans="1:6" x14ac:dyDescent="0.2">
      <c r="A81" s="20">
        <f t="shared" si="2"/>
        <v>66</v>
      </c>
      <c r="C81" s="97">
        <f t="shared" si="3"/>
        <v>51</v>
      </c>
      <c r="D81" s="140">
        <f t="shared" si="0"/>
        <v>4153231.8833192717</v>
      </c>
      <c r="E81" s="140"/>
      <c r="F81" s="140">
        <f t="shared" si="1"/>
        <v>4795751.8200019402</v>
      </c>
    </row>
    <row r="82" spans="1:6" x14ac:dyDescent="0.2">
      <c r="A82" s="20">
        <f t="shared" si="2"/>
        <v>67</v>
      </c>
      <c r="C82" s="97">
        <f t="shared" si="3"/>
        <v>52</v>
      </c>
      <c r="D82" s="140">
        <f t="shared" si="0"/>
        <v>4153231.8833192717</v>
      </c>
      <c r="E82" s="140"/>
      <c r="F82" s="140">
        <f t="shared" si="1"/>
        <v>4795751.8200019402</v>
      </c>
    </row>
    <row r="83" spans="1:6" x14ac:dyDescent="0.2">
      <c r="A83" s="20">
        <f t="shared" si="2"/>
        <v>68</v>
      </c>
      <c r="C83" s="97">
        <f t="shared" si="3"/>
        <v>53</v>
      </c>
      <c r="D83" s="140">
        <f t="shared" si="0"/>
        <v>4153231.8833192717</v>
      </c>
      <c r="E83" s="140"/>
      <c r="F83" s="140">
        <f t="shared" si="1"/>
        <v>4795751.8200019402</v>
      </c>
    </row>
    <row r="84" spans="1:6" x14ac:dyDescent="0.2">
      <c r="A84" s="20">
        <f t="shared" si="2"/>
        <v>69</v>
      </c>
      <c r="C84" s="97">
        <f t="shared" si="3"/>
        <v>54</v>
      </c>
      <c r="D84" s="140">
        <f t="shared" si="0"/>
        <v>4153231.8833192717</v>
      </c>
      <c r="E84" s="140"/>
      <c r="F84" s="140">
        <f t="shared" si="1"/>
        <v>4795751.8200019402</v>
      </c>
    </row>
    <row r="85" spans="1:6" x14ac:dyDescent="0.2">
      <c r="A85" s="20">
        <f t="shared" si="2"/>
        <v>70</v>
      </c>
      <c r="C85" s="97">
        <f t="shared" si="3"/>
        <v>55</v>
      </c>
      <c r="D85" s="140">
        <f t="shared" si="0"/>
        <v>4153231.8833192717</v>
      </c>
      <c r="E85" s="140"/>
      <c r="F85" s="140">
        <f t="shared" si="1"/>
        <v>4795751.8200019402</v>
      </c>
    </row>
    <row r="86" spans="1:6" x14ac:dyDescent="0.2">
      <c r="A86" s="20">
        <f t="shared" si="2"/>
        <v>71</v>
      </c>
      <c r="C86" s="97">
        <f t="shared" si="3"/>
        <v>56</v>
      </c>
      <c r="D86" s="140">
        <f t="shared" si="0"/>
        <v>4153231.8833192717</v>
      </c>
      <c r="E86" s="140"/>
      <c r="F86" s="140">
        <f t="shared" si="1"/>
        <v>4795751.8200019402</v>
      </c>
    </row>
    <row r="87" spans="1:6" x14ac:dyDescent="0.2">
      <c r="A87" s="20">
        <f t="shared" si="2"/>
        <v>72</v>
      </c>
      <c r="C87" s="97">
        <f t="shared" si="3"/>
        <v>57</v>
      </c>
      <c r="D87" s="140">
        <f t="shared" si="0"/>
        <v>4153231.8833192717</v>
      </c>
      <c r="E87" s="140"/>
      <c r="F87" s="140">
        <f t="shared" si="1"/>
        <v>4795751.8200019402</v>
      </c>
    </row>
    <row r="88" spans="1:6" x14ac:dyDescent="0.2">
      <c r="A88" s="20">
        <f t="shared" si="2"/>
        <v>73</v>
      </c>
      <c r="C88" s="97">
        <f t="shared" si="3"/>
        <v>58</v>
      </c>
      <c r="D88" s="140">
        <f t="shared" si="0"/>
        <v>4153231.8833192717</v>
      </c>
      <c r="E88" s="140"/>
      <c r="F88" s="140">
        <f t="shared" si="1"/>
        <v>4795751.8200019402</v>
      </c>
    </row>
    <row r="89" spans="1:6" x14ac:dyDescent="0.2">
      <c r="A89" s="20">
        <f t="shared" si="2"/>
        <v>74</v>
      </c>
      <c r="C89" s="97">
        <f t="shared" si="3"/>
        <v>59</v>
      </c>
      <c r="D89" s="140">
        <f t="shared" si="0"/>
        <v>4153231.8833192717</v>
      </c>
      <c r="E89" s="140"/>
      <c r="F89" s="140">
        <f t="shared" si="1"/>
        <v>4795751.8200019402</v>
      </c>
    </row>
    <row r="90" spans="1:6" x14ac:dyDescent="0.2">
      <c r="A90" s="20">
        <f t="shared" si="2"/>
        <v>75</v>
      </c>
      <c r="C90" s="97">
        <f t="shared" si="3"/>
        <v>60</v>
      </c>
      <c r="D90" s="140">
        <f t="shared" si="0"/>
        <v>4153231.8833192717</v>
      </c>
      <c r="E90" s="140"/>
      <c r="F90" s="140">
        <f t="shared" si="1"/>
        <v>4795751.8200019402</v>
      </c>
    </row>
    <row r="91" spans="1:6" x14ac:dyDescent="0.2">
      <c r="A91" s="20">
        <f t="shared" si="2"/>
        <v>76</v>
      </c>
      <c r="C91" s="97">
        <f t="shared" si="3"/>
        <v>61</v>
      </c>
      <c r="D91" s="140">
        <f t="shared" si="0"/>
        <v>4153231.8833192717</v>
      </c>
      <c r="E91" s="140"/>
      <c r="F91" s="140">
        <f t="shared" si="1"/>
        <v>4795751.8200019402</v>
      </c>
    </row>
    <row r="92" spans="1:6" x14ac:dyDescent="0.2">
      <c r="A92" s="20">
        <f t="shared" si="2"/>
        <v>77</v>
      </c>
      <c r="C92" s="97">
        <f t="shared" si="3"/>
        <v>62</v>
      </c>
      <c r="D92" s="140">
        <f t="shared" si="0"/>
        <v>4153231.8833192717</v>
      </c>
      <c r="E92" s="140"/>
      <c r="F92" s="140">
        <f t="shared" si="1"/>
        <v>4795751.8200019402</v>
      </c>
    </row>
    <row r="93" spans="1:6" x14ac:dyDescent="0.2">
      <c r="A93" s="20">
        <f t="shared" si="2"/>
        <v>78</v>
      </c>
      <c r="C93" s="97">
        <f t="shared" si="3"/>
        <v>63</v>
      </c>
      <c r="D93" s="140">
        <f t="shared" si="0"/>
        <v>4153231.8833192717</v>
      </c>
      <c r="E93" s="140"/>
      <c r="F93" s="140">
        <f t="shared" si="1"/>
        <v>4795751.8200019402</v>
      </c>
    </row>
    <row r="94" spans="1:6" x14ac:dyDescent="0.2">
      <c r="A94" s="20">
        <f t="shared" si="2"/>
        <v>79</v>
      </c>
      <c r="C94" s="97">
        <f t="shared" si="3"/>
        <v>64</v>
      </c>
      <c r="D94" s="140">
        <f t="shared" si="0"/>
        <v>4153231.8833192717</v>
      </c>
      <c r="E94" s="140"/>
      <c r="F94" s="140">
        <f t="shared" si="1"/>
        <v>4795751.8200019402</v>
      </c>
    </row>
    <row r="95" spans="1:6" x14ac:dyDescent="0.2">
      <c r="A95" s="20">
        <f t="shared" si="2"/>
        <v>80</v>
      </c>
      <c r="C95" s="97">
        <f t="shared" si="3"/>
        <v>65</v>
      </c>
      <c r="D95" s="140">
        <f t="shared" ref="D95:D158" si="4">D$21</f>
        <v>4153231.8833192717</v>
      </c>
      <c r="E95" s="140"/>
      <c r="F95" s="140">
        <f t="shared" ref="F95:F158" si="5">+F$21</f>
        <v>4795751.8200019402</v>
      </c>
    </row>
    <row r="96" spans="1:6" x14ac:dyDescent="0.2">
      <c r="A96" s="20">
        <f t="shared" ref="A96:A159" si="6">1+A95</f>
        <v>81</v>
      </c>
      <c r="C96" s="97">
        <f t="shared" si="3"/>
        <v>66</v>
      </c>
      <c r="D96" s="140">
        <f t="shared" si="4"/>
        <v>4153231.8833192717</v>
      </c>
      <c r="E96" s="140"/>
      <c r="F96" s="140">
        <f t="shared" si="5"/>
        <v>4795751.8200019402</v>
      </c>
    </row>
    <row r="97" spans="1:6" x14ac:dyDescent="0.2">
      <c r="A97" s="20">
        <f t="shared" si="6"/>
        <v>82</v>
      </c>
      <c r="C97" s="97">
        <f t="shared" ref="C97:C160" si="7">C96+1</f>
        <v>67</v>
      </c>
      <c r="D97" s="140">
        <f t="shared" si="4"/>
        <v>4153231.8833192717</v>
      </c>
      <c r="E97" s="140"/>
      <c r="F97" s="140">
        <f t="shared" si="5"/>
        <v>4795751.8200019402</v>
      </c>
    </row>
    <row r="98" spans="1:6" x14ac:dyDescent="0.2">
      <c r="A98" s="20">
        <f t="shared" si="6"/>
        <v>83</v>
      </c>
      <c r="C98" s="97">
        <f t="shared" si="7"/>
        <v>68</v>
      </c>
      <c r="D98" s="140">
        <f t="shared" si="4"/>
        <v>4153231.8833192717</v>
      </c>
      <c r="E98" s="140"/>
      <c r="F98" s="140">
        <f t="shared" si="5"/>
        <v>4795751.8200019402</v>
      </c>
    </row>
    <row r="99" spans="1:6" x14ac:dyDescent="0.2">
      <c r="A99" s="20">
        <f t="shared" si="6"/>
        <v>84</v>
      </c>
      <c r="C99" s="97">
        <f t="shared" si="7"/>
        <v>69</v>
      </c>
      <c r="D99" s="140">
        <f t="shared" si="4"/>
        <v>4153231.8833192717</v>
      </c>
      <c r="E99" s="140"/>
      <c r="F99" s="140">
        <f t="shared" si="5"/>
        <v>4795751.8200019402</v>
      </c>
    </row>
    <row r="100" spans="1:6" x14ac:dyDescent="0.2">
      <c r="A100" s="20">
        <f t="shared" si="6"/>
        <v>85</v>
      </c>
      <c r="C100" s="97">
        <f t="shared" si="7"/>
        <v>70</v>
      </c>
      <c r="D100" s="140">
        <f t="shared" si="4"/>
        <v>4153231.8833192717</v>
      </c>
      <c r="E100" s="140"/>
      <c r="F100" s="140">
        <f t="shared" si="5"/>
        <v>4795751.8200019402</v>
      </c>
    </row>
    <row r="101" spans="1:6" x14ac:dyDescent="0.2">
      <c r="A101" s="20">
        <f t="shared" si="6"/>
        <v>86</v>
      </c>
      <c r="C101" s="97">
        <f t="shared" si="7"/>
        <v>71</v>
      </c>
      <c r="D101" s="140">
        <f t="shared" si="4"/>
        <v>4153231.8833192717</v>
      </c>
      <c r="E101" s="140"/>
      <c r="F101" s="140">
        <f t="shared" si="5"/>
        <v>4795751.8200019402</v>
      </c>
    </row>
    <row r="102" spans="1:6" x14ac:dyDescent="0.2">
      <c r="A102" s="20">
        <f t="shared" si="6"/>
        <v>87</v>
      </c>
      <c r="C102" s="97">
        <f t="shared" si="7"/>
        <v>72</v>
      </c>
      <c r="D102" s="140">
        <f t="shared" si="4"/>
        <v>4153231.8833192717</v>
      </c>
      <c r="E102" s="140"/>
      <c r="F102" s="140">
        <f t="shared" si="5"/>
        <v>4795751.8200019402</v>
      </c>
    </row>
    <row r="103" spans="1:6" x14ac:dyDescent="0.2">
      <c r="A103" s="20">
        <f t="shared" si="6"/>
        <v>88</v>
      </c>
      <c r="C103" s="97">
        <f t="shared" si="7"/>
        <v>73</v>
      </c>
      <c r="D103" s="140">
        <f t="shared" si="4"/>
        <v>4153231.8833192717</v>
      </c>
      <c r="E103" s="140"/>
      <c r="F103" s="140">
        <f t="shared" si="5"/>
        <v>4795751.8200019402</v>
      </c>
    </row>
    <row r="104" spans="1:6" x14ac:dyDescent="0.2">
      <c r="A104" s="20">
        <f t="shared" si="6"/>
        <v>89</v>
      </c>
      <c r="C104" s="97">
        <f t="shared" si="7"/>
        <v>74</v>
      </c>
      <c r="D104" s="140">
        <f t="shared" si="4"/>
        <v>4153231.8833192717</v>
      </c>
      <c r="E104" s="140"/>
      <c r="F104" s="140">
        <f t="shared" si="5"/>
        <v>4795751.8200019402</v>
      </c>
    </row>
    <row r="105" spans="1:6" x14ac:dyDescent="0.2">
      <c r="A105" s="20">
        <f t="shared" si="6"/>
        <v>90</v>
      </c>
      <c r="C105" s="97">
        <f t="shared" si="7"/>
        <v>75</v>
      </c>
      <c r="D105" s="140">
        <f t="shared" si="4"/>
        <v>4153231.8833192717</v>
      </c>
      <c r="E105" s="140"/>
      <c r="F105" s="140">
        <f t="shared" si="5"/>
        <v>4795751.8200019402</v>
      </c>
    </row>
    <row r="106" spans="1:6" x14ac:dyDescent="0.2">
      <c r="A106" s="20">
        <f t="shared" si="6"/>
        <v>91</v>
      </c>
      <c r="C106" s="97">
        <f t="shared" si="7"/>
        <v>76</v>
      </c>
      <c r="D106" s="140">
        <f t="shared" si="4"/>
        <v>4153231.8833192717</v>
      </c>
      <c r="E106" s="140"/>
      <c r="F106" s="140">
        <f t="shared" si="5"/>
        <v>4795751.8200019402</v>
      </c>
    </row>
    <row r="107" spans="1:6" x14ac:dyDescent="0.2">
      <c r="A107" s="20">
        <f t="shared" si="6"/>
        <v>92</v>
      </c>
      <c r="C107" s="97">
        <f t="shared" si="7"/>
        <v>77</v>
      </c>
      <c r="D107" s="140">
        <f t="shared" si="4"/>
        <v>4153231.8833192717</v>
      </c>
      <c r="E107" s="140"/>
      <c r="F107" s="140">
        <f t="shared" si="5"/>
        <v>4795751.8200019402</v>
      </c>
    </row>
    <row r="108" spans="1:6" x14ac:dyDescent="0.2">
      <c r="A108" s="20">
        <f t="shared" si="6"/>
        <v>93</v>
      </c>
      <c r="C108" s="97">
        <f t="shared" si="7"/>
        <v>78</v>
      </c>
      <c r="D108" s="140">
        <f t="shared" si="4"/>
        <v>4153231.8833192717</v>
      </c>
      <c r="E108" s="140"/>
      <c r="F108" s="140">
        <f t="shared" si="5"/>
        <v>4795751.8200019402</v>
      </c>
    </row>
    <row r="109" spans="1:6" x14ac:dyDescent="0.2">
      <c r="A109" s="20">
        <f t="shared" si="6"/>
        <v>94</v>
      </c>
      <c r="C109" s="97">
        <f t="shared" si="7"/>
        <v>79</v>
      </c>
      <c r="D109" s="140">
        <f t="shared" si="4"/>
        <v>4153231.8833192717</v>
      </c>
      <c r="E109" s="140"/>
      <c r="F109" s="140">
        <f t="shared" si="5"/>
        <v>4795751.8200019402</v>
      </c>
    </row>
    <row r="110" spans="1:6" x14ac:dyDescent="0.2">
      <c r="A110" s="20">
        <f t="shared" si="6"/>
        <v>95</v>
      </c>
      <c r="C110" s="97">
        <f t="shared" si="7"/>
        <v>80</v>
      </c>
      <c r="D110" s="140">
        <f t="shared" si="4"/>
        <v>4153231.8833192717</v>
      </c>
      <c r="E110" s="140"/>
      <c r="F110" s="140">
        <f t="shared" si="5"/>
        <v>4795751.8200019402</v>
      </c>
    </row>
    <row r="111" spans="1:6" x14ac:dyDescent="0.2">
      <c r="A111" s="20">
        <f t="shared" si="6"/>
        <v>96</v>
      </c>
      <c r="C111" s="97">
        <f t="shared" si="7"/>
        <v>81</v>
      </c>
      <c r="D111" s="140">
        <f t="shared" si="4"/>
        <v>4153231.8833192717</v>
      </c>
      <c r="E111" s="140"/>
      <c r="F111" s="140">
        <f t="shared" si="5"/>
        <v>4795751.8200019402</v>
      </c>
    </row>
    <row r="112" spans="1:6" x14ac:dyDescent="0.2">
      <c r="A112" s="20">
        <f t="shared" si="6"/>
        <v>97</v>
      </c>
      <c r="C112" s="97">
        <f t="shared" si="7"/>
        <v>82</v>
      </c>
      <c r="D112" s="140">
        <f t="shared" si="4"/>
        <v>4153231.8833192717</v>
      </c>
      <c r="E112" s="140"/>
      <c r="F112" s="140">
        <f t="shared" si="5"/>
        <v>4795751.8200019402</v>
      </c>
    </row>
    <row r="113" spans="1:6" x14ac:dyDescent="0.2">
      <c r="A113" s="20">
        <f t="shared" si="6"/>
        <v>98</v>
      </c>
      <c r="C113" s="97">
        <f t="shared" si="7"/>
        <v>83</v>
      </c>
      <c r="D113" s="140">
        <f t="shared" si="4"/>
        <v>4153231.8833192717</v>
      </c>
      <c r="E113" s="140"/>
      <c r="F113" s="140">
        <f t="shared" si="5"/>
        <v>4795751.8200019402</v>
      </c>
    </row>
    <row r="114" spans="1:6" x14ac:dyDescent="0.2">
      <c r="A114" s="20">
        <f t="shared" si="6"/>
        <v>99</v>
      </c>
      <c r="C114" s="97">
        <f t="shared" si="7"/>
        <v>84</v>
      </c>
      <c r="D114" s="140">
        <f t="shared" si="4"/>
        <v>4153231.8833192717</v>
      </c>
      <c r="E114" s="140"/>
      <c r="F114" s="140">
        <f t="shared" si="5"/>
        <v>4795751.8200019402</v>
      </c>
    </row>
    <row r="115" spans="1:6" x14ac:dyDescent="0.2">
      <c r="A115" s="20">
        <f t="shared" si="6"/>
        <v>100</v>
      </c>
      <c r="C115" s="97">
        <f t="shared" si="7"/>
        <v>85</v>
      </c>
      <c r="D115" s="140">
        <f t="shared" si="4"/>
        <v>4153231.8833192717</v>
      </c>
      <c r="E115" s="140"/>
      <c r="F115" s="140">
        <f t="shared" si="5"/>
        <v>4795751.8200019402</v>
      </c>
    </row>
    <row r="116" spans="1:6" x14ac:dyDescent="0.2">
      <c r="A116" s="20">
        <f t="shared" si="6"/>
        <v>101</v>
      </c>
      <c r="C116" s="97">
        <f t="shared" si="7"/>
        <v>86</v>
      </c>
      <c r="D116" s="140">
        <f t="shared" si="4"/>
        <v>4153231.8833192717</v>
      </c>
      <c r="E116" s="140"/>
      <c r="F116" s="140">
        <f t="shared" si="5"/>
        <v>4795751.8200019402</v>
      </c>
    </row>
    <row r="117" spans="1:6" x14ac:dyDescent="0.2">
      <c r="A117" s="20">
        <f t="shared" si="6"/>
        <v>102</v>
      </c>
      <c r="C117" s="97">
        <f t="shared" si="7"/>
        <v>87</v>
      </c>
      <c r="D117" s="140">
        <f t="shared" si="4"/>
        <v>4153231.8833192717</v>
      </c>
      <c r="E117" s="140"/>
      <c r="F117" s="140">
        <f t="shared" si="5"/>
        <v>4795751.8200019402</v>
      </c>
    </row>
    <row r="118" spans="1:6" x14ac:dyDescent="0.2">
      <c r="A118" s="20">
        <f t="shared" si="6"/>
        <v>103</v>
      </c>
      <c r="C118" s="97">
        <f t="shared" si="7"/>
        <v>88</v>
      </c>
      <c r="D118" s="140">
        <f t="shared" si="4"/>
        <v>4153231.8833192717</v>
      </c>
      <c r="E118" s="140"/>
      <c r="F118" s="140">
        <f t="shared" si="5"/>
        <v>4795751.8200019402</v>
      </c>
    </row>
    <row r="119" spans="1:6" x14ac:dyDescent="0.2">
      <c r="A119" s="20">
        <f t="shared" si="6"/>
        <v>104</v>
      </c>
      <c r="C119" s="97">
        <f t="shared" si="7"/>
        <v>89</v>
      </c>
      <c r="D119" s="140">
        <f t="shared" si="4"/>
        <v>4153231.8833192717</v>
      </c>
      <c r="E119" s="140"/>
      <c r="F119" s="140">
        <f t="shared" si="5"/>
        <v>4795751.8200019402</v>
      </c>
    </row>
    <row r="120" spans="1:6" x14ac:dyDescent="0.2">
      <c r="A120" s="20">
        <f t="shared" si="6"/>
        <v>105</v>
      </c>
      <c r="C120" s="97">
        <f t="shared" si="7"/>
        <v>90</v>
      </c>
      <c r="D120" s="140">
        <f t="shared" si="4"/>
        <v>4153231.8833192717</v>
      </c>
      <c r="E120" s="140"/>
      <c r="F120" s="140">
        <f t="shared" si="5"/>
        <v>4795751.8200019402</v>
      </c>
    </row>
    <row r="121" spans="1:6" x14ac:dyDescent="0.2">
      <c r="A121" s="20">
        <f t="shared" si="6"/>
        <v>106</v>
      </c>
      <c r="C121" s="97">
        <f t="shared" si="7"/>
        <v>91</v>
      </c>
      <c r="D121" s="140">
        <f t="shared" si="4"/>
        <v>4153231.8833192717</v>
      </c>
      <c r="E121" s="140"/>
      <c r="F121" s="140">
        <f t="shared" si="5"/>
        <v>4795751.8200019402</v>
      </c>
    </row>
    <row r="122" spans="1:6" x14ac:dyDescent="0.2">
      <c r="A122" s="20">
        <f t="shared" si="6"/>
        <v>107</v>
      </c>
      <c r="C122" s="97">
        <f t="shared" si="7"/>
        <v>92</v>
      </c>
      <c r="D122" s="140">
        <f t="shared" si="4"/>
        <v>4153231.8833192717</v>
      </c>
      <c r="E122" s="140"/>
      <c r="F122" s="140">
        <f t="shared" si="5"/>
        <v>4795751.8200019402</v>
      </c>
    </row>
    <row r="123" spans="1:6" x14ac:dyDescent="0.2">
      <c r="A123" s="20">
        <f t="shared" si="6"/>
        <v>108</v>
      </c>
      <c r="C123" s="97">
        <f t="shared" si="7"/>
        <v>93</v>
      </c>
      <c r="D123" s="140">
        <f t="shared" si="4"/>
        <v>4153231.8833192717</v>
      </c>
      <c r="E123" s="140"/>
      <c r="F123" s="140">
        <f t="shared" si="5"/>
        <v>4795751.8200019402</v>
      </c>
    </row>
    <row r="124" spans="1:6" x14ac:dyDescent="0.2">
      <c r="A124" s="20">
        <f t="shared" si="6"/>
        <v>109</v>
      </c>
      <c r="C124" s="97">
        <f t="shared" si="7"/>
        <v>94</v>
      </c>
      <c r="D124" s="140">
        <f t="shared" si="4"/>
        <v>4153231.8833192717</v>
      </c>
      <c r="E124" s="140"/>
      <c r="F124" s="140">
        <f t="shared" si="5"/>
        <v>4795751.8200019402</v>
      </c>
    </row>
    <row r="125" spans="1:6" x14ac:dyDescent="0.2">
      <c r="A125" s="20">
        <f t="shared" si="6"/>
        <v>110</v>
      </c>
      <c r="C125" s="97">
        <f t="shared" si="7"/>
        <v>95</v>
      </c>
      <c r="D125" s="140">
        <f t="shared" si="4"/>
        <v>4153231.8833192717</v>
      </c>
      <c r="E125" s="140"/>
      <c r="F125" s="140">
        <f t="shared" si="5"/>
        <v>4795751.8200019402</v>
      </c>
    </row>
    <row r="126" spans="1:6" x14ac:dyDescent="0.2">
      <c r="A126" s="20">
        <f t="shared" si="6"/>
        <v>111</v>
      </c>
      <c r="C126" s="97">
        <f t="shared" si="7"/>
        <v>96</v>
      </c>
      <c r="D126" s="140">
        <f t="shared" si="4"/>
        <v>4153231.8833192717</v>
      </c>
      <c r="E126" s="140"/>
      <c r="F126" s="140">
        <f t="shared" si="5"/>
        <v>4795751.8200019402</v>
      </c>
    </row>
    <row r="127" spans="1:6" x14ac:dyDescent="0.2">
      <c r="A127" s="20">
        <f t="shared" si="6"/>
        <v>112</v>
      </c>
      <c r="C127" s="97">
        <f t="shared" si="7"/>
        <v>97</v>
      </c>
      <c r="D127" s="140">
        <f t="shared" si="4"/>
        <v>4153231.8833192717</v>
      </c>
      <c r="E127" s="140"/>
      <c r="F127" s="140">
        <f t="shared" si="5"/>
        <v>4795751.8200019402</v>
      </c>
    </row>
    <row r="128" spans="1:6" x14ac:dyDescent="0.2">
      <c r="A128" s="20">
        <f t="shared" si="6"/>
        <v>113</v>
      </c>
      <c r="C128" s="97">
        <f t="shared" si="7"/>
        <v>98</v>
      </c>
      <c r="D128" s="140">
        <f t="shared" si="4"/>
        <v>4153231.8833192717</v>
      </c>
      <c r="E128" s="140"/>
      <c r="F128" s="140">
        <f t="shared" si="5"/>
        <v>4795751.8200019402</v>
      </c>
    </row>
    <row r="129" spans="1:6" x14ac:dyDescent="0.2">
      <c r="A129" s="20">
        <f t="shared" si="6"/>
        <v>114</v>
      </c>
      <c r="C129" s="97">
        <f t="shared" si="7"/>
        <v>99</v>
      </c>
      <c r="D129" s="140">
        <f t="shared" si="4"/>
        <v>4153231.8833192717</v>
      </c>
      <c r="E129" s="140"/>
      <c r="F129" s="140">
        <f t="shared" si="5"/>
        <v>4795751.8200019402</v>
      </c>
    </row>
    <row r="130" spans="1:6" x14ac:dyDescent="0.2">
      <c r="A130" s="20">
        <f t="shared" si="6"/>
        <v>115</v>
      </c>
      <c r="C130" s="97">
        <f t="shared" si="7"/>
        <v>100</v>
      </c>
      <c r="D130" s="140">
        <f t="shared" si="4"/>
        <v>4153231.8833192717</v>
      </c>
      <c r="E130" s="140"/>
      <c r="F130" s="140">
        <f t="shared" si="5"/>
        <v>4795751.8200019402</v>
      </c>
    </row>
    <row r="131" spans="1:6" x14ac:dyDescent="0.2">
      <c r="A131" s="20">
        <f t="shared" si="6"/>
        <v>116</v>
      </c>
      <c r="C131" s="97">
        <f t="shared" si="7"/>
        <v>101</v>
      </c>
      <c r="D131" s="140">
        <f t="shared" si="4"/>
        <v>4153231.8833192717</v>
      </c>
      <c r="E131" s="140"/>
      <c r="F131" s="140">
        <f t="shared" si="5"/>
        <v>4795751.8200019402</v>
      </c>
    </row>
    <row r="132" spans="1:6" x14ac:dyDescent="0.2">
      <c r="A132" s="20">
        <f t="shared" si="6"/>
        <v>117</v>
      </c>
      <c r="C132" s="97">
        <f t="shared" si="7"/>
        <v>102</v>
      </c>
      <c r="D132" s="140">
        <f t="shared" si="4"/>
        <v>4153231.8833192717</v>
      </c>
      <c r="E132" s="140"/>
      <c r="F132" s="140">
        <f t="shared" si="5"/>
        <v>4795751.8200019402</v>
      </c>
    </row>
    <row r="133" spans="1:6" x14ac:dyDescent="0.2">
      <c r="A133" s="20">
        <f t="shared" si="6"/>
        <v>118</v>
      </c>
      <c r="C133" s="97">
        <f t="shared" si="7"/>
        <v>103</v>
      </c>
      <c r="D133" s="140">
        <f t="shared" si="4"/>
        <v>4153231.8833192717</v>
      </c>
      <c r="E133" s="140"/>
      <c r="F133" s="140">
        <f t="shared" si="5"/>
        <v>4795751.8200019402</v>
      </c>
    </row>
    <row r="134" spans="1:6" x14ac:dyDescent="0.2">
      <c r="A134" s="20">
        <f t="shared" si="6"/>
        <v>119</v>
      </c>
      <c r="C134" s="97">
        <f t="shared" si="7"/>
        <v>104</v>
      </c>
      <c r="D134" s="140">
        <f t="shared" si="4"/>
        <v>4153231.8833192717</v>
      </c>
      <c r="E134" s="140"/>
      <c r="F134" s="140">
        <f t="shared" si="5"/>
        <v>4795751.8200019402</v>
      </c>
    </row>
    <row r="135" spans="1:6" x14ac:dyDescent="0.2">
      <c r="A135" s="20">
        <f t="shared" si="6"/>
        <v>120</v>
      </c>
      <c r="C135" s="97">
        <f t="shared" si="7"/>
        <v>105</v>
      </c>
      <c r="D135" s="140">
        <f t="shared" si="4"/>
        <v>4153231.8833192717</v>
      </c>
      <c r="E135" s="140"/>
      <c r="F135" s="140">
        <f t="shared" si="5"/>
        <v>4795751.8200019402</v>
      </c>
    </row>
    <row r="136" spans="1:6" x14ac:dyDescent="0.2">
      <c r="A136" s="20">
        <f t="shared" si="6"/>
        <v>121</v>
      </c>
      <c r="C136" s="97">
        <f t="shared" si="7"/>
        <v>106</v>
      </c>
      <c r="D136" s="140">
        <f t="shared" si="4"/>
        <v>4153231.8833192717</v>
      </c>
      <c r="E136" s="140"/>
      <c r="F136" s="140">
        <f t="shared" si="5"/>
        <v>4795751.8200019402</v>
      </c>
    </row>
    <row r="137" spans="1:6" x14ac:dyDescent="0.2">
      <c r="A137" s="20">
        <f t="shared" si="6"/>
        <v>122</v>
      </c>
      <c r="C137" s="97">
        <f t="shared" si="7"/>
        <v>107</v>
      </c>
      <c r="D137" s="140">
        <f t="shared" si="4"/>
        <v>4153231.8833192717</v>
      </c>
      <c r="E137" s="140"/>
      <c r="F137" s="140">
        <f t="shared" si="5"/>
        <v>4795751.8200019402</v>
      </c>
    </row>
    <row r="138" spans="1:6" x14ac:dyDescent="0.2">
      <c r="A138" s="20">
        <f t="shared" si="6"/>
        <v>123</v>
      </c>
      <c r="C138" s="97">
        <f t="shared" si="7"/>
        <v>108</v>
      </c>
      <c r="D138" s="140">
        <f t="shared" si="4"/>
        <v>4153231.8833192717</v>
      </c>
      <c r="E138" s="140"/>
      <c r="F138" s="140">
        <f t="shared" si="5"/>
        <v>4795751.8200019402</v>
      </c>
    </row>
    <row r="139" spans="1:6" x14ac:dyDescent="0.2">
      <c r="A139" s="20">
        <f t="shared" si="6"/>
        <v>124</v>
      </c>
      <c r="C139" s="97">
        <f t="shared" si="7"/>
        <v>109</v>
      </c>
      <c r="D139" s="140">
        <f t="shared" si="4"/>
        <v>4153231.8833192717</v>
      </c>
      <c r="E139" s="140"/>
      <c r="F139" s="140">
        <f t="shared" si="5"/>
        <v>4795751.8200019402</v>
      </c>
    </row>
    <row r="140" spans="1:6" x14ac:dyDescent="0.2">
      <c r="A140" s="20">
        <f t="shared" si="6"/>
        <v>125</v>
      </c>
      <c r="C140" s="97">
        <f t="shared" si="7"/>
        <v>110</v>
      </c>
      <c r="D140" s="140">
        <f t="shared" si="4"/>
        <v>4153231.8833192717</v>
      </c>
      <c r="E140" s="140"/>
      <c r="F140" s="140">
        <f t="shared" si="5"/>
        <v>4795751.8200019402</v>
      </c>
    </row>
    <row r="141" spans="1:6" x14ac:dyDescent="0.2">
      <c r="A141" s="20">
        <f t="shared" si="6"/>
        <v>126</v>
      </c>
      <c r="C141" s="97">
        <f t="shared" si="7"/>
        <v>111</v>
      </c>
      <c r="D141" s="140">
        <f t="shared" si="4"/>
        <v>4153231.8833192717</v>
      </c>
      <c r="E141" s="140"/>
      <c r="F141" s="140">
        <f t="shared" si="5"/>
        <v>4795751.8200019402</v>
      </c>
    </row>
    <row r="142" spans="1:6" x14ac:dyDescent="0.2">
      <c r="A142" s="20">
        <f t="shared" si="6"/>
        <v>127</v>
      </c>
      <c r="C142" s="97">
        <f t="shared" si="7"/>
        <v>112</v>
      </c>
      <c r="D142" s="140">
        <f t="shared" si="4"/>
        <v>4153231.8833192717</v>
      </c>
      <c r="E142" s="140"/>
      <c r="F142" s="140">
        <f t="shared" si="5"/>
        <v>4795751.8200019402</v>
      </c>
    </row>
    <row r="143" spans="1:6" x14ac:dyDescent="0.2">
      <c r="A143" s="20">
        <f t="shared" si="6"/>
        <v>128</v>
      </c>
      <c r="C143" s="97">
        <f t="shared" si="7"/>
        <v>113</v>
      </c>
      <c r="D143" s="140">
        <f t="shared" si="4"/>
        <v>4153231.8833192717</v>
      </c>
      <c r="E143" s="140"/>
      <c r="F143" s="140">
        <f t="shared" si="5"/>
        <v>4795751.8200019402</v>
      </c>
    </row>
    <row r="144" spans="1:6" x14ac:dyDescent="0.2">
      <c r="A144" s="20">
        <f t="shared" si="6"/>
        <v>129</v>
      </c>
      <c r="C144" s="97">
        <f t="shared" si="7"/>
        <v>114</v>
      </c>
      <c r="D144" s="140">
        <f t="shared" si="4"/>
        <v>4153231.8833192717</v>
      </c>
      <c r="E144" s="140"/>
      <c r="F144" s="140">
        <f t="shared" si="5"/>
        <v>4795751.8200019402</v>
      </c>
    </row>
    <row r="145" spans="1:6" x14ac:dyDescent="0.2">
      <c r="A145" s="20">
        <f t="shared" si="6"/>
        <v>130</v>
      </c>
      <c r="C145" s="97">
        <f t="shared" si="7"/>
        <v>115</v>
      </c>
      <c r="D145" s="140">
        <f t="shared" si="4"/>
        <v>4153231.8833192717</v>
      </c>
      <c r="E145" s="140"/>
      <c r="F145" s="140">
        <f t="shared" si="5"/>
        <v>4795751.8200019402</v>
      </c>
    </row>
    <row r="146" spans="1:6" x14ac:dyDescent="0.2">
      <c r="A146" s="20">
        <f t="shared" si="6"/>
        <v>131</v>
      </c>
      <c r="C146" s="97">
        <f t="shared" si="7"/>
        <v>116</v>
      </c>
      <c r="D146" s="140">
        <f t="shared" si="4"/>
        <v>4153231.8833192717</v>
      </c>
      <c r="E146" s="140"/>
      <c r="F146" s="140">
        <f t="shared" si="5"/>
        <v>4795751.8200019402</v>
      </c>
    </row>
    <row r="147" spans="1:6" x14ac:dyDescent="0.2">
      <c r="A147" s="20">
        <f t="shared" si="6"/>
        <v>132</v>
      </c>
      <c r="C147" s="97">
        <f t="shared" si="7"/>
        <v>117</v>
      </c>
      <c r="D147" s="140">
        <f t="shared" si="4"/>
        <v>4153231.8833192717</v>
      </c>
      <c r="E147" s="140"/>
      <c r="F147" s="140">
        <f t="shared" si="5"/>
        <v>4795751.8200019402</v>
      </c>
    </row>
    <row r="148" spans="1:6" x14ac:dyDescent="0.2">
      <c r="A148" s="20">
        <f t="shared" si="6"/>
        <v>133</v>
      </c>
      <c r="C148" s="97">
        <f t="shared" si="7"/>
        <v>118</v>
      </c>
      <c r="D148" s="140">
        <f t="shared" si="4"/>
        <v>4153231.8833192717</v>
      </c>
      <c r="E148" s="140"/>
      <c r="F148" s="140">
        <f t="shared" si="5"/>
        <v>4795751.8200019402</v>
      </c>
    </row>
    <row r="149" spans="1:6" x14ac:dyDescent="0.2">
      <c r="A149" s="20">
        <f t="shared" si="6"/>
        <v>134</v>
      </c>
      <c r="C149" s="97">
        <f t="shared" si="7"/>
        <v>119</v>
      </c>
      <c r="D149" s="140">
        <f t="shared" si="4"/>
        <v>4153231.8833192717</v>
      </c>
      <c r="E149" s="140"/>
      <c r="F149" s="140">
        <f t="shared" si="5"/>
        <v>4795751.8200019402</v>
      </c>
    </row>
    <row r="150" spans="1:6" x14ac:dyDescent="0.2">
      <c r="A150" s="20">
        <f t="shared" si="6"/>
        <v>135</v>
      </c>
      <c r="C150" s="97">
        <f t="shared" si="7"/>
        <v>120</v>
      </c>
      <c r="D150" s="140">
        <f t="shared" si="4"/>
        <v>4153231.8833192717</v>
      </c>
      <c r="E150" s="140"/>
      <c r="F150" s="140">
        <f t="shared" si="5"/>
        <v>4795751.8200019402</v>
      </c>
    </row>
    <row r="151" spans="1:6" x14ac:dyDescent="0.2">
      <c r="A151" s="20">
        <f t="shared" si="6"/>
        <v>136</v>
      </c>
      <c r="C151" s="97">
        <f t="shared" si="7"/>
        <v>121</v>
      </c>
      <c r="D151" s="140">
        <f t="shared" si="4"/>
        <v>4153231.8833192717</v>
      </c>
      <c r="E151" s="140"/>
      <c r="F151" s="140">
        <f t="shared" si="5"/>
        <v>4795751.8200019402</v>
      </c>
    </row>
    <row r="152" spans="1:6" x14ac:dyDescent="0.2">
      <c r="A152" s="20">
        <f t="shared" si="6"/>
        <v>137</v>
      </c>
      <c r="C152" s="97">
        <f t="shared" si="7"/>
        <v>122</v>
      </c>
      <c r="D152" s="140">
        <f t="shared" si="4"/>
        <v>4153231.8833192717</v>
      </c>
      <c r="E152" s="140"/>
      <c r="F152" s="140">
        <f t="shared" si="5"/>
        <v>4795751.8200019402</v>
      </c>
    </row>
    <row r="153" spans="1:6" x14ac:dyDescent="0.2">
      <c r="A153" s="20">
        <f t="shared" si="6"/>
        <v>138</v>
      </c>
      <c r="C153" s="97">
        <f t="shared" si="7"/>
        <v>123</v>
      </c>
      <c r="D153" s="140">
        <f t="shared" si="4"/>
        <v>4153231.8833192717</v>
      </c>
      <c r="E153" s="140"/>
      <c r="F153" s="140">
        <f t="shared" si="5"/>
        <v>4795751.8200019402</v>
      </c>
    </row>
    <row r="154" spans="1:6" x14ac:dyDescent="0.2">
      <c r="A154" s="20">
        <f t="shared" si="6"/>
        <v>139</v>
      </c>
      <c r="C154" s="97">
        <f t="shared" si="7"/>
        <v>124</v>
      </c>
      <c r="D154" s="140">
        <f t="shared" si="4"/>
        <v>4153231.8833192717</v>
      </c>
      <c r="E154" s="140"/>
      <c r="F154" s="140">
        <f t="shared" si="5"/>
        <v>4795751.8200019402</v>
      </c>
    </row>
    <row r="155" spans="1:6" x14ac:dyDescent="0.2">
      <c r="A155" s="20">
        <f t="shared" si="6"/>
        <v>140</v>
      </c>
      <c r="C155" s="97">
        <f t="shared" si="7"/>
        <v>125</v>
      </c>
      <c r="D155" s="140">
        <f t="shared" si="4"/>
        <v>4153231.8833192717</v>
      </c>
      <c r="E155" s="140"/>
      <c r="F155" s="140">
        <f t="shared" si="5"/>
        <v>4795751.8200019402</v>
      </c>
    </row>
    <row r="156" spans="1:6" x14ac:dyDescent="0.2">
      <c r="A156" s="20">
        <f t="shared" si="6"/>
        <v>141</v>
      </c>
      <c r="C156" s="97">
        <f t="shared" si="7"/>
        <v>126</v>
      </c>
      <c r="D156" s="140">
        <f t="shared" si="4"/>
        <v>4153231.8833192717</v>
      </c>
      <c r="E156" s="140"/>
      <c r="F156" s="140">
        <f t="shared" si="5"/>
        <v>4795751.8200019402</v>
      </c>
    </row>
    <row r="157" spans="1:6" x14ac:dyDescent="0.2">
      <c r="A157" s="20">
        <f t="shared" si="6"/>
        <v>142</v>
      </c>
      <c r="C157" s="97">
        <f t="shared" si="7"/>
        <v>127</v>
      </c>
      <c r="D157" s="140">
        <f t="shared" si="4"/>
        <v>4153231.8833192717</v>
      </c>
      <c r="E157" s="140"/>
      <c r="F157" s="140">
        <f t="shared" si="5"/>
        <v>4795751.8200019402</v>
      </c>
    </row>
    <row r="158" spans="1:6" x14ac:dyDescent="0.2">
      <c r="A158" s="20">
        <f t="shared" si="6"/>
        <v>143</v>
      </c>
      <c r="C158" s="97">
        <f t="shared" si="7"/>
        <v>128</v>
      </c>
      <c r="D158" s="140">
        <f t="shared" si="4"/>
        <v>4153231.8833192717</v>
      </c>
      <c r="E158" s="140"/>
      <c r="F158" s="140">
        <f t="shared" si="5"/>
        <v>4795751.8200019402</v>
      </c>
    </row>
    <row r="159" spans="1:6" x14ac:dyDescent="0.2">
      <c r="A159" s="20">
        <f t="shared" si="6"/>
        <v>144</v>
      </c>
      <c r="C159" s="97">
        <f t="shared" si="7"/>
        <v>129</v>
      </c>
      <c r="D159" s="140">
        <f t="shared" ref="D159:D209" si="8">D$21</f>
        <v>4153231.8833192717</v>
      </c>
      <c r="E159" s="140"/>
      <c r="F159" s="140">
        <f t="shared" ref="F159:F209" si="9">+F$21</f>
        <v>4795751.8200019402</v>
      </c>
    </row>
    <row r="160" spans="1:6" x14ac:dyDescent="0.2">
      <c r="A160" s="20">
        <f t="shared" ref="A160:A211" si="10">1+A159</f>
        <v>145</v>
      </c>
      <c r="C160" s="97">
        <f t="shared" si="7"/>
        <v>130</v>
      </c>
      <c r="D160" s="140">
        <f t="shared" si="8"/>
        <v>4153231.8833192717</v>
      </c>
      <c r="E160" s="140"/>
      <c r="F160" s="140">
        <f t="shared" si="9"/>
        <v>4795751.8200019402</v>
      </c>
    </row>
    <row r="161" spans="1:6" x14ac:dyDescent="0.2">
      <c r="A161" s="20">
        <f t="shared" si="10"/>
        <v>146</v>
      </c>
      <c r="C161" s="97">
        <f t="shared" ref="C161:C210" si="11">C160+1</f>
        <v>131</v>
      </c>
      <c r="D161" s="140">
        <f t="shared" si="8"/>
        <v>4153231.8833192717</v>
      </c>
      <c r="E161" s="140"/>
      <c r="F161" s="140">
        <f t="shared" si="9"/>
        <v>4795751.8200019402</v>
      </c>
    </row>
    <row r="162" spans="1:6" x14ac:dyDescent="0.2">
      <c r="A162" s="20">
        <f t="shared" si="10"/>
        <v>147</v>
      </c>
      <c r="C162" s="97">
        <f t="shared" si="11"/>
        <v>132</v>
      </c>
      <c r="D162" s="140">
        <f t="shared" si="8"/>
        <v>4153231.8833192717</v>
      </c>
      <c r="E162" s="140"/>
      <c r="F162" s="140">
        <f t="shared" si="9"/>
        <v>4795751.8200019402</v>
      </c>
    </row>
    <row r="163" spans="1:6" x14ac:dyDescent="0.2">
      <c r="A163" s="20">
        <f t="shared" si="10"/>
        <v>148</v>
      </c>
      <c r="C163" s="97">
        <f t="shared" si="11"/>
        <v>133</v>
      </c>
      <c r="D163" s="140">
        <f t="shared" si="8"/>
        <v>4153231.8833192717</v>
      </c>
      <c r="E163" s="140"/>
      <c r="F163" s="140">
        <f t="shared" si="9"/>
        <v>4795751.8200019402</v>
      </c>
    </row>
    <row r="164" spans="1:6" x14ac:dyDescent="0.2">
      <c r="A164" s="20">
        <f t="shared" si="10"/>
        <v>149</v>
      </c>
      <c r="C164" s="97">
        <f t="shared" si="11"/>
        <v>134</v>
      </c>
      <c r="D164" s="140">
        <f t="shared" si="8"/>
        <v>4153231.8833192717</v>
      </c>
      <c r="E164" s="140"/>
      <c r="F164" s="140">
        <f t="shared" si="9"/>
        <v>4795751.8200019402</v>
      </c>
    </row>
    <row r="165" spans="1:6" x14ac:dyDescent="0.2">
      <c r="A165" s="20">
        <f t="shared" si="10"/>
        <v>150</v>
      </c>
      <c r="C165" s="97">
        <f t="shared" si="11"/>
        <v>135</v>
      </c>
      <c r="D165" s="140">
        <f t="shared" si="8"/>
        <v>4153231.8833192717</v>
      </c>
      <c r="E165" s="140"/>
      <c r="F165" s="140">
        <f t="shared" si="9"/>
        <v>4795751.8200019402</v>
      </c>
    </row>
    <row r="166" spans="1:6" x14ac:dyDescent="0.2">
      <c r="A166" s="20">
        <f t="shared" si="10"/>
        <v>151</v>
      </c>
      <c r="C166" s="97">
        <f t="shared" si="11"/>
        <v>136</v>
      </c>
      <c r="D166" s="140">
        <f t="shared" si="8"/>
        <v>4153231.8833192717</v>
      </c>
      <c r="E166" s="140"/>
      <c r="F166" s="140">
        <f t="shared" si="9"/>
        <v>4795751.8200019402</v>
      </c>
    </row>
    <row r="167" spans="1:6" x14ac:dyDescent="0.2">
      <c r="A167" s="20">
        <f t="shared" si="10"/>
        <v>152</v>
      </c>
      <c r="C167" s="97">
        <f t="shared" si="11"/>
        <v>137</v>
      </c>
      <c r="D167" s="140">
        <f t="shared" si="8"/>
        <v>4153231.8833192717</v>
      </c>
      <c r="E167" s="140"/>
      <c r="F167" s="140">
        <f t="shared" si="9"/>
        <v>4795751.8200019402</v>
      </c>
    </row>
    <row r="168" spans="1:6" x14ac:dyDescent="0.2">
      <c r="A168" s="20">
        <f t="shared" si="10"/>
        <v>153</v>
      </c>
      <c r="C168" s="97">
        <f t="shared" si="11"/>
        <v>138</v>
      </c>
      <c r="D168" s="140">
        <f t="shared" si="8"/>
        <v>4153231.8833192717</v>
      </c>
      <c r="E168" s="140"/>
      <c r="F168" s="140">
        <f t="shared" si="9"/>
        <v>4795751.8200019402</v>
      </c>
    </row>
    <row r="169" spans="1:6" x14ac:dyDescent="0.2">
      <c r="A169" s="20">
        <f t="shared" si="10"/>
        <v>154</v>
      </c>
      <c r="C169" s="97">
        <f t="shared" si="11"/>
        <v>139</v>
      </c>
      <c r="D169" s="140">
        <f t="shared" si="8"/>
        <v>4153231.8833192717</v>
      </c>
      <c r="E169" s="140"/>
      <c r="F169" s="140">
        <f t="shared" si="9"/>
        <v>4795751.8200019402</v>
      </c>
    </row>
    <row r="170" spans="1:6" x14ac:dyDescent="0.2">
      <c r="A170" s="20">
        <f t="shared" si="10"/>
        <v>155</v>
      </c>
      <c r="C170" s="97">
        <f t="shared" si="11"/>
        <v>140</v>
      </c>
      <c r="D170" s="140">
        <f t="shared" si="8"/>
        <v>4153231.8833192717</v>
      </c>
      <c r="E170" s="140"/>
      <c r="F170" s="140">
        <f t="shared" si="9"/>
        <v>4795751.8200019402</v>
      </c>
    </row>
    <row r="171" spans="1:6" x14ac:dyDescent="0.2">
      <c r="A171" s="20">
        <f t="shared" si="10"/>
        <v>156</v>
      </c>
      <c r="C171" s="97">
        <f t="shared" si="11"/>
        <v>141</v>
      </c>
      <c r="D171" s="140">
        <f t="shared" si="8"/>
        <v>4153231.8833192717</v>
      </c>
      <c r="E171" s="140"/>
      <c r="F171" s="140">
        <f t="shared" si="9"/>
        <v>4795751.8200019402</v>
      </c>
    </row>
    <row r="172" spans="1:6" x14ac:dyDescent="0.2">
      <c r="A172" s="20">
        <f t="shared" si="10"/>
        <v>157</v>
      </c>
      <c r="C172" s="97">
        <f t="shared" si="11"/>
        <v>142</v>
      </c>
      <c r="D172" s="140">
        <f t="shared" si="8"/>
        <v>4153231.8833192717</v>
      </c>
      <c r="E172" s="140"/>
      <c r="F172" s="140">
        <f t="shared" si="9"/>
        <v>4795751.8200019402</v>
      </c>
    </row>
    <row r="173" spans="1:6" x14ac:dyDescent="0.2">
      <c r="A173" s="20">
        <f t="shared" si="10"/>
        <v>158</v>
      </c>
      <c r="C173" s="97">
        <f t="shared" si="11"/>
        <v>143</v>
      </c>
      <c r="D173" s="140">
        <f t="shared" si="8"/>
        <v>4153231.8833192717</v>
      </c>
      <c r="E173" s="140"/>
      <c r="F173" s="140">
        <f t="shared" si="9"/>
        <v>4795751.8200019402</v>
      </c>
    </row>
    <row r="174" spans="1:6" x14ac:dyDescent="0.2">
      <c r="A174" s="20">
        <f t="shared" si="10"/>
        <v>159</v>
      </c>
      <c r="C174" s="97">
        <f t="shared" si="11"/>
        <v>144</v>
      </c>
      <c r="D174" s="140">
        <f t="shared" si="8"/>
        <v>4153231.8833192717</v>
      </c>
      <c r="E174" s="140"/>
      <c r="F174" s="140">
        <f t="shared" si="9"/>
        <v>4795751.8200019402</v>
      </c>
    </row>
    <row r="175" spans="1:6" x14ac:dyDescent="0.2">
      <c r="A175" s="20">
        <f t="shared" si="10"/>
        <v>160</v>
      </c>
      <c r="C175" s="97">
        <f t="shared" si="11"/>
        <v>145</v>
      </c>
      <c r="D175" s="140">
        <f t="shared" si="8"/>
        <v>4153231.8833192717</v>
      </c>
      <c r="E175" s="140"/>
      <c r="F175" s="140">
        <f t="shared" si="9"/>
        <v>4795751.8200019402</v>
      </c>
    </row>
    <row r="176" spans="1:6" x14ac:dyDescent="0.2">
      <c r="A176" s="20">
        <f t="shared" si="10"/>
        <v>161</v>
      </c>
      <c r="C176" s="97">
        <f t="shared" si="11"/>
        <v>146</v>
      </c>
      <c r="D176" s="140">
        <f t="shared" si="8"/>
        <v>4153231.8833192717</v>
      </c>
      <c r="E176" s="140"/>
      <c r="F176" s="140">
        <f t="shared" si="9"/>
        <v>4795751.8200019402</v>
      </c>
    </row>
    <row r="177" spans="1:6" x14ac:dyDescent="0.2">
      <c r="A177" s="20">
        <f t="shared" si="10"/>
        <v>162</v>
      </c>
      <c r="C177" s="97">
        <f t="shared" si="11"/>
        <v>147</v>
      </c>
      <c r="D177" s="140">
        <f t="shared" si="8"/>
        <v>4153231.8833192717</v>
      </c>
      <c r="E177" s="140"/>
      <c r="F177" s="140">
        <f t="shared" si="9"/>
        <v>4795751.8200019402</v>
      </c>
    </row>
    <row r="178" spans="1:6" x14ac:dyDescent="0.2">
      <c r="A178" s="20">
        <f t="shared" si="10"/>
        <v>163</v>
      </c>
      <c r="C178" s="97">
        <f t="shared" si="11"/>
        <v>148</v>
      </c>
      <c r="D178" s="140">
        <f t="shared" si="8"/>
        <v>4153231.8833192717</v>
      </c>
      <c r="E178" s="140"/>
      <c r="F178" s="140">
        <f t="shared" si="9"/>
        <v>4795751.8200019402</v>
      </c>
    </row>
    <row r="179" spans="1:6" x14ac:dyDescent="0.2">
      <c r="A179" s="20">
        <f t="shared" si="10"/>
        <v>164</v>
      </c>
      <c r="C179" s="97">
        <f t="shared" si="11"/>
        <v>149</v>
      </c>
      <c r="D179" s="140">
        <f t="shared" si="8"/>
        <v>4153231.8833192717</v>
      </c>
      <c r="E179" s="140"/>
      <c r="F179" s="140">
        <f t="shared" si="9"/>
        <v>4795751.8200019402</v>
      </c>
    </row>
    <row r="180" spans="1:6" x14ac:dyDescent="0.2">
      <c r="A180" s="20">
        <f t="shared" si="10"/>
        <v>165</v>
      </c>
      <c r="C180" s="97">
        <f t="shared" si="11"/>
        <v>150</v>
      </c>
      <c r="D180" s="140">
        <f t="shared" si="8"/>
        <v>4153231.8833192717</v>
      </c>
      <c r="E180" s="140"/>
      <c r="F180" s="140">
        <f t="shared" si="9"/>
        <v>4795751.8200019402</v>
      </c>
    </row>
    <row r="181" spans="1:6" x14ac:dyDescent="0.2">
      <c r="A181" s="20">
        <f t="shared" si="10"/>
        <v>166</v>
      </c>
      <c r="C181" s="97">
        <f t="shared" si="11"/>
        <v>151</v>
      </c>
      <c r="D181" s="140">
        <f t="shared" si="8"/>
        <v>4153231.8833192717</v>
      </c>
      <c r="E181" s="140"/>
      <c r="F181" s="140">
        <f t="shared" si="9"/>
        <v>4795751.8200019402</v>
      </c>
    </row>
    <row r="182" spans="1:6" x14ac:dyDescent="0.2">
      <c r="A182" s="20">
        <f t="shared" si="10"/>
        <v>167</v>
      </c>
      <c r="C182" s="97">
        <f t="shared" si="11"/>
        <v>152</v>
      </c>
      <c r="D182" s="140">
        <f t="shared" si="8"/>
        <v>4153231.8833192717</v>
      </c>
      <c r="E182" s="140"/>
      <c r="F182" s="140">
        <f t="shared" si="9"/>
        <v>4795751.8200019402</v>
      </c>
    </row>
    <row r="183" spans="1:6" x14ac:dyDescent="0.2">
      <c r="A183" s="20">
        <f t="shared" si="10"/>
        <v>168</v>
      </c>
      <c r="C183" s="97">
        <f t="shared" si="11"/>
        <v>153</v>
      </c>
      <c r="D183" s="140">
        <f t="shared" si="8"/>
        <v>4153231.8833192717</v>
      </c>
      <c r="E183" s="140"/>
      <c r="F183" s="140">
        <f t="shared" si="9"/>
        <v>4795751.8200019402</v>
      </c>
    </row>
    <row r="184" spans="1:6" x14ac:dyDescent="0.2">
      <c r="A184" s="20">
        <f t="shared" si="10"/>
        <v>169</v>
      </c>
      <c r="C184" s="97">
        <f t="shared" si="11"/>
        <v>154</v>
      </c>
      <c r="D184" s="140">
        <f t="shared" si="8"/>
        <v>4153231.8833192717</v>
      </c>
      <c r="E184" s="140"/>
      <c r="F184" s="140">
        <f t="shared" si="9"/>
        <v>4795751.8200019402</v>
      </c>
    </row>
    <row r="185" spans="1:6" x14ac:dyDescent="0.2">
      <c r="A185" s="20">
        <f t="shared" si="10"/>
        <v>170</v>
      </c>
      <c r="C185" s="97">
        <f t="shared" si="11"/>
        <v>155</v>
      </c>
      <c r="D185" s="140">
        <f t="shared" si="8"/>
        <v>4153231.8833192717</v>
      </c>
      <c r="E185" s="140"/>
      <c r="F185" s="140">
        <f t="shared" si="9"/>
        <v>4795751.8200019402</v>
      </c>
    </row>
    <row r="186" spans="1:6" x14ac:dyDescent="0.2">
      <c r="A186" s="20">
        <f t="shared" si="10"/>
        <v>171</v>
      </c>
      <c r="C186" s="97">
        <f t="shared" si="11"/>
        <v>156</v>
      </c>
      <c r="D186" s="140">
        <f t="shared" si="8"/>
        <v>4153231.8833192717</v>
      </c>
      <c r="E186" s="140"/>
      <c r="F186" s="140">
        <f t="shared" si="9"/>
        <v>4795751.8200019402</v>
      </c>
    </row>
    <row r="187" spans="1:6" x14ac:dyDescent="0.2">
      <c r="A187" s="20">
        <f t="shared" si="10"/>
        <v>172</v>
      </c>
      <c r="C187" s="97">
        <f t="shared" si="11"/>
        <v>157</v>
      </c>
      <c r="D187" s="140">
        <f t="shared" si="8"/>
        <v>4153231.8833192717</v>
      </c>
      <c r="E187" s="140"/>
      <c r="F187" s="140">
        <f t="shared" si="9"/>
        <v>4795751.8200019402</v>
      </c>
    </row>
    <row r="188" spans="1:6" x14ac:dyDescent="0.2">
      <c r="A188" s="20">
        <f t="shared" si="10"/>
        <v>173</v>
      </c>
      <c r="C188" s="97">
        <f t="shared" si="11"/>
        <v>158</v>
      </c>
      <c r="D188" s="140">
        <f t="shared" si="8"/>
        <v>4153231.8833192717</v>
      </c>
      <c r="E188" s="140"/>
      <c r="F188" s="140">
        <f t="shared" si="9"/>
        <v>4795751.8200019402</v>
      </c>
    </row>
    <row r="189" spans="1:6" x14ac:dyDescent="0.2">
      <c r="A189" s="20">
        <f t="shared" si="10"/>
        <v>174</v>
      </c>
      <c r="C189" s="97">
        <f t="shared" si="11"/>
        <v>159</v>
      </c>
      <c r="D189" s="140">
        <f t="shared" si="8"/>
        <v>4153231.8833192717</v>
      </c>
      <c r="E189" s="140"/>
      <c r="F189" s="140">
        <f t="shared" si="9"/>
        <v>4795751.8200019402</v>
      </c>
    </row>
    <row r="190" spans="1:6" x14ac:dyDescent="0.2">
      <c r="A190" s="20">
        <f t="shared" si="10"/>
        <v>175</v>
      </c>
      <c r="C190" s="97">
        <f t="shared" si="11"/>
        <v>160</v>
      </c>
      <c r="D190" s="140">
        <f t="shared" si="8"/>
        <v>4153231.8833192717</v>
      </c>
      <c r="E190" s="140"/>
      <c r="F190" s="140">
        <f t="shared" si="9"/>
        <v>4795751.8200019402</v>
      </c>
    </row>
    <row r="191" spans="1:6" x14ac:dyDescent="0.2">
      <c r="A191" s="20">
        <f t="shared" si="10"/>
        <v>176</v>
      </c>
      <c r="C191" s="97">
        <f t="shared" si="11"/>
        <v>161</v>
      </c>
      <c r="D191" s="140">
        <f t="shared" si="8"/>
        <v>4153231.8833192717</v>
      </c>
      <c r="E191" s="140"/>
      <c r="F191" s="140">
        <f t="shared" si="9"/>
        <v>4795751.8200019402</v>
      </c>
    </row>
    <row r="192" spans="1:6" x14ac:dyDescent="0.2">
      <c r="A192" s="20">
        <f t="shared" si="10"/>
        <v>177</v>
      </c>
      <c r="C192" s="97">
        <f t="shared" si="11"/>
        <v>162</v>
      </c>
      <c r="D192" s="140">
        <f t="shared" si="8"/>
        <v>4153231.8833192717</v>
      </c>
      <c r="E192" s="140"/>
      <c r="F192" s="140">
        <f t="shared" si="9"/>
        <v>4795751.8200019402</v>
      </c>
    </row>
    <row r="193" spans="1:6" x14ac:dyDescent="0.2">
      <c r="A193" s="20">
        <f t="shared" si="10"/>
        <v>178</v>
      </c>
      <c r="C193" s="97">
        <f t="shared" si="11"/>
        <v>163</v>
      </c>
      <c r="D193" s="140">
        <f t="shared" si="8"/>
        <v>4153231.8833192717</v>
      </c>
      <c r="E193" s="140"/>
      <c r="F193" s="140">
        <f t="shared" si="9"/>
        <v>4795751.8200019402</v>
      </c>
    </row>
    <row r="194" spans="1:6" x14ac:dyDescent="0.2">
      <c r="A194" s="20">
        <f t="shared" si="10"/>
        <v>179</v>
      </c>
      <c r="C194" s="97">
        <f t="shared" si="11"/>
        <v>164</v>
      </c>
      <c r="D194" s="140">
        <f t="shared" si="8"/>
        <v>4153231.8833192717</v>
      </c>
      <c r="E194" s="140"/>
      <c r="F194" s="140">
        <f t="shared" si="9"/>
        <v>4795751.8200019402</v>
      </c>
    </row>
    <row r="195" spans="1:6" x14ac:dyDescent="0.2">
      <c r="A195" s="20">
        <f t="shared" si="10"/>
        <v>180</v>
      </c>
      <c r="C195" s="97">
        <f t="shared" si="11"/>
        <v>165</v>
      </c>
      <c r="D195" s="140">
        <f t="shared" si="8"/>
        <v>4153231.8833192717</v>
      </c>
      <c r="E195" s="140"/>
      <c r="F195" s="140">
        <f t="shared" si="9"/>
        <v>4795751.8200019402</v>
      </c>
    </row>
    <row r="196" spans="1:6" x14ac:dyDescent="0.2">
      <c r="A196" s="20">
        <f t="shared" si="10"/>
        <v>181</v>
      </c>
      <c r="C196" s="97">
        <f t="shared" si="11"/>
        <v>166</v>
      </c>
      <c r="D196" s="140">
        <f t="shared" si="8"/>
        <v>4153231.8833192717</v>
      </c>
      <c r="E196" s="140"/>
      <c r="F196" s="140">
        <f t="shared" si="9"/>
        <v>4795751.8200019402</v>
      </c>
    </row>
    <row r="197" spans="1:6" x14ac:dyDescent="0.2">
      <c r="A197" s="20">
        <f t="shared" si="10"/>
        <v>182</v>
      </c>
      <c r="C197" s="97">
        <f t="shared" si="11"/>
        <v>167</v>
      </c>
      <c r="D197" s="140">
        <f t="shared" si="8"/>
        <v>4153231.8833192717</v>
      </c>
      <c r="E197" s="140"/>
      <c r="F197" s="140">
        <f t="shared" si="9"/>
        <v>4795751.8200019402</v>
      </c>
    </row>
    <row r="198" spans="1:6" x14ac:dyDescent="0.2">
      <c r="A198" s="20">
        <f t="shared" si="10"/>
        <v>183</v>
      </c>
      <c r="C198" s="97">
        <f t="shared" si="11"/>
        <v>168</v>
      </c>
      <c r="D198" s="140">
        <f t="shared" si="8"/>
        <v>4153231.8833192717</v>
      </c>
      <c r="E198" s="140"/>
      <c r="F198" s="140">
        <f t="shared" si="9"/>
        <v>4795751.8200019402</v>
      </c>
    </row>
    <row r="199" spans="1:6" x14ac:dyDescent="0.2">
      <c r="A199" s="20">
        <f t="shared" si="10"/>
        <v>184</v>
      </c>
      <c r="C199" s="97">
        <f t="shared" si="11"/>
        <v>169</v>
      </c>
      <c r="D199" s="140">
        <f t="shared" si="8"/>
        <v>4153231.8833192717</v>
      </c>
      <c r="E199" s="140"/>
      <c r="F199" s="140">
        <f t="shared" si="9"/>
        <v>4795751.8200019402</v>
      </c>
    </row>
    <row r="200" spans="1:6" x14ac:dyDescent="0.2">
      <c r="A200" s="20">
        <f t="shared" si="10"/>
        <v>185</v>
      </c>
      <c r="C200" s="97">
        <f t="shared" si="11"/>
        <v>170</v>
      </c>
      <c r="D200" s="140">
        <f t="shared" si="8"/>
        <v>4153231.8833192717</v>
      </c>
      <c r="E200" s="140"/>
      <c r="F200" s="140">
        <f t="shared" si="9"/>
        <v>4795751.8200019402</v>
      </c>
    </row>
    <row r="201" spans="1:6" x14ac:dyDescent="0.2">
      <c r="A201" s="20">
        <f t="shared" si="10"/>
        <v>186</v>
      </c>
      <c r="C201" s="97">
        <f t="shared" si="11"/>
        <v>171</v>
      </c>
      <c r="D201" s="140">
        <f t="shared" si="8"/>
        <v>4153231.8833192717</v>
      </c>
      <c r="E201" s="140"/>
      <c r="F201" s="140">
        <f t="shared" si="9"/>
        <v>4795751.8200019402</v>
      </c>
    </row>
    <row r="202" spans="1:6" x14ac:dyDescent="0.2">
      <c r="A202" s="20">
        <f t="shared" si="10"/>
        <v>187</v>
      </c>
      <c r="C202" s="97">
        <f t="shared" si="11"/>
        <v>172</v>
      </c>
      <c r="D202" s="140">
        <f t="shared" si="8"/>
        <v>4153231.8833192717</v>
      </c>
      <c r="E202" s="140"/>
      <c r="F202" s="140">
        <f t="shared" si="9"/>
        <v>4795751.8200019402</v>
      </c>
    </row>
    <row r="203" spans="1:6" x14ac:dyDescent="0.2">
      <c r="A203" s="20">
        <f t="shared" si="10"/>
        <v>188</v>
      </c>
      <c r="C203" s="97">
        <f t="shared" si="11"/>
        <v>173</v>
      </c>
      <c r="D203" s="140">
        <f t="shared" si="8"/>
        <v>4153231.8833192717</v>
      </c>
      <c r="E203" s="140"/>
      <c r="F203" s="140">
        <f t="shared" si="9"/>
        <v>4795751.8200019402</v>
      </c>
    </row>
    <row r="204" spans="1:6" x14ac:dyDescent="0.2">
      <c r="A204" s="20">
        <f t="shared" si="10"/>
        <v>189</v>
      </c>
      <c r="C204" s="97">
        <f t="shared" si="11"/>
        <v>174</v>
      </c>
      <c r="D204" s="140">
        <f t="shared" si="8"/>
        <v>4153231.8833192717</v>
      </c>
      <c r="E204" s="140"/>
      <c r="F204" s="140">
        <f t="shared" si="9"/>
        <v>4795751.8200019402</v>
      </c>
    </row>
    <row r="205" spans="1:6" x14ac:dyDescent="0.2">
      <c r="A205" s="20">
        <f t="shared" si="10"/>
        <v>190</v>
      </c>
      <c r="C205" s="97">
        <f t="shared" si="11"/>
        <v>175</v>
      </c>
      <c r="D205" s="140">
        <f t="shared" si="8"/>
        <v>4153231.8833192717</v>
      </c>
      <c r="E205" s="140"/>
      <c r="F205" s="140">
        <f t="shared" si="9"/>
        <v>4795751.8200019402</v>
      </c>
    </row>
    <row r="206" spans="1:6" x14ac:dyDescent="0.2">
      <c r="A206" s="20">
        <f t="shared" si="10"/>
        <v>191</v>
      </c>
      <c r="C206" s="97">
        <f t="shared" si="11"/>
        <v>176</v>
      </c>
      <c r="D206" s="140">
        <f t="shared" si="8"/>
        <v>4153231.8833192717</v>
      </c>
      <c r="E206" s="140"/>
      <c r="F206" s="140">
        <f t="shared" si="9"/>
        <v>4795751.8200019402</v>
      </c>
    </row>
    <row r="207" spans="1:6" x14ac:dyDescent="0.2">
      <c r="A207" s="20">
        <f t="shared" si="10"/>
        <v>192</v>
      </c>
      <c r="C207" s="97">
        <f t="shared" si="11"/>
        <v>177</v>
      </c>
      <c r="D207" s="140">
        <f t="shared" si="8"/>
        <v>4153231.8833192717</v>
      </c>
      <c r="E207" s="140"/>
      <c r="F207" s="140">
        <f t="shared" si="9"/>
        <v>4795751.8200019402</v>
      </c>
    </row>
    <row r="208" spans="1:6" x14ac:dyDescent="0.2">
      <c r="A208" s="20">
        <f t="shared" si="10"/>
        <v>193</v>
      </c>
      <c r="C208" s="97">
        <f t="shared" si="11"/>
        <v>178</v>
      </c>
      <c r="D208" s="140">
        <f t="shared" si="8"/>
        <v>4153231.8833192717</v>
      </c>
      <c r="E208" s="140"/>
      <c r="F208" s="140">
        <f t="shared" si="9"/>
        <v>4795751.8200019402</v>
      </c>
    </row>
    <row r="209" spans="1:6" x14ac:dyDescent="0.2">
      <c r="A209" s="20">
        <f t="shared" si="10"/>
        <v>194</v>
      </c>
      <c r="C209" s="97">
        <f t="shared" si="11"/>
        <v>179</v>
      </c>
      <c r="D209" s="140">
        <f t="shared" si="8"/>
        <v>4153231.8833192717</v>
      </c>
      <c r="E209" s="140"/>
      <c r="F209" s="140">
        <f t="shared" si="9"/>
        <v>4795751.8200019402</v>
      </c>
    </row>
    <row r="210" spans="1:6" x14ac:dyDescent="0.2">
      <c r="A210" s="20">
        <f t="shared" si="10"/>
        <v>195</v>
      </c>
      <c r="C210" s="97">
        <f t="shared" si="11"/>
        <v>180</v>
      </c>
      <c r="D210" s="150">
        <f>D$21</f>
        <v>4153231.8833192717</v>
      </c>
      <c r="E210" s="140"/>
      <c r="F210" s="150">
        <f>+F$21</f>
        <v>4795751.8200019402</v>
      </c>
    </row>
    <row r="211" spans="1:6" x14ac:dyDescent="0.2">
      <c r="A211" s="20">
        <f t="shared" si="10"/>
        <v>196</v>
      </c>
      <c r="D211" s="140">
        <f>SUM(D31:D210)</f>
        <v>747581738.99746704</v>
      </c>
      <c r="E211" s="140"/>
      <c r="F211" s="140">
        <f>SUM(F31:F210)</f>
        <v>863235327.60035145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4"/>
  <sheetViews>
    <sheetView workbookViewId="0">
      <selection activeCell="D18" sqref="D18"/>
    </sheetView>
  </sheetViews>
  <sheetFormatPr defaultColWidth="7.21875" defaultRowHeight="15" x14ac:dyDescent="0.2"/>
  <cols>
    <col min="1" max="1" width="5.33203125" style="98" customWidth="1"/>
    <col min="2" max="2" width="2.77734375" style="98" customWidth="1"/>
    <col min="3" max="3" width="2.21875" style="98" customWidth="1"/>
    <col min="4" max="4" width="55.77734375" style="98" customWidth="1"/>
    <col min="5" max="5" width="17.6640625" style="98" customWidth="1"/>
    <col min="6" max="6" width="7.21875" style="98"/>
    <col min="7" max="7" width="23.33203125" style="98" customWidth="1"/>
    <col min="8" max="16384" width="7.21875" style="98"/>
  </cols>
  <sheetData>
    <row r="1" spans="1:23" ht="15.75" x14ac:dyDescent="0.2">
      <c r="A1" s="117" t="s">
        <v>0</v>
      </c>
      <c r="B1" s="117"/>
      <c r="C1" s="117"/>
      <c r="D1" s="117"/>
      <c r="E1" s="117"/>
      <c r="G1" s="99"/>
    </row>
    <row r="2" spans="1:23" ht="15.75" x14ac:dyDescent="0.2">
      <c r="A2" s="117" t="s">
        <v>96</v>
      </c>
      <c r="B2" s="117"/>
      <c r="C2" s="117"/>
      <c r="D2" s="117"/>
      <c r="E2" s="117"/>
    </row>
    <row r="3" spans="1:23" ht="15.75" x14ac:dyDescent="0.2">
      <c r="A3" s="191" t="s">
        <v>2</v>
      </c>
      <c r="B3" s="191"/>
      <c r="C3" s="191"/>
      <c r="D3" s="191"/>
      <c r="E3" s="191"/>
    </row>
    <row r="4" spans="1:23" ht="15.75" x14ac:dyDescent="0.25">
      <c r="A4" s="130" t="s">
        <v>151</v>
      </c>
      <c r="B4" s="100"/>
      <c r="C4" s="101"/>
      <c r="D4" s="101"/>
      <c r="E4" s="2"/>
    </row>
    <row r="5" spans="1:23" ht="15.75" x14ac:dyDescent="0.2">
      <c r="A5" s="100"/>
      <c r="B5" s="100"/>
      <c r="C5" s="101"/>
      <c r="D5" s="101"/>
    </row>
    <row r="6" spans="1:23" ht="15.75" x14ac:dyDescent="0.2">
      <c r="A6" s="100"/>
      <c r="B6" s="100"/>
      <c r="C6" s="102"/>
      <c r="D6" s="102"/>
      <c r="E6" s="103"/>
    </row>
    <row r="7" spans="1:23" ht="15.75" x14ac:dyDescent="0.2">
      <c r="A7" s="100"/>
      <c r="B7" s="100"/>
      <c r="E7" s="103" t="s">
        <v>12</v>
      </c>
    </row>
    <row r="8" spans="1:23" ht="15.75" x14ac:dyDescent="0.2">
      <c r="A8" s="104" t="s">
        <v>13</v>
      </c>
      <c r="B8" s="104"/>
      <c r="C8" s="105"/>
      <c r="D8" s="105" t="s">
        <v>23</v>
      </c>
      <c r="E8" s="104" t="s">
        <v>97</v>
      </c>
    </row>
    <row r="9" spans="1:23" ht="15.75" x14ac:dyDescent="0.2">
      <c r="A9" s="100"/>
      <c r="B9" s="100"/>
      <c r="C9" s="106" t="s">
        <v>98</v>
      </c>
      <c r="D9" s="106"/>
      <c r="E9" s="107" t="s">
        <v>99</v>
      </c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</row>
    <row r="10" spans="1:23" ht="15.75" x14ac:dyDescent="0.2">
      <c r="A10" s="100"/>
      <c r="B10" s="100"/>
      <c r="C10" s="109"/>
      <c r="D10" s="109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</row>
    <row r="11" spans="1:23" ht="15.75" x14ac:dyDescent="0.2">
      <c r="A11" s="100">
        <v>1</v>
      </c>
      <c r="B11" s="100"/>
      <c r="C11" s="109" t="s">
        <v>100</v>
      </c>
      <c r="D11" s="108"/>
      <c r="E11" s="110">
        <f>Summary!E24</f>
        <v>490969073.97422981</v>
      </c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</row>
    <row r="12" spans="1:23" x14ac:dyDescent="0.2">
      <c r="A12" s="100"/>
      <c r="B12" s="100"/>
      <c r="C12" s="108"/>
      <c r="D12" s="108"/>
      <c r="E12" s="111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</row>
    <row r="13" spans="1:23" x14ac:dyDescent="0.2">
      <c r="A13" s="100"/>
      <c r="B13" s="100"/>
      <c r="C13" s="112" t="s">
        <v>101</v>
      </c>
      <c r="D13" s="108"/>
      <c r="E13" s="111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</row>
    <row r="14" spans="1:23" ht="15.75" x14ac:dyDescent="0.2">
      <c r="A14" s="100"/>
      <c r="B14" s="100"/>
      <c r="C14" s="109"/>
      <c r="D14" s="109"/>
      <c r="E14" s="113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</row>
    <row r="15" spans="1:23" x14ac:dyDescent="0.2">
      <c r="A15" s="100">
        <f>1+A11</f>
        <v>2</v>
      </c>
      <c r="B15" s="100"/>
      <c r="C15" s="98" t="s">
        <v>102</v>
      </c>
      <c r="E15" s="114">
        <v>3682400</v>
      </c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</row>
    <row r="16" spans="1:23" x14ac:dyDescent="0.2">
      <c r="A16" s="100">
        <f>1+A15</f>
        <v>3</v>
      </c>
      <c r="B16" s="100"/>
      <c r="C16" s="98" t="s">
        <v>103</v>
      </c>
      <c r="E16" s="113">
        <v>200000</v>
      </c>
    </row>
    <row r="17" spans="1:25" x14ac:dyDescent="0.2">
      <c r="A17" s="100">
        <f t="shared" ref="A17:A24" si="0">1+A16</f>
        <v>4</v>
      </c>
      <c r="B17" s="100"/>
      <c r="C17" s="98" t="s">
        <v>104</v>
      </c>
      <c r="E17" s="113">
        <v>30000</v>
      </c>
    </row>
    <row r="18" spans="1:25" x14ac:dyDescent="0.2">
      <c r="A18" s="100">
        <f t="shared" si="0"/>
        <v>5</v>
      </c>
      <c r="B18" s="100"/>
      <c r="C18" s="98" t="s">
        <v>105</v>
      </c>
      <c r="E18" s="114">
        <v>100000</v>
      </c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</row>
    <row r="19" spans="1:25" x14ac:dyDescent="0.2">
      <c r="A19" s="100">
        <f t="shared" si="0"/>
        <v>6</v>
      </c>
      <c r="B19" s="100"/>
      <c r="C19" s="98" t="s">
        <v>106</v>
      </c>
      <c r="E19" s="114">
        <v>50000</v>
      </c>
    </row>
    <row r="20" spans="1:25" x14ac:dyDescent="0.2">
      <c r="A20" s="100">
        <f>1+A19</f>
        <v>7</v>
      </c>
      <c r="B20" s="100"/>
      <c r="C20" s="98" t="s">
        <v>107</v>
      </c>
      <c r="E20" s="114">
        <v>75000</v>
      </c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</row>
    <row r="21" spans="1:25" x14ac:dyDescent="0.2">
      <c r="A21" s="100">
        <f t="shared" si="0"/>
        <v>8</v>
      </c>
      <c r="B21" s="100"/>
      <c r="C21" s="98" t="s">
        <v>108</v>
      </c>
      <c r="E21" s="114">
        <v>20000</v>
      </c>
    </row>
    <row r="22" spans="1:25" x14ac:dyDescent="0.2">
      <c r="A22" s="100">
        <f t="shared" si="0"/>
        <v>9</v>
      </c>
      <c r="B22" s="100"/>
      <c r="C22" s="98" t="s">
        <v>109</v>
      </c>
      <c r="E22" s="114">
        <v>255000</v>
      </c>
    </row>
    <row r="23" spans="1:25" x14ac:dyDescent="0.2">
      <c r="A23" s="100">
        <f>1+A22</f>
        <v>10</v>
      </c>
      <c r="B23" s="100"/>
      <c r="C23" s="98" t="s">
        <v>110</v>
      </c>
      <c r="E23" s="115">
        <v>0</v>
      </c>
    </row>
    <row r="24" spans="1:25" x14ac:dyDescent="0.2">
      <c r="A24" s="100">
        <f t="shared" si="0"/>
        <v>11</v>
      </c>
      <c r="B24" s="100"/>
      <c r="C24" s="98" t="s">
        <v>111</v>
      </c>
      <c r="E24" s="114">
        <f>SUM(E15:E23)</f>
        <v>4412400</v>
      </c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</row>
    <row r="25" spans="1:25" ht="15.75" x14ac:dyDescent="0.2">
      <c r="A25" s="100"/>
      <c r="B25" s="100"/>
      <c r="C25" s="116"/>
      <c r="D25" s="117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</row>
    <row r="26" spans="1:25" x14ac:dyDescent="0.2">
      <c r="A26" s="100">
        <f>1+A24</f>
        <v>12</v>
      </c>
      <c r="B26" s="100"/>
      <c r="C26" s="98" t="s">
        <v>112</v>
      </c>
      <c r="E26" s="118">
        <v>4.0000000000000001E-3</v>
      </c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</row>
    <row r="27" spans="1:25" ht="15.75" x14ac:dyDescent="0.2">
      <c r="A27" s="100">
        <f>1+A26</f>
        <v>13</v>
      </c>
      <c r="B27" s="100"/>
      <c r="C27" s="98" t="s">
        <v>113</v>
      </c>
      <c r="D27" s="117"/>
      <c r="E27" s="118">
        <f>110.2/1000000</f>
        <v>1.1020000000000001E-4</v>
      </c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</row>
    <row r="28" spans="1:25" x14ac:dyDescent="0.2">
      <c r="A28" s="100">
        <f>1+A27</f>
        <v>14</v>
      </c>
      <c r="B28" s="100"/>
      <c r="C28" s="98" t="s">
        <v>114</v>
      </c>
      <c r="E28" s="119">
        <f>0.00575%+0.0075%</f>
        <v>1.325E-4</v>
      </c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</row>
    <row r="29" spans="1:25" x14ac:dyDescent="0.2">
      <c r="A29" s="100">
        <f>1+A28</f>
        <v>15</v>
      </c>
      <c r="B29" s="100"/>
      <c r="C29" s="98" t="s">
        <v>115</v>
      </c>
      <c r="E29" s="120">
        <f>SUM(E26:E28)</f>
        <v>4.2427000000000003E-3</v>
      </c>
    </row>
    <row r="30" spans="1:25" x14ac:dyDescent="0.2">
      <c r="A30" s="100">
        <f>1+A29</f>
        <v>16</v>
      </c>
      <c r="B30" s="100"/>
      <c r="C30" s="98" t="s">
        <v>116</v>
      </c>
      <c r="E30" s="121">
        <f>(E11+E24)*E29</f>
        <v>2101754.9796304652</v>
      </c>
    </row>
    <row r="31" spans="1:25" ht="15.75" x14ac:dyDescent="0.2">
      <c r="A31" s="100"/>
      <c r="B31" s="100"/>
      <c r="C31" s="117"/>
      <c r="D31" s="117"/>
      <c r="E31" s="122"/>
    </row>
    <row r="32" spans="1:25" ht="15.75" x14ac:dyDescent="0.2">
      <c r="A32" s="100">
        <f>1+A30</f>
        <v>17</v>
      </c>
      <c r="B32" s="100"/>
      <c r="C32" s="98" t="s">
        <v>117</v>
      </c>
      <c r="E32" s="123">
        <f>E30+E24</f>
        <v>6514154.9796304647</v>
      </c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</row>
    <row r="33" spans="1:25" ht="15.75" x14ac:dyDescent="0.2">
      <c r="A33" s="100"/>
      <c r="B33" s="100"/>
      <c r="C33" s="117"/>
      <c r="D33" s="117"/>
      <c r="E33" s="124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</row>
    <row r="34" spans="1:25" ht="16.5" thickBot="1" x14ac:dyDescent="0.25">
      <c r="A34" s="100">
        <f>1+A32</f>
        <v>18</v>
      </c>
      <c r="B34" s="100"/>
      <c r="C34" s="98" t="s">
        <v>118</v>
      </c>
      <c r="E34" s="125">
        <f>E11+E32</f>
        <v>497483228.95386028</v>
      </c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</row>
    <row r="35" spans="1:25" ht="16.5" thickTop="1" x14ac:dyDescent="0.2">
      <c r="A35" s="100"/>
      <c r="B35" s="100"/>
      <c r="C35" s="117"/>
      <c r="D35" s="117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</row>
    <row r="36" spans="1:25" x14ac:dyDescent="0.2">
      <c r="A36" s="100"/>
      <c r="B36" s="100"/>
      <c r="C36" s="126" t="s">
        <v>119</v>
      </c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</row>
    <row r="37" spans="1:25" x14ac:dyDescent="0.2">
      <c r="A37" s="100"/>
      <c r="B37" s="100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</row>
    <row r="38" spans="1:25" x14ac:dyDescent="0.2">
      <c r="A38" s="100">
        <f>1+A34</f>
        <v>19</v>
      </c>
      <c r="B38" s="100"/>
      <c r="C38" s="98" t="s">
        <v>120</v>
      </c>
      <c r="E38" s="127">
        <f>E34*0.05%</f>
        <v>248741.61447693015</v>
      </c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</row>
    <row r="39" spans="1:25" ht="15.75" x14ac:dyDescent="0.2">
      <c r="A39" s="100">
        <f t="shared" ref="A39:A48" si="1">1+A38</f>
        <v>20</v>
      </c>
      <c r="B39" s="100"/>
      <c r="C39" s="98" t="s">
        <v>121</v>
      </c>
      <c r="D39" s="116"/>
      <c r="E39" s="128">
        <v>50000</v>
      </c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</row>
    <row r="40" spans="1:25" x14ac:dyDescent="0.2">
      <c r="A40" s="100">
        <f t="shared" si="1"/>
        <v>21</v>
      </c>
      <c r="B40" s="129"/>
      <c r="C40" s="130" t="s">
        <v>122</v>
      </c>
      <c r="D40" s="130"/>
      <c r="E40" s="128">
        <v>15000</v>
      </c>
    </row>
    <row r="41" spans="1:25" x14ac:dyDescent="0.2">
      <c r="A41" s="100">
        <f t="shared" si="1"/>
        <v>22</v>
      </c>
      <c r="C41" s="130" t="s">
        <v>123</v>
      </c>
      <c r="D41" s="130"/>
      <c r="E41" s="128">
        <v>75000</v>
      </c>
    </row>
    <row r="42" spans="1:25" x14ac:dyDescent="0.2">
      <c r="A42" s="100">
        <f t="shared" si="1"/>
        <v>23</v>
      </c>
      <c r="C42" s="130" t="s">
        <v>102</v>
      </c>
      <c r="D42" s="130"/>
      <c r="E42" s="128">
        <v>35000</v>
      </c>
    </row>
    <row r="43" spans="1:25" x14ac:dyDescent="0.2">
      <c r="A43" s="100">
        <f t="shared" si="1"/>
        <v>24</v>
      </c>
      <c r="C43" s="130" t="s">
        <v>124</v>
      </c>
      <c r="D43" s="130"/>
      <c r="E43" s="128">
        <v>70000</v>
      </c>
    </row>
    <row r="44" spans="1:25" ht="34.15" customHeight="1" x14ac:dyDescent="0.2">
      <c r="A44" s="100">
        <f t="shared" si="1"/>
        <v>25</v>
      </c>
      <c r="C44" s="253" t="s">
        <v>125</v>
      </c>
      <c r="D44" s="253"/>
      <c r="E44" s="114">
        <f>(0.5%*(E11+E32))*8.364%</f>
        <v>208047.4863485044</v>
      </c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</row>
    <row r="45" spans="1:25" x14ac:dyDescent="0.2">
      <c r="A45" s="100">
        <f t="shared" si="1"/>
        <v>26</v>
      </c>
      <c r="C45" s="130" t="s">
        <v>107</v>
      </c>
      <c r="D45" s="130"/>
      <c r="E45" s="128">
        <v>10000</v>
      </c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</row>
    <row r="46" spans="1:25" x14ac:dyDescent="0.2">
      <c r="A46" s="100">
        <f t="shared" si="1"/>
        <v>27</v>
      </c>
      <c r="C46" s="130" t="s">
        <v>126</v>
      </c>
      <c r="D46" s="130"/>
      <c r="E46" s="128">
        <v>10000</v>
      </c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</row>
    <row r="47" spans="1:25" x14ac:dyDescent="0.2">
      <c r="A47" s="100">
        <f t="shared" si="1"/>
        <v>28</v>
      </c>
      <c r="C47" s="130" t="s">
        <v>127</v>
      </c>
      <c r="D47" s="130"/>
      <c r="E47" s="128">
        <v>0</v>
      </c>
      <c r="F47" s="108"/>
      <c r="G47" s="108"/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08"/>
      <c r="S47" s="108"/>
      <c r="T47" s="108"/>
      <c r="U47" s="108"/>
      <c r="V47" s="108"/>
      <c r="W47" s="108"/>
    </row>
    <row r="48" spans="1:25" x14ac:dyDescent="0.2">
      <c r="A48" s="100">
        <f t="shared" si="1"/>
        <v>29</v>
      </c>
      <c r="C48" s="130" t="s">
        <v>128</v>
      </c>
      <c r="D48" s="130"/>
      <c r="E48" s="131">
        <v>50000</v>
      </c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</row>
    <row r="49" spans="1:23" ht="15.75" x14ac:dyDescent="0.2">
      <c r="A49" s="100">
        <f>1+A48</f>
        <v>30</v>
      </c>
      <c r="C49" s="117" t="s">
        <v>129</v>
      </c>
      <c r="D49" s="130"/>
      <c r="E49" s="123">
        <f>SUM(E38:E48)</f>
        <v>771789.10082543455</v>
      </c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</row>
    <row r="50" spans="1:23" x14ac:dyDescent="0.2">
      <c r="A50" s="132"/>
      <c r="E50" s="127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</row>
    <row r="51" spans="1:23" ht="16.5" thickBot="1" x14ac:dyDescent="0.25">
      <c r="A51" s="132">
        <f>1+A49</f>
        <v>31</v>
      </c>
      <c r="B51" s="129"/>
      <c r="C51" s="117" t="s">
        <v>130</v>
      </c>
      <c r="E51" s="125">
        <f>E49/12</f>
        <v>64315.758402119543</v>
      </c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</row>
    <row r="52" spans="1:23" ht="12.75" customHeight="1" thickTop="1" x14ac:dyDescent="0.2">
      <c r="A52" s="132"/>
      <c r="B52" s="129"/>
      <c r="E52" s="133"/>
    </row>
    <row r="53" spans="1:23" ht="12.75" customHeight="1" x14ac:dyDescent="0.2">
      <c r="A53" s="132"/>
      <c r="B53" s="129"/>
      <c r="E53" s="133"/>
    </row>
    <row r="54" spans="1:23" x14ac:dyDescent="0.2">
      <c r="A54" s="132"/>
      <c r="D54" s="130"/>
      <c r="E54" s="133"/>
    </row>
  </sheetData>
  <mergeCells count="1">
    <mergeCell ref="C44:D4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23"/>
  <sheetViews>
    <sheetView zoomScale="85" zoomScaleNormal="85" workbookViewId="0">
      <selection activeCell="A4" sqref="A4"/>
    </sheetView>
  </sheetViews>
  <sheetFormatPr defaultColWidth="7.21875" defaultRowHeight="15" x14ac:dyDescent="0.2"/>
  <cols>
    <col min="1" max="1" width="46.109375" style="76" bestFit="1" customWidth="1"/>
    <col min="2" max="2" width="14.6640625" style="75" bestFit="1" customWidth="1"/>
    <col min="3" max="3" width="12.44140625" style="75" bestFit="1" customWidth="1"/>
    <col min="4" max="4" width="10.77734375" style="75" customWidth="1"/>
    <col min="5" max="5" width="0.21875" style="75" customWidth="1"/>
    <col min="6" max="6" width="14.6640625" style="75" bestFit="1" customWidth="1"/>
    <col min="7" max="7" width="10.77734375" style="75" customWidth="1"/>
    <col min="8" max="8" width="0.21875" style="75" customWidth="1"/>
    <col min="9" max="9" width="14.6640625" style="75" bestFit="1" customWidth="1"/>
    <col min="10" max="10" width="10.77734375" style="75" customWidth="1"/>
    <col min="11" max="11" width="0.44140625" style="75" customWidth="1"/>
    <col min="12" max="12" width="14.6640625" style="75" bestFit="1" customWidth="1"/>
    <col min="13" max="13" width="10.77734375" style="75" customWidth="1"/>
    <col min="14" max="14" width="0.21875" style="75" customWidth="1"/>
    <col min="15" max="15" width="14.6640625" style="75" bestFit="1" customWidth="1"/>
    <col min="16" max="16" width="10.77734375" style="75" customWidth="1"/>
    <col min="17" max="17" width="0.21875" style="75" customWidth="1"/>
    <col min="18" max="18" width="14.6640625" style="75" bestFit="1" customWidth="1"/>
    <col min="19" max="19" width="10.77734375" style="75" customWidth="1"/>
    <col min="20" max="20" width="0.21875" style="75" customWidth="1"/>
    <col min="21" max="21" width="14.6640625" style="75" bestFit="1" customWidth="1"/>
    <col min="22" max="22" width="10.77734375" style="75" customWidth="1"/>
    <col min="23" max="23" width="0.21875" style="75" customWidth="1"/>
    <col min="24" max="24" width="14.6640625" style="75" bestFit="1" customWidth="1"/>
    <col min="25" max="25" width="10.77734375" style="75" customWidth="1"/>
    <col min="26" max="26" width="0.21875" style="75" customWidth="1"/>
    <col min="27" max="27" width="14.6640625" style="75" bestFit="1" customWidth="1"/>
    <col min="28" max="28" width="10.77734375" style="75" customWidth="1"/>
    <col min="29" max="29" width="0.21875" style="75" customWidth="1"/>
    <col min="30" max="30" width="14.6640625" style="75" bestFit="1" customWidth="1"/>
    <col min="31" max="31" width="10.77734375" style="75" customWidth="1"/>
    <col min="32" max="32" width="0.21875" style="75" customWidth="1"/>
    <col min="33" max="33" width="14.6640625" style="75" bestFit="1" customWidth="1"/>
    <col min="34" max="34" width="10.77734375" style="75" customWidth="1"/>
    <col min="35" max="35" width="0.21875" style="75" customWidth="1"/>
    <col min="36" max="36" width="14.6640625" style="75" bestFit="1" customWidth="1"/>
    <col min="37" max="37" width="10.77734375" style="75" customWidth="1"/>
    <col min="38" max="38" width="0.21875" style="75" customWidth="1"/>
    <col min="39" max="39" width="14.6640625" style="76" bestFit="1" customWidth="1"/>
    <col min="40" max="40" width="10.77734375" style="76" bestFit="1" customWidth="1"/>
    <col min="41" max="41" width="0.21875" style="76" customWidth="1"/>
    <col min="42" max="42" width="14.6640625" style="76" bestFit="1" customWidth="1"/>
    <col min="43" max="43" width="10.77734375" style="76" bestFit="1" customWidth="1"/>
    <col min="44" max="44" width="0.21875" style="76" customWidth="1"/>
    <col min="45" max="45" width="14.6640625" style="76" bestFit="1" customWidth="1"/>
    <col min="46" max="46" width="10.77734375" style="76" bestFit="1" customWidth="1"/>
    <col min="47" max="47" width="0.21875" style="76" customWidth="1"/>
    <col min="48" max="48" width="14.6640625" style="76" bestFit="1" customWidth="1"/>
    <col min="49" max="49" width="9.77734375" style="76" bestFit="1" customWidth="1"/>
    <col min="50" max="50" width="0.21875" style="76" customWidth="1"/>
    <col min="51" max="51" width="14.6640625" style="76" bestFit="1" customWidth="1"/>
    <col min="52" max="16384" width="7.21875" style="76"/>
  </cols>
  <sheetData>
    <row r="1" spans="1:51" ht="15.75" x14ac:dyDescent="0.25">
      <c r="A1" s="74" t="s">
        <v>79</v>
      </c>
    </row>
    <row r="2" spans="1:51" ht="15.75" x14ac:dyDescent="0.25">
      <c r="A2" s="74" t="s">
        <v>80</v>
      </c>
    </row>
    <row r="3" spans="1:51" x14ac:dyDescent="0.2">
      <c r="A3" s="76" t="s">
        <v>151</v>
      </c>
    </row>
    <row r="4" spans="1:51" ht="15.75" x14ac:dyDescent="0.25">
      <c r="D4" s="77" t="s">
        <v>81</v>
      </c>
    </row>
    <row r="5" spans="1:51" ht="15.75" x14ac:dyDescent="0.25">
      <c r="A5" s="74"/>
      <c r="D5" s="256">
        <v>45108</v>
      </c>
      <c r="E5" s="256"/>
      <c r="F5" s="256"/>
      <c r="G5" s="256">
        <v>45139</v>
      </c>
      <c r="H5" s="256"/>
      <c r="I5" s="256"/>
      <c r="J5" s="256">
        <v>45170</v>
      </c>
      <c r="K5" s="256"/>
      <c r="L5" s="256"/>
      <c r="M5" s="256">
        <v>45200</v>
      </c>
      <c r="N5" s="256"/>
      <c r="O5" s="256"/>
      <c r="P5" s="256">
        <v>45231</v>
      </c>
      <c r="Q5" s="256"/>
      <c r="R5" s="256"/>
      <c r="S5" s="256">
        <v>45261</v>
      </c>
      <c r="T5" s="256"/>
      <c r="U5" s="256"/>
      <c r="V5" s="256">
        <v>45292</v>
      </c>
      <c r="W5" s="256"/>
      <c r="X5" s="256"/>
      <c r="Y5" s="256">
        <v>45323</v>
      </c>
      <c r="Z5" s="256"/>
      <c r="AA5" s="256"/>
      <c r="AB5" s="256">
        <v>45352</v>
      </c>
      <c r="AC5" s="256"/>
      <c r="AD5" s="256"/>
      <c r="AE5" s="256">
        <v>45383</v>
      </c>
      <c r="AF5" s="256"/>
      <c r="AG5" s="256"/>
      <c r="AH5" s="256">
        <v>45413</v>
      </c>
      <c r="AI5" s="256"/>
      <c r="AJ5" s="256"/>
      <c r="AK5" s="256">
        <v>45444</v>
      </c>
      <c r="AL5" s="256"/>
      <c r="AM5" s="256"/>
      <c r="AN5" s="254">
        <v>45474</v>
      </c>
      <c r="AO5" s="254"/>
      <c r="AP5" s="254"/>
      <c r="AQ5" s="254">
        <v>45505</v>
      </c>
      <c r="AR5" s="254"/>
      <c r="AS5" s="254"/>
      <c r="AT5" s="254">
        <v>45536</v>
      </c>
      <c r="AU5" s="254"/>
      <c r="AV5" s="254"/>
      <c r="AW5" s="255">
        <v>45580</v>
      </c>
      <c r="AX5" s="255"/>
      <c r="AY5" s="255"/>
    </row>
    <row r="6" spans="1:51" s="74" customFormat="1" ht="45" x14ac:dyDescent="0.25">
      <c r="A6" s="78" t="s">
        <v>82</v>
      </c>
      <c r="B6" s="79" t="s">
        <v>83</v>
      </c>
      <c r="C6" s="80" t="s">
        <v>84</v>
      </c>
      <c r="D6" s="81" t="s">
        <v>81</v>
      </c>
      <c r="E6" s="81"/>
      <c r="F6" s="81" t="s">
        <v>72</v>
      </c>
      <c r="G6" s="81" t="s">
        <v>81</v>
      </c>
      <c r="H6" s="81"/>
      <c r="I6" s="81" t="s">
        <v>72</v>
      </c>
      <c r="J6" s="81" t="s">
        <v>81</v>
      </c>
      <c r="K6" s="81"/>
      <c r="L6" s="81" t="s">
        <v>72</v>
      </c>
      <c r="M6" s="81" t="s">
        <v>81</v>
      </c>
      <c r="N6" s="81"/>
      <c r="O6" s="81" t="s">
        <v>72</v>
      </c>
      <c r="P6" s="81" t="s">
        <v>81</v>
      </c>
      <c r="Q6" s="81"/>
      <c r="R6" s="81" t="s">
        <v>72</v>
      </c>
      <c r="S6" s="81" t="s">
        <v>81</v>
      </c>
      <c r="T6" s="81"/>
      <c r="U6" s="81" t="s">
        <v>72</v>
      </c>
      <c r="V6" s="81" t="s">
        <v>81</v>
      </c>
      <c r="W6" s="81"/>
      <c r="X6" s="81" t="s">
        <v>72</v>
      </c>
      <c r="Y6" s="81" t="s">
        <v>81</v>
      </c>
      <c r="Z6" s="81"/>
      <c r="AA6" s="81" t="s">
        <v>72</v>
      </c>
      <c r="AB6" s="81" t="s">
        <v>81</v>
      </c>
      <c r="AC6" s="81"/>
      <c r="AD6" s="82" t="s">
        <v>72</v>
      </c>
      <c r="AE6" s="81" t="s">
        <v>81</v>
      </c>
      <c r="AF6" s="81"/>
      <c r="AG6" s="81" t="s">
        <v>72</v>
      </c>
      <c r="AH6" s="81" t="s">
        <v>81</v>
      </c>
      <c r="AI6" s="81"/>
      <c r="AJ6" s="81" t="s">
        <v>72</v>
      </c>
      <c r="AK6" s="81" t="s">
        <v>81</v>
      </c>
      <c r="AL6" s="81"/>
      <c r="AM6" s="81" t="s">
        <v>72</v>
      </c>
      <c r="AN6" s="81" t="s">
        <v>81</v>
      </c>
      <c r="AO6" s="81"/>
      <c r="AP6" s="81" t="s">
        <v>72</v>
      </c>
      <c r="AQ6" s="81" t="s">
        <v>81</v>
      </c>
      <c r="AR6" s="81"/>
      <c r="AS6" s="81" t="s">
        <v>72</v>
      </c>
      <c r="AT6" s="81" t="s">
        <v>81</v>
      </c>
      <c r="AU6" s="81"/>
      <c r="AV6" s="81" t="s">
        <v>72</v>
      </c>
      <c r="AW6" s="81" t="s">
        <v>81</v>
      </c>
      <c r="AX6" s="81"/>
      <c r="AY6" s="82" t="s">
        <v>72</v>
      </c>
    </row>
    <row r="7" spans="1:51" x14ac:dyDescent="0.2">
      <c r="A7" s="83" t="s">
        <v>85</v>
      </c>
      <c r="B7" s="75">
        <v>5725018.1699999999</v>
      </c>
      <c r="C7" s="84">
        <f>7488/5725018.17*12</f>
        <v>1.569532136524206E-2</v>
      </c>
      <c r="D7" s="75">
        <f>+B7*$C$7/12</f>
        <v>7488</v>
      </c>
      <c r="F7" s="75">
        <f>+B7+D7</f>
        <v>5732506.1699999999</v>
      </c>
      <c r="G7" s="75">
        <f>+F7*$C$7/12</f>
        <v>7497.7938805319109</v>
      </c>
      <c r="I7" s="75">
        <f>+F7+G7</f>
        <v>5740003.9638805315</v>
      </c>
      <c r="J7" s="75">
        <f t="shared" ref="J7:M7" si="0">+I7*$C$7/12</f>
        <v>7507.6005709056853</v>
      </c>
      <c r="L7" s="75">
        <f t="shared" ref="L7:L9" si="1">+I7+J7</f>
        <v>5747511.5644514374</v>
      </c>
      <c r="M7" s="75">
        <f t="shared" si="0"/>
        <v>7517.420087875872</v>
      </c>
      <c r="O7" s="75">
        <f t="shared" ref="O7:O9" si="2">+L7+M7</f>
        <v>5755028.9845393132</v>
      </c>
      <c r="P7" s="75">
        <f t="shared" ref="P7" si="3">+O7*$C$7/12</f>
        <v>7527.2524482189338</v>
      </c>
      <c r="R7" s="75">
        <f t="shared" ref="R7:R9" si="4">+O7+P7</f>
        <v>5762556.2369875321</v>
      </c>
      <c r="S7" s="75">
        <f t="shared" ref="S7" si="5">+R7*$C$7/12</f>
        <v>7537.0976687332759</v>
      </c>
      <c r="U7" s="75">
        <f t="shared" ref="U7:U9" si="6">+R7+S7</f>
        <v>5770093.3346562656</v>
      </c>
      <c r="V7" s="75">
        <f t="shared" ref="V7" si="7">+U7*$C$7/12</f>
        <v>7546.9557662392735</v>
      </c>
      <c r="X7" s="75">
        <f t="shared" ref="X7:X9" si="8">+U7+V7</f>
        <v>5777640.2904225048</v>
      </c>
      <c r="Y7" s="75">
        <f t="shared" ref="Y7" si="9">+X7*$C$7/12</f>
        <v>7556.826757579307</v>
      </c>
      <c r="AA7" s="75">
        <f t="shared" ref="AA7:AA9" si="10">+X7+Y7</f>
        <v>5785197.1171800839</v>
      </c>
      <c r="AB7" s="75">
        <f t="shared" ref="AB7" si="11">+AA7*$C$7/12</f>
        <v>7566.7106596177791</v>
      </c>
      <c r="AD7" s="85">
        <f t="shared" ref="AD7:AD9" si="12">+AA7+AB7</f>
        <v>5792763.8278397014</v>
      </c>
      <c r="AE7" s="75">
        <f t="shared" ref="AE7" si="13">+AD7*$C$7/12</f>
        <v>7576.6074892411534</v>
      </c>
      <c r="AG7" s="75">
        <f t="shared" ref="AG7:AG9" si="14">+AD7+AE7</f>
        <v>5800340.4353289427</v>
      </c>
      <c r="AH7" s="75">
        <f t="shared" ref="AH7" si="15">+AG7*$C$7/12</f>
        <v>7586.5172633579823</v>
      </c>
      <c r="AJ7" s="75">
        <f t="shared" ref="AJ7:AJ9" si="16">+AG7+AH7</f>
        <v>5807926.9525923003</v>
      </c>
      <c r="AK7" s="75">
        <f t="shared" ref="AK7" si="17">+AJ7*$C$7/12</f>
        <v>7596.439998898928</v>
      </c>
      <c r="AM7" s="75">
        <f t="shared" ref="AM7:AM9" si="18">+AJ7+AK7</f>
        <v>5815523.3925911989</v>
      </c>
      <c r="AN7" s="75">
        <f t="shared" ref="AN7" si="19">+AM7*$C$7/12</f>
        <v>7606.3757128168027</v>
      </c>
      <c r="AO7" s="75"/>
      <c r="AP7" s="75">
        <f t="shared" ref="AP7:AP9" si="20">+AM7+AN7</f>
        <v>5823129.7683040155</v>
      </c>
      <c r="AQ7" s="75">
        <f t="shared" ref="AQ7" si="21">+AP7*$C$7/12</f>
        <v>7616.324422086589</v>
      </c>
      <c r="AR7" s="75"/>
      <c r="AS7" s="75">
        <f t="shared" ref="AS7:AS9" si="22">+AP7+AQ7</f>
        <v>5830746.0927261021</v>
      </c>
      <c r="AT7" s="75">
        <f t="shared" ref="AT7" si="23">+AS7*$C$7/12</f>
        <v>7626.2861437054707</v>
      </c>
      <c r="AU7" s="75"/>
      <c r="AV7" s="75">
        <f t="shared" ref="AV7:AV9" si="24">+AS7+AT7</f>
        <v>5838372.3788698073</v>
      </c>
      <c r="AW7" s="75">
        <f>+AV7*$C$7/12/2</f>
        <v>3818.1304473464334</v>
      </c>
      <c r="AX7" s="75"/>
      <c r="AY7" s="85">
        <f t="shared" ref="AY7:AY9" si="25">+AV7+AW7</f>
        <v>5842190.5093171541</v>
      </c>
    </row>
    <row r="8" spans="1:51" x14ac:dyDescent="0.2">
      <c r="A8" s="83" t="s">
        <v>86</v>
      </c>
      <c r="B8" s="75">
        <v>2490740.54</v>
      </c>
      <c r="C8" s="84">
        <f>7934.81/2490740.54*12</f>
        <v>3.8228678768764887E-2</v>
      </c>
      <c r="D8" s="75">
        <f>+B8*$C$8/12</f>
        <v>7934.8099999999986</v>
      </c>
      <c r="F8" s="75">
        <f t="shared" ref="F8:F9" si="26">+B8+D8</f>
        <v>2498675.35</v>
      </c>
      <c r="G8" s="75">
        <f>+F8*$C$8/12</f>
        <v>7960.0881085484316</v>
      </c>
      <c r="I8" s="75">
        <f t="shared" ref="I8:I9" si="27">+F8+G8</f>
        <v>2506635.4381085485</v>
      </c>
      <c r="J8" s="75">
        <f>+I8*$C$8/12</f>
        <v>7985.4467461544955</v>
      </c>
      <c r="L8" s="75">
        <f t="shared" si="1"/>
        <v>2514620.8848547032</v>
      </c>
      <c r="M8" s="75">
        <f>+L8*$C$8/12</f>
        <v>8010.8861693614808</v>
      </c>
      <c r="O8" s="75">
        <f t="shared" si="2"/>
        <v>2522631.7710240646</v>
      </c>
      <c r="P8" s="75">
        <f>+O8*$C$8/12</f>
        <v>8036.4066355299519</v>
      </c>
      <c r="R8" s="75">
        <f t="shared" si="4"/>
        <v>2530668.1776595945</v>
      </c>
      <c r="S8" s="75">
        <f>+R8*$C$8/12</f>
        <v>8062.0084028403553</v>
      </c>
      <c r="U8" s="75">
        <f t="shared" si="6"/>
        <v>2538730.1860624347</v>
      </c>
      <c r="V8" s="75">
        <f>+U8*$C$8/12</f>
        <v>8087.6917302956272</v>
      </c>
      <c r="X8" s="75">
        <f t="shared" si="8"/>
        <v>2546817.8777927305</v>
      </c>
      <c r="Y8" s="75">
        <f>+X8*$C$8/12</f>
        <v>8113.4568777238164</v>
      </c>
      <c r="AA8" s="75">
        <f t="shared" si="10"/>
        <v>2554931.3346704543</v>
      </c>
      <c r="AB8" s="75">
        <f>+AA8*$C$8/12</f>
        <v>8139.3041057807104</v>
      </c>
      <c r="AD8" s="85">
        <f t="shared" si="12"/>
        <v>2563070.6387762348</v>
      </c>
      <c r="AE8" s="75">
        <f>+AD8*$C$8/12</f>
        <v>8165.233675952476</v>
      </c>
      <c r="AG8" s="75">
        <f t="shared" si="14"/>
        <v>2571235.8724521874</v>
      </c>
      <c r="AH8" s="75">
        <f>+AG8*$C$8/12</f>
        <v>8191.245850558299</v>
      </c>
      <c r="AJ8" s="75">
        <f t="shared" si="16"/>
        <v>2579427.1183027457</v>
      </c>
      <c r="AK8" s="75">
        <f>+AJ8*$C$8/12</f>
        <v>8217.3408927530472</v>
      </c>
      <c r="AM8" s="75">
        <f t="shared" si="18"/>
        <v>2587644.4591954988</v>
      </c>
      <c r="AN8" s="75">
        <f>+AM8*$C$8/12</f>
        <v>8243.5190665299215</v>
      </c>
      <c r="AO8" s="75"/>
      <c r="AP8" s="75">
        <f t="shared" si="20"/>
        <v>2595887.9782620287</v>
      </c>
      <c r="AQ8" s="75">
        <f>+AP8*$C$8/12</f>
        <v>8269.7806367231351</v>
      </c>
      <c r="AR8" s="75"/>
      <c r="AS8" s="75">
        <f t="shared" si="22"/>
        <v>2604157.7588987518</v>
      </c>
      <c r="AT8" s="75">
        <f>+AS8*$C$8/12</f>
        <v>8296.1258690105878</v>
      </c>
      <c r="AU8" s="75"/>
      <c r="AV8" s="75">
        <f t="shared" si="24"/>
        <v>2612453.8847677624</v>
      </c>
      <c r="AW8" s="75">
        <f>+AV8*$C$8/12/2</f>
        <v>4161.2775149582794</v>
      </c>
      <c r="AX8" s="75"/>
      <c r="AY8" s="85">
        <f t="shared" si="25"/>
        <v>2616615.1622827207</v>
      </c>
    </row>
    <row r="9" spans="1:51" x14ac:dyDescent="0.2">
      <c r="A9" s="83" t="s">
        <v>87</v>
      </c>
      <c r="B9" s="75">
        <v>7309007.7599999998</v>
      </c>
      <c r="C9" s="86">
        <f>15123.7/7309007.76*12</f>
        <v>2.4830237695629427E-2</v>
      </c>
      <c r="D9" s="75">
        <f>+B9*$C$9/12</f>
        <v>15123.699999999999</v>
      </c>
      <c r="F9" s="75">
        <f t="shared" si="26"/>
        <v>7324131.46</v>
      </c>
      <c r="G9" s="75">
        <f>+F9*$C$9/12</f>
        <v>15154.99375548645</v>
      </c>
      <c r="I9" s="75">
        <f t="shared" si="27"/>
        <v>7339286.4537554868</v>
      </c>
      <c r="J9" s="75">
        <f>+I9*$C$9/12</f>
        <v>15186.352263588493</v>
      </c>
      <c r="L9" s="75">
        <f t="shared" si="1"/>
        <v>7354472.8060190752</v>
      </c>
      <c r="M9" s="75">
        <f>+L9*$C$9/12</f>
        <v>15217.775658291364</v>
      </c>
      <c r="O9" s="75">
        <f t="shared" si="2"/>
        <v>7369690.581677367</v>
      </c>
      <c r="P9" s="75">
        <f>+O9*$C$9/12</f>
        <v>15249.264073857543</v>
      </c>
      <c r="R9" s="75">
        <f t="shared" si="4"/>
        <v>7384939.8457512241</v>
      </c>
      <c r="S9" s="75">
        <f>+R9*$C$9/12</f>
        <v>15280.817644827317</v>
      </c>
      <c r="U9" s="75">
        <f t="shared" si="6"/>
        <v>7400220.6633960512</v>
      </c>
      <c r="V9" s="75">
        <f>+U9*$C$9/12</f>
        <v>15312.436506019369</v>
      </c>
      <c r="X9" s="75">
        <f t="shared" si="8"/>
        <v>7415533.0999020701</v>
      </c>
      <c r="Y9" s="75">
        <f>+X9*$C$9/12</f>
        <v>15344.120792531343</v>
      </c>
      <c r="AA9" s="75">
        <f t="shared" si="10"/>
        <v>7430877.2206946015</v>
      </c>
      <c r="AB9" s="75">
        <f>+AA9*$C$9/12</f>
        <v>15375.870639740426</v>
      </c>
      <c r="AD9" s="85">
        <f t="shared" si="12"/>
        <v>7446253.091334342</v>
      </c>
      <c r="AE9" s="75">
        <f>+AD9*$C$9/12</f>
        <v>15407.686183303927</v>
      </c>
      <c r="AG9" s="75">
        <f t="shared" si="14"/>
        <v>7461660.7775176456</v>
      </c>
      <c r="AH9" s="75">
        <f>+AG9*$C$9/12</f>
        <v>15439.567559159854</v>
      </c>
      <c r="AJ9" s="75">
        <f t="shared" si="16"/>
        <v>7477100.3450768059</v>
      </c>
      <c r="AK9" s="75">
        <f>+AJ9*$C$9/12</f>
        <v>15471.514903527494</v>
      </c>
      <c r="AM9" s="75">
        <f t="shared" si="18"/>
        <v>7492571.8599803336</v>
      </c>
      <c r="AN9" s="75">
        <f>+AM9*$C$9/12</f>
        <v>15503.528352907997</v>
      </c>
      <c r="AO9" s="75"/>
      <c r="AP9" s="75">
        <f t="shared" si="20"/>
        <v>7508075.3883332415</v>
      </c>
      <c r="AQ9" s="75">
        <f>+AP9*$C$9/12</f>
        <v>15535.608044084967</v>
      </c>
      <c r="AR9" s="75"/>
      <c r="AS9" s="75">
        <f t="shared" si="22"/>
        <v>7523610.9963773265</v>
      </c>
      <c r="AT9" s="75">
        <f>+AS9*$C$9/12</f>
        <v>15567.754114125031</v>
      </c>
      <c r="AU9" s="75"/>
      <c r="AV9" s="75">
        <f t="shared" si="24"/>
        <v>7539178.7504914515</v>
      </c>
      <c r="AW9" s="75">
        <f>+AV9*$C$9/12/2</f>
        <v>7799.9833501892172</v>
      </c>
      <c r="AX9" s="75"/>
      <c r="AY9" s="85">
        <f t="shared" si="25"/>
        <v>7546978.7338416409</v>
      </c>
    </row>
    <row r="10" spans="1:51" x14ac:dyDescent="0.2">
      <c r="B10" s="75">
        <f>SUM(B7:B9)</f>
        <v>15524766.469999999</v>
      </c>
      <c r="F10" s="75">
        <f>SUM(F7:F9)</f>
        <v>15555312.98</v>
      </c>
      <c r="I10" s="75">
        <f>SUM(I7:I9)</f>
        <v>15585925.855744567</v>
      </c>
      <c r="L10" s="75">
        <f>SUM(L7:L9)</f>
        <v>15616605.255325217</v>
      </c>
      <c r="O10" s="75">
        <f>SUM(O7:O9)</f>
        <v>15647351.337240744</v>
      </c>
      <c r="R10" s="75">
        <f>SUM(R7:R9)</f>
        <v>15678164.260398351</v>
      </c>
      <c r="U10" s="75">
        <f>SUM(U7:U9)</f>
        <v>15709044.18411475</v>
      </c>
      <c r="X10" s="75">
        <f>SUM(X7:X9)</f>
        <v>15739991.268117305</v>
      </c>
      <c r="AA10" s="75">
        <f>SUM(AA7:AA9)</f>
        <v>15771005.672545139</v>
      </c>
      <c r="AD10" s="85">
        <f>SUM(AD7:AD9)</f>
        <v>15802087.557950277</v>
      </c>
      <c r="AG10" s="75">
        <f>SUM(AG7:AG9)</f>
        <v>15833237.085298777</v>
      </c>
      <c r="AJ10" s="75">
        <f>SUM(AJ7:AJ9)</f>
        <v>15864454.415971853</v>
      </c>
      <c r="AM10" s="75">
        <f>SUM(AM7:AM9)</f>
        <v>15895739.711767031</v>
      </c>
      <c r="AP10" s="75">
        <f>SUM(AP7:AP9)</f>
        <v>15927093.134899285</v>
      </c>
      <c r="AS10" s="75">
        <f>SUM(AS7:AS9)</f>
        <v>15958514.84800218</v>
      </c>
      <c r="AV10" s="75">
        <f>SUM(AV7:AV9)</f>
        <v>15990005.01412902</v>
      </c>
      <c r="AY10" s="85">
        <f>SUM(AY7:AY9)</f>
        <v>16005784.405441515</v>
      </c>
    </row>
    <row r="12" spans="1:51" x14ac:dyDescent="0.2">
      <c r="C12" s="87"/>
    </row>
    <row r="14" spans="1:51" x14ac:dyDescent="0.2">
      <c r="A14" s="76" t="s">
        <v>88</v>
      </c>
    </row>
    <row r="17" spans="1:6" ht="15.75" x14ac:dyDescent="0.25">
      <c r="A17" s="74"/>
    </row>
    <row r="18" spans="1:6" x14ac:dyDescent="0.2">
      <c r="A18" s="83"/>
      <c r="C18" s="86"/>
    </row>
    <row r="19" spans="1:6" x14ac:dyDescent="0.2">
      <c r="A19" s="83"/>
      <c r="C19" s="86"/>
    </row>
    <row r="20" spans="1:6" x14ac:dyDescent="0.2">
      <c r="A20" s="83"/>
      <c r="C20" s="86"/>
    </row>
    <row r="21" spans="1:6" x14ac:dyDescent="0.2">
      <c r="A21" s="83"/>
      <c r="C21" s="86"/>
    </row>
    <row r="22" spans="1:6" x14ac:dyDescent="0.2">
      <c r="A22" s="88"/>
    </row>
    <row r="23" spans="1:6" x14ac:dyDescent="0.2">
      <c r="D23" s="86"/>
      <c r="E23" s="89"/>
      <c r="F23" s="89"/>
    </row>
  </sheetData>
  <mergeCells count="16">
    <mergeCell ref="S5:U5"/>
    <mergeCell ref="D5:F5"/>
    <mergeCell ref="G5:I5"/>
    <mergeCell ref="J5:L5"/>
    <mergeCell ref="M5:O5"/>
    <mergeCell ref="P5:R5"/>
    <mergeCell ref="AN5:AP5"/>
    <mergeCell ref="AQ5:AS5"/>
    <mergeCell ref="AT5:AV5"/>
    <mergeCell ref="AW5:AY5"/>
    <mergeCell ref="V5:X5"/>
    <mergeCell ref="Y5:AA5"/>
    <mergeCell ref="AB5:AD5"/>
    <mergeCell ref="AE5:AG5"/>
    <mergeCell ref="AH5:AJ5"/>
    <mergeCell ref="AK5:AM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zoomScale="85" zoomScaleNormal="85" workbookViewId="0">
      <selection activeCell="D2" sqref="D2"/>
    </sheetView>
  </sheetViews>
  <sheetFormatPr defaultColWidth="7.21875" defaultRowHeight="14.25" x14ac:dyDescent="0.2"/>
  <cols>
    <col min="1" max="1" width="7.21875" style="156"/>
    <col min="2" max="2" width="7.21875" style="156" bestFit="1" customWidth="1"/>
    <col min="3" max="3" width="13.6640625" style="156" bestFit="1" customWidth="1"/>
    <col min="4" max="4" width="13.109375" style="156" customWidth="1"/>
    <col min="5" max="5" width="9.21875" style="156" bestFit="1" customWidth="1"/>
    <col min="6" max="6" width="7.21875" style="156"/>
    <col min="7" max="7" width="8.21875" style="156" bestFit="1" customWidth="1"/>
    <col min="8" max="8" width="7.21875" style="156"/>
    <col min="9" max="9" width="9.88671875" style="156" bestFit="1" customWidth="1"/>
    <col min="10" max="10" width="11" style="156" bestFit="1" customWidth="1"/>
    <col min="11" max="11" width="7.21875" style="156"/>
    <col min="12" max="12" width="8.33203125" style="156" customWidth="1"/>
    <col min="13" max="13" width="10.33203125" style="156" bestFit="1" customWidth="1"/>
    <col min="14" max="16384" width="7.21875" style="156"/>
  </cols>
  <sheetData>
    <row r="1" spans="1:10" x14ac:dyDescent="0.2">
      <c r="A1" s="156" t="s">
        <v>163</v>
      </c>
    </row>
    <row r="2" spans="1:10" x14ac:dyDescent="0.2">
      <c r="A2" s="156" t="s">
        <v>164</v>
      </c>
    </row>
    <row r="5" spans="1:10" ht="23.25" x14ac:dyDescent="0.35">
      <c r="A5" s="157" t="s">
        <v>152</v>
      </c>
    </row>
    <row r="7" spans="1:10" ht="15" x14ac:dyDescent="0.25">
      <c r="B7" s="158" t="s">
        <v>153</v>
      </c>
      <c r="C7" s="156" t="s">
        <v>154</v>
      </c>
    </row>
    <row r="8" spans="1:10" ht="15" x14ac:dyDescent="0.25">
      <c r="B8" s="158"/>
      <c r="C8" s="156" t="s">
        <v>155</v>
      </c>
    </row>
    <row r="9" spans="1:10" x14ac:dyDescent="0.2">
      <c r="C9" s="156" t="s">
        <v>156</v>
      </c>
    </row>
    <row r="10" spans="1:10" x14ac:dyDescent="0.2">
      <c r="C10" s="156" t="s">
        <v>157</v>
      </c>
    </row>
    <row r="11" spans="1:10" ht="15" thickBot="1" x14ac:dyDescent="0.25"/>
    <row r="12" spans="1:10" ht="15.75" thickTop="1" x14ac:dyDescent="0.25">
      <c r="C12" s="159" t="s">
        <v>158</v>
      </c>
      <c r="D12" s="159" t="s">
        <v>159</v>
      </c>
      <c r="E12" s="159" t="s">
        <v>21</v>
      </c>
    </row>
    <row r="13" spans="1:10" x14ac:dyDescent="0.2">
      <c r="B13" s="156">
        <v>2024</v>
      </c>
      <c r="C13" s="160"/>
      <c r="D13" s="160"/>
      <c r="E13" s="160"/>
      <c r="I13" s="155" t="s">
        <v>91</v>
      </c>
      <c r="J13" s="161">
        <v>0.03</v>
      </c>
    </row>
    <row r="14" spans="1:10" x14ac:dyDescent="0.2">
      <c r="B14" s="156">
        <v>2025</v>
      </c>
      <c r="C14" s="162">
        <v>25000</v>
      </c>
      <c r="D14" s="162">
        <v>0</v>
      </c>
      <c r="E14" s="162">
        <f>C14+D14</f>
        <v>25000</v>
      </c>
      <c r="I14" s="155" t="s">
        <v>92</v>
      </c>
      <c r="J14" s="163">
        <v>5.5910000000000001E-2</v>
      </c>
    </row>
    <row r="15" spans="1:10" ht="15" x14ac:dyDescent="0.2">
      <c r="B15" s="156">
        <v>2026</v>
      </c>
      <c r="C15" s="160"/>
      <c r="D15" s="160"/>
      <c r="E15" s="164">
        <v>0</v>
      </c>
      <c r="I15" s="165"/>
    </row>
    <row r="16" spans="1:10" ht="15.75" thickBot="1" x14ac:dyDescent="0.25">
      <c r="B16" s="156">
        <v>2027</v>
      </c>
      <c r="C16" s="160"/>
      <c r="D16" s="160"/>
      <c r="E16" s="164">
        <v>0</v>
      </c>
      <c r="G16" s="165"/>
      <c r="I16" s="156" t="s">
        <v>95</v>
      </c>
      <c r="J16" s="166">
        <f>NPV(J14,E14:E39)</f>
        <v>149356.21645707413</v>
      </c>
    </row>
    <row r="17" spans="2:13" ht="15.75" thickTop="1" x14ac:dyDescent="0.2">
      <c r="B17" s="156">
        <v>2028</v>
      </c>
      <c r="C17" s="160"/>
      <c r="D17" s="160"/>
      <c r="E17" s="164">
        <v>0</v>
      </c>
      <c r="M17" s="167"/>
    </row>
    <row r="18" spans="2:13" ht="15" x14ac:dyDescent="0.2">
      <c r="B18" s="156">
        <v>2029</v>
      </c>
      <c r="C18" s="160"/>
      <c r="D18" s="160"/>
      <c r="E18" s="164">
        <v>0</v>
      </c>
      <c r="M18" s="168"/>
    </row>
    <row r="19" spans="2:13" x14ac:dyDescent="0.2">
      <c r="B19" s="156">
        <v>2030</v>
      </c>
      <c r="C19" s="162">
        <f>ROUND(C14*1.03^5, 0)</f>
        <v>28982</v>
      </c>
      <c r="D19" s="162">
        <v>15000</v>
      </c>
      <c r="E19" s="162">
        <f>C19+D19</f>
        <v>43982</v>
      </c>
    </row>
    <row r="20" spans="2:13" ht="15" x14ac:dyDescent="0.2">
      <c r="B20" s="156">
        <v>2031</v>
      </c>
      <c r="C20" s="162"/>
      <c r="D20" s="162"/>
      <c r="E20" s="164">
        <v>0</v>
      </c>
    </row>
    <row r="21" spans="2:13" ht="15" x14ac:dyDescent="0.2">
      <c r="B21" s="156">
        <v>2032</v>
      </c>
      <c r="C21" s="162"/>
      <c r="D21" s="160"/>
      <c r="E21" s="164">
        <v>0</v>
      </c>
    </row>
    <row r="22" spans="2:13" ht="15" x14ac:dyDescent="0.2">
      <c r="B22" s="156">
        <v>2033</v>
      </c>
      <c r="C22" s="162"/>
      <c r="D22" s="160"/>
      <c r="E22" s="164">
        <v>0</v>
      </c>
    </row>
    <row r="23" spans="2:13" ht="15" x14ac:dyDescent="0.2">
      <c r="B23" s="156">
        <v>2034</v>
      </c>
      <c r="C23" s="162"/>
      <c r="D23" s="160"/>
      <c r="E23" s="164">
        <v>0</v>
      </c>
    </row>
    <row r="24" spans="2:13" x14ac:dyDescent="0.2">
      <c r="B24" s="156">
        <v>2035</v>
      </c>
      <c r="C24" s="162">
        <f>C19*1.03^5</f>
        <v>33598.081221362598</v>
      </c>
      <c r="D24" s="162">
        <f>D19*1.03^5</f>
        <v>17389.111114499996</v>
      </c>
      <c r="E24" s="162">
        <f>C24+D24</f>
        <v>50987.192335862594</v>
      </c>
    </row>
    <row r="25" spans="2:13" ht="15" x14ac:dyDescent="0.2">
      <c r="B25" s="156">
        <v>2036</v>
      </c>
      <c r="C25" s="162"/>
      <c r="D25" s="160"/>
      <c r="E25" s="164">
        <v>0</v>
      </c>
    </row>
    <row r="26" spans="2:13" ht="15" x14ac:dyDescent="0.2">
      <c r="B26" s="156">
        <v>2037</v>
      </c>
      <c r="C26" s="162"/>
      <c r="D26" s="160"/>
      <c r="E26" s="164">
        <v>0</v>
      </c>
    </row>
    <row r="27" spans="2:13" ht="15" x14ac:dyDescent="0.2">
      <c r="B27" s="156">
        <v>2038</v>
      </c>
      <c r="C27" s="162"/>
      <c r="D27" s="160"/>
      <c r="E27" s="164">
        <v>0</v>
      </c>
    </row>
    <row r="28" spans="2:13" ht="15" x14ac:dyDescent="0.2">
      <c r="B28" s="156">
        <v>2039</v>
      </c>
      <c r="C28" s="162"/>
      <c r="D28" s="160"/>
      <c r="E28" s="164">
        <v>0</v>
      </c>
    </row>
    <row r="29" spans="2:13" x14ac:dyDescent="0.2">
      <c r="B29" s="156">
        <v>2040</v>
      </c>
      <c r="C29" s="162">
        <f>C24*1.03^5</f>
        <v>38949.384506151335</v>
      </c>
      <c r="D29" s="162">
        <f>D24*1.03^5</f>
        <v>20158.745690161821</v>
      </c>
      <c r="E29" s="162">
        <f>C29+D29</f>
        <v>59108.130196313155</v>
      </c>
    </row>
    <row r="30" spans="2:13" ht="15" x14ac:dyDescent="0.2">
      <c r="B30" s="156">
        <v>2041</v>
      </c>
      <c r="C30" s="162"/>
      <c r="D30" s="160"/>
      <c r="E30" s="164">
        <v>0</v>
      </c>
    </row>
    <row r="31" spans="2:13" ht="15" x14ac:dyDescent="0.2">
      <c r="B31" s="156">
        <v>2042</v>
      </c>
      <c r="C31" s="162"/>
      <c r="D31" s="160"/>
      <c r="E31" s="164">
        <v>0</v>
      </c>
    </row>
    <row r="32" spans="2:13" ht="15" x14ac:dyDescent="0.2">
      <c r="B32" s="156">
        <v>2043</v>
      </c>
      <c r="C32" s="162"/>
      <c r="D32" s="160"/>
      <c r="E32" s="164">
        <v>0</v>
      </c>
    </row>
    <row r="33" spans="2:5" ht="15" x14ac:dyDescent="0.2">
      <c r="B33" s="156">
        <v>2044</v>
      </c>
      <c r="C33" s="162"/>
      <c r="D33" s="160"/>
      <c r="E33" s="164">
        <v>0</v>
      </c>
    </row>
    <row r="34" spans="2:5" x14ac:dyDescent="0.2">
      <c r="B34" s="156">
        <v>2045</v>
      </c>
      <c r="C34" s="162">
        <f>C29*1.03^5</f>
        <v>45153.011667923347</v>
      </c>
      <c r="D34" s="162">
        <f>D29*1.03^5</f>
        <v>23369.511249011455</v>
      </c>
      <c r="E34" s="162">
        <f>C34+D34</f>
        <v>68522.522916934802</v>
      </c>
    </row>
    <row r="35" spans="2:5" ht="15" x14ac:dyDescent="0.2">
      <c r="B35" s="156">
        <v>2046</v>
      </c>
      <c r="C35" s="162"/>
      <c r="D35" s="160"/>
      <c r="E35" s="164">
        <v>0</v>
      </c>
    </row>
    <row r="36" spans="2:5" ht="15" x14ac:dyDescent="0.2">
      <c r="B36" s="156">
        <v>2047</v>
      </c>
      <c r="C36" s="162"/>
      <c r="D36" s="160"/>
      <c r="E36" s="164">
        <v>0</v>
      </c>
    </row>
    <row r="37" spans="2:5" ht="15" x14ac:dyDescent="0.2">
      <c r="B37" s="156">
        <v>2048</v>
      </c>
      <c r="C37" s="162"/>
      <c r="D37" s="160"/>
      <c r="E37" s="164">
        <v>0</v>
      </c>
    </row>
    <row r="38" spans="2:5" ht="15" x14ac:dyDescent="0.2">
      <c r="B38" s="156">
        <v>2049</v>
      </c>
      <c r="C38" s="162"/>
      <c r="D38" s="160"/>
      <c r="E38" s="164">
        <v>0</v>
      </c>
    </row>
    <row r="39" spans="2:5" x14ac:dyDescent="0.2">
      <c r="B39" s="156">
        <v>2050</v>
      </c>
      <c r="C39" s="169">
        <f>C34*1.03^5</f>
        <v>52344.715803188927</v>
      </c>
      <c r="D39" s="169">
        <f>D34*1.03^5</f>
        <v>27091.668520041188</v>
      </c>
      <c r="E39" s="169">
        <f>C39+D39</f>
        <v>79436.384323230115</v>
      </c>
    </row>
    <row r="40" spans="2:5" ht="15.75" thickBot="1" x14ac:dyDescent="0.3">
      <c r="B40" s="158" t="s">
        <v>160</v>
      </c>
      <c r="C40" s="170">
        <f>SUM(C13:C39)</f>
        <v>224027.19319862622</v>
      </c>
      <c r="D40" s="170">
        <f t="shared" ref="D40:E40" si="0">SUM(D13:D39)</f>
        <v>103009.03657371446</v>
      </c>
      <c r="E40" s="170">
        <f t="shared" si="0"/>
        <v>327036.22977234068</v>
      </c>
    </row>
    <row r="41" spans="2:5" ht="15" thickTop="1" x14ac:dyDescent="0.2"/>
    <row r="42" spans="2:5" ht="15" x14ac:dyDescent="0.25">
      <c r="C42" s="171" t="s">
        <v>161</v>
      </c>
    </row>
    <row r="43" spans="2:5" x14ac:dyDescent="0.2">
      <c r="C43" s="156" t="s">
        <v>162</v>
      </c>
    </row>
  </sheetData>
  <pageMargins left="0.7" right="0.7" top="0.75" bottom="0.75" header="0.3" footer="0.3"/>
  <pageSetup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topLeftCell="A10" zoomScale="85" zoomScaleNormal="85" workbookViewId="0">
      <selection activeCell="D36" sqref="D36"/>
    </sheetView>
  </sheetViews>
  <sheetFormatPr defaultColWidth="7.21875" defaultRowHeight="15" x14ac:dyDescent="0.2"/>
  <cols>
    <col min="1" max="1" width="26" style="60" bestFit="1" customWidth="1"/>
    <col min="2" max="2" width="15.44140625" style="60" bestFit="1" customWidth="1"/>
    <col min="3" max="3" width="19.21875" style="60" bestFit="1" customWidth="1"/>
    <col min="4" max="4" width="26" style="60" bestFit="1" customWidth="1"/>
    <col min="5" max="5" width="13.77734375" style="60" bestFit="1" customWidth="1"/>
    <col min="6" max="6" width="4.77734375" style="60" customWidth="1"/>
    <col min="7" max="7" width="9.44140625" style="60" bestFit="1" customWidth="1"/>
    <col min="8" max="8" width="10" style="60" bestFit="1" customWidth="1"/>
    <col min="9" max="9" width="7.5546875" style="60" bestFit="1" customWidth="1"/>
    <col min="10" max="16384" width="7.21875" style="60"/>
  </cols>
  <sheetData>
    <row r="1" spans="1:22" x14ac:dyDescent="0.2">
      <c r="A1" s="203" t="s">
        <v>211</v>
      </c>
    </row>
    <row r="2" spans="1:22" x14ac:dyDescent="0.2">
      <c r="A2" s="203" t="s">
        <v>151</v>
      </c>
    </row>
    <row r="4" spans="1:22" ht="15.75" x14ac:dyDescent="0.25">
      <c r="A4" s="52"/>
      <c r="C4" s="61"/>
    </row>
    <row r="5" spans="1:22" ht="15.75" x14ac:dyDescent="0.25">
      <c r="A5" s="52"/>
    </row>
    <row r="6" spans="1:22" ht="15.75" x14ac:dyDescent="0.25">
      <c r="A6" s="53" t="s">
        <v>65</v>
      </c>
      <c r="B6" s="53" t="s">
        <v>66</v>
      </c>
      <c r="C6" s="53" t="s">
        <v>67</v>
      </c>
      <c r="D6" s="53" t="s">
        <v>68</v>
      </c>
      <c r="E6" s="53" t="s">
        <v>69</v>
      </c>
    </row>
    <row r="7" spans="1:22" ht="31.5" x14ac:dyDescent="0.2">
      <c r="E7" s="55" t="s">
        <v>70</v>
      </c>
    </row>
    <row r="8" spans="1:22" s="62" customFormat="1" ht="31.5" x14ac:dyDescent="0.2">
      <c r="B8" s="55" t="s">
        <v>71</v>
      </c>
      <c r="C8" s="55" t="s">
        <v>72</v>
      </c>
      <c r="D8" s="55" t="s">
        <v>73</v>
      </c>
      <c r="E8" s="55" t="s">
        <v>74</v>
      </c>
      <c r="F8" s="55"/>
    </row>
    <row r="9" spans="1:22" ht="15.75" x14ac:dyDescent="0.2">
      <c r="A9" s="72" t="s">
        <v>75</v>
      </c>
      <c r="B9" s="58">
        <f>Summary!E14*0.23733083-'Def Tax'!D31</f>
        <v>136125533.48187512</v>
      </c>
      <c r="C9" s="58">
        <f>B9</f>
        <v>136125533.48187512</v>
      </c>
      <c r="D9" s="73"/>
      <c r="E9" s="73"/>
      <c r="H9" s="63"/>
      <c r="I9" s="63"/>
    </row>
    <row r="10" spans="1:22" ht="15.75" x14ac:dyDescent="0.25">
      <c r="A10" s="69">
        <v>2024</v>
      </c>
      <c r="B10" s="68">
        <f>$B$9/15*0.25</f>
        <v>2268758.8913645851</v>
      </c>
      <c r="C10" s="70">
        <f>C9-B10</f>
        <v>133856774.59051053</v>
      </c>
      <c r="D10" s="71">
        <f>Summary!E29</f>
        <v>5.5910000000000001E-2</v>
      </c>
      <c r="E10" s="70">
        <f>C9*D10</f>
        <v>7610778.576971638</v>
      </c>
      <c r="F10" s="54"/>
      <c r="H10" s="56"/>
    </row>
    <row r="11" spans="1:22" x14ac:dyDescent="0.2">
      <c r="A11" s="69">
        <v>2025</v>
      </c>
      <c r="B11" s="68">
        <f t="shared" ref="B11:B24" si="0">$B$9/15</f>
        <v>9075035.5654583406</v>
      </c>
      <c r="C11" s="70">
        <f>C10-B11</f>
        <v>124781739.02505219</v>
      </c>
      <c r="D11" s="71">
        <f>D10</f>
        <v>5.5910000000000001E-2</v>
      </c>
      <c r="E11" s="70">
        <f t="shared" ref="E11:E25" si="1">C10*D11</f>
        <v>7483932.2673554439</v>
      </c>
      <c r="H11" s="56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</row>
    <row r="12" spans="1:22" x14ac:dyDescent="0.2">
      <c r="A12" s="64">
        <v>2026</v>
      </c>
      <c r="B12" s="56">
        <f t="shared" si="0"/>
        <v>9075035.5654583406</v>
      </c>
      <c r="C12" s="63">
        <f t="shared" ref="C12:C25" si="2">C11-B12</f>
        <v>115706703.45959385</v>
      </c>
      <c r="D12" s="65">
        <f t="shared" ref="D12:D25" si="3">D11</f>
        <v>5.5910000000000001E-2</v>
      </c>
      <c r="E12" s="63">
        <f t="shared" si="1"/>
        <v>6976547.0288906684</v>
      </c>
    </row>
    <row r="13" spans="1:22" x14ac:dyDescent="0.2">
      <c r="A13" s="64">
        <v>2027</v>
      </c>
      <c r="B13" s="56">
        <f t="shared" si="0"/>
        <v>9075035.5654583406</v>
      </c>
      <c r="C13" s="63">
        <f t="shared" si="2"/>
        <v>106631667.8941355</v>
      </c>
      <c r="D13" s="65">
        <f t="shared" si="3"/>
        <v>5.5910000000000001E-2</v>
      </c>
      <c r="E13" s="63">
        <f t="shared" si="1"/>
        <v>6469161.790425892</v>
      </c>
    </row>
    <row r="14" spans="1:22" x14ac:dyDescent="0.2">
      <c r="A14" s="64">
        <v>2028</v>
      </c>
      <c r="B14" s="56">
        <f t="shared" si="0"/>
        <v>9075035.5654583406</v>
      </c>
      <c r="C14" s="63">
        <f t="shared" si="2"/>
        <v>97556632.328677163</v>
      </c>
      <c r="D14" s="65">
        <f t="shared" si="3"/>
        <v>5.5910000000000001E-2</v>
      </c>
      <c r="E14" s="63">
        <f t="shared" si="1"/>
        <v>5961776.5519611165</v>
      </c>
    </row>
    <row r="15" spans="1:22" x14ac:dyDescent="0.2">
      <c r="A15" s="64">
        <v>2029</v>
      </c>
      <c r="B15" s="56">
        <f t="shared" si="0"/>
        <v>9075035.5654583406</v>
      </c>
      <c r="C15" s="63">
        <f t="shared" si="2"/>
        <v>88481596.76321882</v>
      </c>
      <c r="D15" s="65">
        <f t="shared" si="3"/>
        <v>5.5910000000000001E-2</v>
      </c>
      <c r="E15" s="63">
        <f t="shared" si="1"/>
        <v>5454391.3134963401</v>
      </c>
    </row>
    <row r="16" spans="1:22" x14ac:dyDescent="0.2">
      <c r="A16" s="64">
        <v>2030</v>
      </c>
      <c r="B16" s="56">
        <f t="shared" si="0"/>
        <v>9075035.5654583406</v>
      </c>
      <c r="C16" s="63">
        <f t="shared" si="2"/>
        <v>79406561.197760478</v>
      </c>
      <c r="D16" s="65">
        <f t="shared" si="3"/>
        <v>5.5910000000000001E-2</v>
      </c>
      <c r="E16" s="63">
        <f t="shared" si="1"/>
        <v>4947006.0750315646</v>
      </c>
    </row>
    <row r="17" spans="1:7" x14ac:dyDescent="0.2">
      <c r="A17" s="64">
        <v>2031</v>
      </c>
      <c r="B17" s="56">
        <f t="shared" si="0"/>
        <v>9075035.5654583406</v>
      </c>
      <c r="C17" s="63">
        <f t="shared" si="2"/>
        <v>70331525.632302135</v>
      </c>
      <c r="D17" s="65">
        <f t="shared" si="3"/>
        <v>5.5910000000000001E-2</v>
      </c>
      <c r="E17" s="63">
        <f t="shared" si="1"/>
        <v>4439620.8365667881</v>
      </c>
    </row>
    <row r="18" spans="1:7" x14ac:dyDescent="0.2">
      <c r="A18" s="64">
        <v>2032</v>
      </c>
      <c r="B18" s="56">
        <f t="shared" si="0"/>
        <v>9075035.5654583406</v>
      </c>
      <c r="C18" s="63">
        <f t="shared" si="2"/>
        <v>61256490.066843793</v>
      </c>
      <c r="D18" s="65">
        <f t="shared" si="3"/>
        <v>5.5910000000000001E-2</v>
      </c>
      <c r="E18" s="63">
        <f t="shared" si="1"/>
        <v>3932235.5981020126</v>
      </c>
    </row>
    <row r="19" spans="1:7" x14ac:dyDescent="0.2">
      <c r="A19" s="64">
        <v>2033</v>
      </c>
      <c r="B19" s="56">
        <f t="shared" si="0"/>
        <v>9075035.5654583406</v>
      </c>
      <c r="C19" s="63">
        <f t="shared" si="2"/>
        <v>52181454.50138545</v>
      </c>
      <c r="D19" s="65">
        <f t="shared" si="3"/>
        <v>5.5910000000000001E-2</v>
      </c>
      <c r="E19" s="63">
        <f t="shared" si="1"/>
        <v>3424850.3596372367</v>
      </c>
    </row>
    <row r="20" spans="1:7" x14ac:dyDescent="0.2">
      <c r="A20" s="64">
        <v>2034</v>
      </c>
      <c r="B20" s="56">
        <f t="shared" si="0"/>
        <v>9075035.5654583406</v>
      </c>
      <c r="C20" s="63">
        <f t="shared" si="2"/>
        <v>43106418.935927108</v>
      </c>
      <c r="D20" s="65">
        <f t="shared" si="3"/>
        <v>5.5910000000000001E-2</v>
      </c>
      <c r="E20" s="63">
        <f t="shared" si="1"/>
        <v>2917465.1211724607</v>
      </c>
    </row>
    <row r="21" spans="1:7" x14ac:dyDescent="0.2">
      <c r="A21" s="64">
        <v>2035</v>
      </c>
      <c r="B21" s="56">
        <f t="shared" si="0"/>
        <v>9075035.5654583406</v>
      </c>
      <c r="C21" s="63">
        <f t="shared" si="2"/>
        <v>34031383.370468765</v>
      </c>
      <c r="D21" s="65">
        <f t="shared" si="3"/>
        <v>5.5910000000000001E-2</v>
      </c>
      <c r="E21" s="63">
        <f t="shared" si="1"/>
        <v>2410079.8827076848</v>
      </c>
    </row>
    <row r="22" spans="1:7" x14ac:dyDescent="0.2">
      <c r="A22" s="64">
        <v>2036</v>
      </c>
      <c r="B22" s="56">
        <f t="shared" si="0"/>
        <v>9075035.5654583406</v>
      </c>
      <c r="C22" s="63">
        <f t="shared" si="2"/>
        <v>24956347.805010423</v>
      </c>
      <c r="D22" s="65">
        <f t="shared" si="3"/>
        <v>5.5910000000000001E-2</v>
      </c>
      <c r="E22" s="63">
        <f t="shared" si="1"/>
        <v>1902694.6442429088</v>
      </c>
    </row>
    <row r="23" spans="1:7" x14ac:dyDescent="0.2">
      <c r="A23" s="64">
        <v>2037</v>
      </c>
      <c r="B23" s="56">
        <f t="shared" si="0"/>
        <v>9075035.5654583406</v>
      </c>
      <c r="C23" s="63">
        <f t="shared" si="2"/>
        <v>15881312.239552082</v>
      </c>
      <c r="D23" s="65">
        <f t="shared" si="3"/>
        <v>5.5910000000000001E-2</v>
      </c>
      <c r="E23" s="63">
        <f t="shared" si="1"/>
        <v>1395309.4057781328</v>
      </c>
    </row>
    <row r="24" spans="1:7" x14ac:dyDescent="0.2">
      <c r="A24" s="64">
        <v>2038</v>
      </c>
      <c r="B24" s="56">
        <f t="shared" si="0"/>
        <v>9075035.5654583406</v>
      </c>
      <c r="C24" s="63">
        <f t="shared" si="2"/>
        <v>6806276.6740937419</v>
      </c>
      <c r="D24" s="65">
        <f t="shared" si="3"/>
        <v>5.5910000000000001E-2</v>
      </c>
      <c r="E24" s="63">
        <f t="shared" si="1"/>
        <v>887924.167313357</v>
      </c>
    </row>
    <row r="25" spans="1:7" x14ac:dyDescent="0.2">
      <c r="A25" s="64">
        <v>2039</v>
      </c>
      <c r="B25" s="58">
        <f>$B$9/15*0.75</f>
        <v>6806276.674093755</v>
      </c>
      <c r="C25" s="63">
        <f t="shared" si="2"/>
        <v>-1.3038516044616699E-8</v>
      </c>
      <c r="D25" s="65">
        <f t="shared" si="3"/>
        <v>5.5910000000000001E-2</v>
      </c>
      <c r="E25" s="66">
        <f t="shared" si="1"/>
        <v>380538.9288485811</v>
      </c>
    </row>
    <row r="26" spans="1:7" x14ac:dyDescent="0.2">
      <c r="A26" s="59"/>
      <c r="B26" s="63">
        <f>SUM(B10:B25)</f>
        <v>136125533.48187512</v>
      </c>
      <c r="C26" s="59"/>
      <c r="E26" s="63">
        <f>SUM(E10:E25)</f>
        <v>66594312.548501834</v>
      </c>
    </row>
    <row r="27" spans="1:7" ht="15.75" x14ac:dyDescent="0.25">
      <c r="E27" s="54"/>
    </row>
    <row r="28" spans="1:7" ht="16.5" thickBot="1" x14ac:dyDescent="0.3">
      <c r="A28" s="52" t="s">
        <v>76</v>
      </c>
      <c r="B28" s="67">
        <f>B26</f>
        <v>136125533.48187512</v>
      </c>
      <c r="D28" s="52" t="s">
        <v>76</v>
      </c>
      <c r="E28" s="67">
        <f>B26</f>
        <v>136125533.48187512</v>
      </c>
    </row>
    <row r="29" spans="1:7" ht="15.75" thickTop="1" x14ac:dyDescent="0.2"/>
    <row r="30" spans="1:7" ht="16.5" thickBot="1" x14ac:dyDescent="0.3">
      <c r="A30" s="52" t="s">
        <v>77</v>
      </c>
      <c r="B30" s="67">
        <f>NPV(D10,B10,B11,B12,B13,B14,B15,B16,B17,B18,B19,B20,B21,B22,B23,B24,B25)</f>
        <v>86947366.358760521</v>
      </c>
      <c r="C30" s="54"/>
      <c r="D30" s="52" t="s">
        <v>77</v>
      </c>
      <c r="E30" s="67">
        <f>E28-E32</f>
        <v>86947366.358760446</v>
      </c>
    </row>
    <row r="31" spans="1:7" ht="15.75" thickTop="1" x14ac:dyDescent="0.2"/>
    <row r="32" spans="1:7" ht="16.5" thickBot="1" x14ac:dyDescent="0.3">
      <c r="A32" s="52" t="s">
        <v>78</v>
      </c>
      <c r="B32" s="67">
        <f>B28-B30</f>
        <v>49178167.123114601</v>
      </c>
      <c r="C32" s="54"/>
      <c r="D32" s="52" t="s">
        <v>78</v>
      </c>
      <c r="E32" s="67">
        <f>NPV(D10,E10,E11,E12,E13,E14,E15,E16,E17,E18,E19,E20,E21,E22,E23,E24,E25)</f>
        <v>49178167.123114683</v>
      </c>
      <c r="F32" s="54"/>
      <c r="G32" s="63"/>
    </row>
    <row r="33" spans="5:5" ht="15.75" thickTop="1" x14ac:dyDescent="0.2"/>
    <row r="34" spans="5:5" x14ac:dyDescent="0.2">
      <c r="E34" s="6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I28" sqref="I28"/>
    </sheetView>
  </sheetViews>
  <sheetFormatPr defaultColWidth="7.5546875" defaultRowHeight="14.25" x14ac:dyDescent="0.2"/>
  <cols>
    <col min="1" max="1" width="23.5546875" style="192" bestFit="1" customWidth="1"/>
    <col min="2" max="2" width="14.77734375" style="192" bestFit="1" customWidth="1"/>
    <col min="3" max="3" width="13.77734375" style="192" bestFit="1" customWidth="1"/>
    <col min="4" max="4" width="14.44140625" style="192" bestFit="1" customWidth="1"/>
    <col min="5" max="16384" width="7.5546875" style="192"/>
  </cols>
  <sheetData>
    <row r="1" spans="1:4" x14ac:dyDescent="0.2">
      <c r="A1" s="192" t="s">
        <v>209</v>
      </c>
    </row>
    <row r="2" spans="1:4" x14ac:dyDescent="0.2">
      <c r="A2" s="192" t="s">
        <v>151</v>
      </c>
    </row>
    <row r="5" spans="1:4" x14ac:dyDescent="0.2">
      <c r="A5" s="192" t="s">
        <v>190</v>
      </c>
    </row>
    <row r="6" spans="1:4" ht="28.5" x14ac:dyDescent="0.2">
      <c r="A6" s="193" t="s">
        <v>168</v>
      </c>
      <c r="B6" s="194" t="s">
        <v>191</v>
      </c>
      <c r="C6" s="194" t="s">
        <v>192</v>
      </c>
    </row>
    <row r="7" spans="1:4" x14ac:dyDescent="0.2">
      <c r="A7" s="195" t="s">
        <v>193</v>
      </c>
      <c r="B7" s="167">
        <v>0.05</v>
      </c>
      <c r="C7" s="167">
        <v>0.05</v>
      </c>
    </row>
    <row r="8" spans="1:4" x14ac:dyDescent="0.2">
      <c r="A8" s="195" t="s">
        <v>194</v>
      </c>
      <c r="B8" s="167">
        <v>-92605.35</v>
      </c>
      <c r="C8" s="167">
        <v>-45748.22</v>
      </c>
    </row>
    <row r="9" spans="1:4" x14ac:dyDescent="0.2">
      <c r="A9" s="195" t="s">
        <v>195</v>
      </c>
      <c r="B9" s="167">
        <v>67504.460000000006</v>
      </c>
      <c r="C9" s="167">
        <v>33791.85</v>
      </c>
    </row>
    <row r="10" spans="1:4" x14ac:dyDescent="0.2">
      <c r="A10" s="195" t="s">
        <v>196</v>
      </c>
      <c r="B10" s="167">
        <v>557965982.12</v>
      </c>
      <c r="C10" s="167">
        <v>126709731.04999998</v>
      </c>
    </row>
    <row r="11" spans="1:4" x14ac:dyDescent="0.2">
      <c r="A11" s="195" t="s">
        <v>197</v>
      </c>
      <c r="B11" s="167">
        <v>979536.79</v>
      </c>
      <c r="C11" s="167">
        <v>1049902.8700000001</v>
      </c>
    </row>
    <row r="12" spans="1:4" x14ac:dyDescent="0.2">
      <c r="A12" s="197" t="s">
        <v>186</v>
      </c>
      <c r="B12" s="201">
        <v>558920418.06999993</v>
      </c>
      <c r="C12" s="201">
        <v>127747677.59999999</v>
      </c>
    </row>
    <row r="15" spans="1:4" x14ac:dyDescent="0.2">
      <c r="A15" s="195" t="s">
        <v>198</v>
      </c>
    </row>
    <row r="16" spans="1:4" ht="42.75" x14ac:dyDescent="0.2">
      <c r="A16" s="193" t="s">
        <v>168</v>
      </c>
      <c r="B16" s="202" t="s">
        <v>199</v>
      </c>
      <c r="C16" s="202" t="s">
        <v>200</v>
      </c>
      <c r="D16" s="194" t="s">
        <v>201</v>
      </c>
    </row>
    <row r="17" spans="1:4" x14ac:dyDescent="0.2">
      <c r="A17" s="195" t="s">
        <v>193</v>
      </c>
      <c r="B17" s="196">
        <v>0</v>
      </c>
      <c r="C17" s="196">
        <v>0</v>
      </c>
      <c r="D17" s="196">
        <v>0</v>
      </c>
    </row>
    <row r="18" spans="1:4" x14ac:dyDescent="0.2">
      <c r="A18" s="195" t="s">
        <v>194</v>
      </c>
      <c r="B18" s="196">
        <v>-13326.463348460202</v>
      </c>
      <c r="C18" s="196">
        <v>-11124.5</v>
      </c>
      <c r="D18" s="196">
        <v>2201.96</v>
      </c>
    </row>
    <row r="19" spans="1:4" x14ac:dyDescent="0.2">
      <c r="A19" s="195" t="s">
        <v>195</v>
      </c>
      <c r="B19" s="196">
        <v>7861.4231211922488</v>
      </c>
      <c r="C19" s="196">
        <v>8003.7099999999991</v>
      </c>
      <c r="D19" s="196">
        <v>142.29999999999998</v>
      </c>
    </row>
    <row r="20" spans="1:4" x14ac:dyDescent="0.2">
      <c r="A20" s="195" t="s">
        <v>196</v>
      </c>
      <c r="B20" s="196">
        <v>138924831.57539871</v>
      </c>
      <c r="C20" s="196">
        <v>102342947.15000001</v>
      </c>
      <c r="D20" s="196">
        <v>-36581884.369999982</v>
      </c>
    </row>
    <row r="21" spans="1:4" x14ac:dyDescent="0.2">
      <c r="A21" s="195" t="s">
        <v>197</v>
      </c>
      <c r="B21" s="196">
        <v>-23260.232364067757</v>
      </c>
      <c r="C21" s="196">
        <v>-16706.400000000001</v>
      </c>
      <c r="D21" s="196">
        <v>6553.8400000000011</v>
      </c>
    </row>
    <row r="22" spans="1:4" x14ac:dyDescent="0.2">
      <c r="A22" s="197" t="s">
        <v>186</v>
      </c>
      <c r="B22" s="198">
        <v>138896106.30280739</v>
      </c>
      <c r="C22" s="198">
        <v>102323119.95999999</v>
      </c>
      <c r="D22" s="198">
        <v>-36572986.269999981</v>
      </c>
    </row>
    <row r="23" spans="1:4" x14ac:dyDescent="0.2">
      <c r="B23" s="199" t="s">
        <v>202</v>
      </c>
      <c r="C23" s="199" t="s">
        <v>203</v>
      </c>
      <c r="D23" s="199" t="s">
        <v>204</v>
      </c>
    </row>
    <row r="24" spans="1:4" x14ac:dyDescent="0.2">
      <c r="B24" s="199"/>
      <c r="C24" s="199"/>
      <c r="D24" s="199"/>
    </row>
    <row r="26" spans="1:4" x14ac:dyDescent="0.2">
      <c r="A26" s="192" t="s">
        <v>205</v>
      </c>
      <c r="B26" s="196">
        <v>-11943094.152807385</v>
      </c>
      <c r="C26" s="196">
        <v>-5682784.4499999881</v>
      </c>
      <c r="D26" s="196">
        <v>6260309.6299999803</v>
      </c>
    </row>
    <row r="27" spans="1:4" ht="15" x14ac:dyDescent="0.2">
      <c r="A27" s="192" t="s">
        <v>206</v>
      </c>
      <c r="B27" s="200">
        <v>126953012.15000001</v>
      </c>
      <c r="C27" s="200">
        <v>96640335.510000005</v>
      </c>
      <c r="D27" s="200">
        <v>-30312676.640000001</v>
      </c>
    </row>
    <row r="28" spans="1:4" ht="15" x14ac:dyDescent="0.2">
      <c r="B28" s="200"/>
      <c r="C28" s="200"/>
      <c r="D28" s="200"/>
    </row>
    <row r="30" spans="1:4" x14ac:dyDescent="0.2">
      <c r="A30" s="192" t="s">
        <v>207</v>
      </c>
      <c r="B30" s="196">
        <v>-10450207.383706462</v>
      </c>
      <c r="C30" s="196">
        <v>-4972436.3937499896</v>
      </c>
      <c r="D30" s="196">
        <v>5477770.9262499828</v>
      </c>
    </row>
    <row r="31" spans="1:4" x14ac:dyDescent="0.2">
      <c r="A31" s="192" t="s">
        <v>208</v>
      </c>
      <c r="B31" s="196">
        <v>116502804.76629354</v>
      </c>
      <c r="C31" s="196">
        <v>91667899.116250008</v>
      </c>
      <c r="D31" s="196">
        <v>-24834905.71375002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Summary</vt:lpstr>
      <vt:lpstr>Rush Island Plant</vt:lpstr>
      <vt:lpstr>Additions - Revised</vt:lpstr>
      <vt:lpstr>Comparison</vt:lpstr>
      <vt:lpstr>Financing Costs</vt:lpstr>
      <vt:lpstr>ARO</vt:lpstr>
      <vt:lpstr>ARO - Revised</vt:lpstr>
      <vt:lpstr>ADIT</vt:lpstr>
      <vt:lpstr>Def Tax</vt:lpstr>
      <vt:lpstr>CWIP</vt:lpstr>
      <vt:lpstr>Water Treatment</vt:lpstr>
      <vt:lpstr>Basemat</vt:lpstr>
      <vt:lpstr>Summary!Print_Area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Majors, Keith</dc:creator>
  <cp:lastModifiedBy>Walthers, Emily</cp:lastModifiedBy>
  <cp:lastPrinted>2024-02-23T17:31:02Z</cp:lastPrinted>
  <dcterms:created xsi:type="dcterms:W3CDTF">2024-02-20T20:36:54Z</dcterms:created>
  <dcterms:modified xsi:type="dcterms:W3CDTF">2024-04-24T14:13:46Z</dcterms:modified>
</cp:coreProperties>
</file>