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R:\Regulatory\Regulatory Accounting\Projects\KCPL-MO and GMO MEEIA Cycle 3\Cycle 3 semi-annual filing 2024-06\"/>
    </mc:Choice>
  </mc:AlternateContent>
  <xr:revisionPtr revIDLastSave="0" documentId="8_{C0F53F90-75D3-4543-A28E-89F8E03926F2}" xr6:coauthVersionLast="47" xr6:coauthVersionMax="47" xr10:uidLastSave="{00000000-0000-0000-0000-000000000000}"/>
  <bookViews>
    <workbookView xWindow="28680" yWindow="-120" windowWidth="29040" windowHeight="15840" tabRatio="866" activeTab="1" xr2:uid="{8690212B-B535-4FDF-9D1C-29C7613AE015}"/>
  </bookViews>
  <sheets>
    <sheet name="Index Table of Contents" sheetId="32" r:id="rId1"/>
    <sheet name="Tariff Tables" sheetId="5" r:id="rId2"/>
    <sheet name="DSIM Cycle Tables" sheetId="20" r:id="rId3"/>
    <sheet name="PPC Cycle 3" sheetId="18" r:id="rId4"/>
    <sheet name="PCR Cycle 2" sheetId="15" r:id="rId5"/>
    <sheet name="PCR Cycle 3" sheetId="22" r:id="rId6"/>
    <sheet name="PCR Cycle 4" sheetId="35" r:id="rId7"/>
    <sheet name="PTD Cycle 2" sheetId="12" r:id="rId8"/>
    <sheet name="PTD Cycle 3" sheetId="19" r:id="rId9"/>
    <sheet name="TDR Cycle 2" sheetId="16" r:id="rId10"/>
    <sheet name="TDR Cycle 3" sheetId="24" r:id="rId11"/>
    <sheet name="EO Cycle 2" sheetId="8" r:id="rId12"/>
    <sheet name="EO Cycle 3" sheetId="28" r:id="rId13"/>
    <sheet name="EOR Cycle 2" sheetId="23" r:id="rId14"/>
    <sheet name="EOR Cycle 3" sheetId="29" r:id="rId15"/>
    <sheet name="OA Cycle 2" sheetId="10" r:id="rId16"/>
    <sheet name="OA Cycle 3" sheetId="30" r:id="rId17"/>
    <sheet name="OAR Cycle 2" sheetId="13" r:id="rId18"/>
    <sheet name="OAR Cycle 3" sheetId="31"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xlnm.Print_Area" localSheetId="4">'PCR Cycle 2'!$A$1:$N$64</definedName>
    <definedName name="_xlnm.Print_Area" localSheetId="5">'PCR Cycle 3'!$A$1:$O$64</definedName>
    <definedName name="_xlnm.Print_Area" localSheetId="6">'PCR Cycle 4'!$A$1:$O$64</definedName>
    <definedName name="ServClassMapping">#REF!</definedName>
    <definedName name="solver_adj" localSheetId="4" hidden="1">'PCR Cycle 2'!$E$47</definedName>
    <definedName name="solver_adj" localSheetId="5" hidden="1">'PCR Cycle 3'!$F$45</definedName>
    <definedName name="solver_adj" localSheetId="6" hidden="1">'PCR Cycle 4'!$F$45</definedName>
    <definedName name="solver_adj" localSheetId="9" hidden="1">'TDR Cycle 2'!#REF!</definedName>
    <definedName name="solver_adj" localSheetId="10" hidden="1">'TDR Cycle 3'!#REF!</definedName>
    <definedName name="solver_cvg" localSheetId="4" hidden="1">0.0001</definedName>
    <definedName name="solver_cvg" localSheetId="5" hidden="1">0.0001</definedName>
    <definedName name="solver_cvg" localSheetId="6" hidden="1">0.0001</definedName>
    <definedName name="solver_cvg" localSheetId="9" hidden="1">0.0001</definedName>
    <definedName name="solver_cvg" localSheetId="10" hidden="1">0.0001</definedName>
    <definedName name="solver_drv" localSheetId="4" hidden="1">1</definedName>
    <definedName name="solver_drv" localSheetId="5" hidden="1">1</definedName>
    <definedName name="solver_drv" localSheetId="6" hidden="1">1</definedName>
    <definedName name="solver_drv" localSheetId="9" hidden="1">2</definedName>
    <definedName name="solver_drv" localSheetId="10" hidden="1">2</definedName>
    <definedName name="solver_eng" localSheetId="4" hidden="1">1</definedName>
    <definedName name="solver_eng" localSheetId="5" hidden="1">1</definedName>
    <definedName name="solver_eng" localSheetId="6" hidden="1">1</definedName>
    <definedName name="solver_eng" localSheetId="9" hidden="1">1</definedName>
    <definedName name="solver_eng" localSheetId="10" hidden="1">1</definedName>
    <definedName name="solver_est" localSheetId="4" hidden="1">1</definedName>
    <definedName name="solver_est" localSheetId="5" hidden="1">1</definedName>
    <definedName name="solver_est" localSheetId="6" hidden="1">1</definedName>
    <definedName name="solver_est" localSheetId="9" hidden="1">1</definedName>
    <definedName name="solver_est" localSheetId="10" hidden="1">1</definedName>
    <definedName name="solver_itr" localSheetId="4" hidden="1">2147483647</definedName>
    <definedName name="solver_itr" localSheetId="5" hidden="1">2147483647</definedName>
    <definedName name="solver_itr" localSheetId="6" hidden="1">2147483647</definedName>
    <definedName name="solver_itr" localSheetId="9" hidden="1">2147483647</definedName>
    <definedName name="solver_itr" localSheetId="10" hidden="1">2147483647</definedName>
    <definedName name="solver_mip" localSheetId="4" hidden="1">2147483647</definedName>
    <definedName name="solver_mip" localSheetId="5" hidden="1">2147483647</definedName>
    <definedName name="solver_mip" localSheetId="6" hidden="1">2147483647</definedName>
    <definedName name="solver_mip" localSheetId="9" hidden="1">2147483647</definedName>
    <definedName name="solver_mip" localSheetId="10" hidden="1">2147483647</definedName>
    <definedName name="solver_mni" localSheetId="4" hidden="1">30</definedName>
    <definedName name="solver_mni" localSheetId="5" hidden="1">30</definedName>
    <definedName name="solver_mni" localSheetId="6" hidden="1">30</definedName>
    <definedName name="solver_mni" localSheetId="9" hidden="1">30</definedName>
    <definedName name="solver_mni" localSheetId="10" hidden="1">30</definedName>
    <definedName name="solver_mrt" localSheetId="4" hidden="1">0.075</definedName>
    <definedName name="solver_mrt" localSheetId="5" hidden="1">0.075</definedName>
    <definedName name="solver_mrt" localSheetId="6" hidden="1">0.075</definedName>
    <definedName name="solver_mrt" localSheetId="9" hidden="1">0.075</definedName>
    <definedName name="solver_mrt" localSheetId="10" hidden="1">0.075</definedName>
    <definedName name="solver_msl" localSheetId="4" hidden="1">2</definedName>
    <definedName name="solver_msl" localSheetId="5" hidden="1">2</definedName>
    <definedName name="solver_msl" localSheetId="6" hidden="1">2</definedName>
    <definedName name="solver_msl" localSheetId="9" hidden="1">2</definedName>
    <definedName name="solver_msl" localSheetId="10" hidden="1">2</definedName>
    <definedName name="solver_neg" localSheetId="4" hidden="1">1</definedName>
    <definedName name="solver_neg" localSheetId="5" hidden="1">1</definedName>
    <definedName name="solver_neg" localSheetId="6" hidden="1">1</definedName>
    <definedName name="solver_neg" localSheetId="9" hidden="1">1</definedName>
    <definedName name="solver_neg" localSheetId="10" hidden="1">1</definedName>
    <definedName name="solver_nod" localSheetId="4" hidden="1">2147483647</definedName>
    <definedName name="solver_nod" localSheetId="5" hidden="1">2147483647</definedName>
    <definedName name="solver_nod" localSheetId="6" hidden="1">2147483647</definedName>
    <definedName name="solver_nod" localSheetId="9" hidden="1">2147483647</definedName>
    <definedName name="solver_nod" localSheetId="10" hidden="1">2147483647</definedName>
    <definedName name="solver_num" localSheetId="4" hidden="1">0</definedName>
    <definedName name="solver_num" localSheetId="5" hidden="1">0</definedName>
    <definedName name="solver_num" localSheetId="6" hidden="1">0</definedName>
    <definedName name="solver_num" localSheetId="9" hidden="1">0</definedName>
    <definedName name="solver_num" localSheetId="10" hidden="1">0</definedName>
    <definedName name="solver_nwt" localSheetId="4" hidden="1">1</definedName>
    <definedName name="solver_nwt" localSheetId="5" hidden="1">1</definedName>
    <definedName name="solver_nwt" localSheetId="6" hidden="1">1</definedName>
    <definedName name="solver_nwt" localSheetId="9" hidden="1">1</definedName>
    <definedName name="solver_nwt" localSheetId="10" hidden="1">1</definedName>
    <definedName name="solver_opt" localSheetId="4" hidden="1">'PCR Cycle 2'!$E$52</definedName>
    <definedName name="solver_opt" localSheetId="5" hidden="1">'PCR Cycle 3'!$F$52</definedName>
    <definedName name="solver_opt" localSheetId="6" hidden="1">'PCR Cycle 4'!$F$52</definedName>
    <definedName name="solver_opt" localSheetId="9" hidden="1">'TDR Cycle 2'!#REF!</definedName>
    <definedName name="solver_opt" localSheetId="10" hidden="1">'TDR Cycle 3'!#REF!</definedName>
    <definedName name="solver_pre" localSheetId="4" hidden="1">0.000001</definedName>
    <definedName name="solver_pre" localSheetId="5" hidden="1">0.000001</definedName>
    <definedName name="solver_pre" localSheetId="6" hidden="1">0.000001</definedName>
    <definedName name="solver_pre" localSheetId="9" hidden="1">0.000001</definedName>
    <definedName name="solver_pre" localSheetId="10" hidden="1">0.000001</definedName>
    <definedName name="solver_rbv" localSheetId="4" hidden="1">1</definedName>
    <definedName name="solver_rbv" localSheetId="5" hidden="1">1</definedName>
    <definedName name="solver_rbv" localSheetId="6" hidden="1">1</definedName>
    <definedName name="solver_rbv" localSheetId="9" hidden="1">2</definedName>
    <definedName name="solver_rbv" localSheetId="10" hidden="1">2</definedName>
    <definedName name="solver_rlx" localSheetId="4" hidden="1">2</definedName>
    <definedName name="solver_rlx" localSheetId="5" hidden="1">2</definedName>
    <definedName name="solver_rlx" localSheetId="6" hidden="1">2</definedName>
    <definedName name="solver_rlx" localSheetId="9" hidden="1">2</definedName>
    <definedName name="solver_rlx" localSheetId="10" hidden="1">2</definedName>
    <definedName name="solver_rsd" localSheetId="4" hidden="1">0</definedName>
    <definedName name="solver_rsd" localSheetId="5" hidden="1">0</definedName>
    <definedName name="solver_rsd" localSheetId="6" hidden="1">0</definedName>
    <definedName name="solver_rsd" localSheetId="9" hidden="1">0</definedName>
    <definedName name="solver_rsd" localSheetId="10" hidden="1">0</definedName>
    <definedName name="solver_scl" localSheetId="4" hidden="1">1</definedName>
    <definedName name="solver_scl" localSheetId="5" hidden="1">1</definedName>
    <definedName name="solver_scl" localSheetId="6" hidden="1">1</definedName>
    <definedName name="solver_scl" localSheetId="9" hidden="1">2</definedName>
    <definedName name="solver_scl" localSheetId="10" hidden="1">2</definedName>
    <definedName name="solver_sho" localSheetId="4" hidden="1">2</definedName>
    <definedName name="solver_sho" localSheetId="5" hidden="1">2</definedName>
    <definedName name="solver_sho" localSheetId="6" hidden="1">2</definedName>
    <definedName name="solver_sho" localSheetId="9" hidden="1">2</definedName>
    <definedName name="solver_sho" localSheetId="10" hidden="1">2</definedName>
    <definedName name="solver_ssz" localSheetId="4" hidden="1">100</definedName>
    <definedName name="solver_ssz" localSheetId="5" hidden="1">100</definedName>
    <definedName name="solver_ssz" localSheetId="6" hidden="1">100</definedName>
    <definedName name="solver_ssz" localSheetId="9" hidden="1">100</definedName>
    <definedName name="solver_ssz" localSheetId="10" hidden="1">100</definedName>
    <definedName name="solver_tim" localSheetId="4" hidden="1">2147483647</definedName>
    <definedName name="solver_tim" localSheetId="5" hidden="1">2147483647</definedName>
    <definedName name="solver_tim" localSheetId="6" hidden="1">2147483647</definedName>
    <definedName name="solver_tim" localSheetId="9" hidden="1">2147483647</definedName>
    <definedName name="solver_tim" localSheetId="10" hidden="1">2147483647</definedName>
    <definedName name="solver_tol" localSheetId="4" hidden="1">0.01</definedName>
    <definedName name="solver_tol" localSheetId="5" hidden="1">0.01</definedName>
    <definedName name="solver_tol" localSheetId="6" hidden="1">0.01</definedName>
    <definedName name="solver_tol" localSheetId="9" hidden="1">0.01</definedName>
    <definedName name="solver_tol" localSheetId="10" hidden="1">0.01</definedName>
    <definedName name="solver_typ" localSheetId="4" hidden="1">3</definedName>
    <definedName name="solver_typ" localSheetId="5" hidden="1">3</definedName>
    <definedName name="solver_typ" localSheetId="6" hidden="1">3</definedName>
    <definedName name="solver_typ" localSheetId="9" hidden="1">3</definedName>
    <definedName name="solver_typ" localSheetId="10" hidden="1">3</definedName>
    <definedName name="solver_val" localSheetId="4" hidden="1">0</definedName>
    <definedName name="solver_val" localSheetId="5" hidden="1">0</definedName>
    <definedName name="solver_val" localSheetId="6" hidden="1">0</definedName>
    <definedName name="solver_val" localSheetId="9" hidden="1">23888.44</definedName>
    <definedName name="solver_val" localSheetId="10" hidden="1">23888.44</definedName>
    <definedName name="solver_ver" localSheetId="4" hidden="1">3</definedName>
    <definedName name="solver_ver" localSheetId="5" hidden="1">3</definedName>
    <definedName name="solver_ver" localSheetId="6" hidden="1">3</definedName>
    <definedName name="solver_ver" localSheetId="9" hidden="1">3</definedName>
    <definedName name="solver_ver" localSheetId="10"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7" i="22" l="1"/>
  <c r="L16" i="22"/>
  <c r="L15" i="22"/>
  <c r="L14" i="22"/>
  <c r="K17" i="22" l="1"/>
  <c r="K16" i="22"/>
  <c r="K15" i="22"/>
  <c r="K14" i="22"/>
  <c r="M20" i="22" l="1"/>
  <c r="L20" i="22"/>
  <c r="K20" i="22"/>
  <c r="J17" i="22" l="1"/>
  <c r="I17" i="22"/>
  <c r="H17" i="22"/>
  <c r="G17" i="22"/>
  <c r="F17" i="22"/>
  <c r="E17" i="22"/>
  <c r="J16" i="22"/>
  <c r="I16" i="22"/>
  <c r="H16" i="22"/>
  <c r="G16" i="22"/>
  <c r="F16" i="22"/>
  <c r="E16" i="22"/>
  <c r="J15" i="22"/>
  <c r="I15" i="22"/>
  <c r="H15" i="22"/>
  <c r="G15" i="22"/>
  <c r="F15" i="22"/>
  <c r="E15" i="22"/>
  <c r="J14" i="22"/>
  <c r="I14" i="22"/>
  <c r="H14" i="22"/>
  <c r="G14" i="22"/>
  <c r="F14" i="22"/>
  <c r="E14" i="22"/>
  <c r="H34" i="15"/>
  <c r="G34" i="15"/>
  <c r="F34" i="15"/>
  <c r="E34" i="15"/>
  <c r="D34" i="15"/>
  <c r="I33" i="15"/>
  <c r="H33" i="15"/>
  <c r="G33" i="15"/>
  <c r="F33" i="15"/>
  <c r="E33" i="15"/>
  <c r="D33" i="15"/>
  <c r="I32" i="15"/>
  <c r="H32" i="15"/>
  <c r="G32" i="15"/>
  <c r="F32" i="15"/>
  <c r="E32" i="15"/>
  <c r="D32" i="15"/>
  <c r="K10" i="15"/>
  <c r="K9" i="15"/>
  <c r="K8" i="15"/>
  <c r="D7" i="18"/>
  <c r="D6" i="18"/>
  <c r="D5" i="18"/>
  <c r="B5" i="18"/>
  <c r="D8" i="18"/>
  <c r="I35" i="15"/>
  <c r="H35" i="15"/>
  <c r="G35" i="15"/>
  <c r="F35" i="15"/>
  <c r="E35" i="15"/>
  <c r="D35" i="15"/>
  <c r="I34" i="15"/>
  <c r="F17" i="35"/>
  <c r="F16" i="35"/>
  <c r="F15" i="35"/>
  <c r="F14" i="35"/>
  <c r="J23" i="22" l="1"/>
  <c r="J22" i="22"/>
  <c r="J21" i="22"/>
  <c r="J20" i="22"/>
  <c r="I23" i="22"/>
  <c r="I22" i="22"/>
  <c r="I21" i="22"/>
  <c r="I20" i="22"/>
  <c r="H23" i="22"/>
  <c r="H22" i="22"/>
  <c r="H21" i="22"/>
  <c r="H20" i="22"/>
  <c r="G23" i="22"/>
  <c r="G22" i="22"/>
  <c r="G21" i="22"/>
  <c r="G20" i="22"/>
  <c r="F23" i="22"/>
  <c r="F22" i="22"/>
  <c r="F21" i="22"/>
  <c r="F20" i="22"/>
  <c r="E23" i="22"/>
  <c r="E22" i="22"/>
  <c r="E21" i="22"/>
  <c r="E20" i="22"/>
  <c r="E29" i="22"/>
  <c r="E28" i="22"/>
  <c r="E27" i="22"/>
  <c r="E26" i="22"/>
  <c r="E21" i="16"/>
  <c r="E20" i="16"/>
  <c r="E19" i="16"/>
  <c r="E18" i="16"/>
  <c r="E18" i="24"/>
  <c r="E17" i="24"/>
  <c r="E16" i="24"/>
  <c r="E15" i="24"/>
  <c r="D21" i="23"/>
  <c r="D20" i="23"/>
  <c r="D19" i="23"/>
  <c r="D18" i="23"/>
  <c r="D18" i="29"/>
  <c r="D17" i="29"/>
  <c r="D16" i="29"/>
  <c r="D15" i="29"/>
  <c r="D19" i="13"/>
  <c r="D18" i="13"/>
  <c r="D23" i="31"/>
  <c r="D22" i="31"/>
  <c r="D21" i="31"/>
  <c r="D20" i="31"/>
  <c r="E79" i="28" l="1"/>
  <c r="E78" i="28"/>
  <c r="E77" i="28"/>
  <c r="E73" i="28"/>
  <c r="D79" i="28"/>
  <c r="D78" i="28"/>
  <c r="D77" i="28"/>
  <c r="D73" i="28"/>
  <c r="C79" i="28"/>
  <c r="C78" i="28"/>
  <c r="C77" i="28"/>
  <c r="C73" i="28"/>
  <c r="I26" i="29" l="1"/>
  <c r="H26" i="29"/>
  <c r="G26" i="29"/>
  <c r="F26" i="29"/>
  <c r="E26" i="29"/>
  <c r="D26" i="29"/>
  <c r="I18" i="29"/>
  <c r="I17" i="29"/>
  <c r="I16" i="29"/>
  <c r="I15" i="29"/>
  <c r="H18" i="29"/>
  <c r="H17" i="29"/>
  <c r="H16" i="29"/>
  <c r="H15" i="29"/>
  <c r="G18" i="29"/>
  <c r="G17" i="29"/>
  <c r="G16" i="29"/>
  <c r="G15" i="29"/>
  <c r="F18" i="29"/>
  <c r="F17" i="29"/>
  <c r="F16" i="29"/>
  <c r="F15" i="29"/>
  <c r="E18" i="29"/>
  <c r="E17" i="29"/>
  <c r="E16" i="29"/>
  <c r="E15" i="29"/>
  <c r="B101" i="28"/>
  <c r="B100" i="28"/>
  <c r="B99" i="28"/>
  <c r="B96" i="28" s="1"/>
  <c r="B95" i="28"/>
  <c r="F95" i="28" s="1"/>
  <c r="C90" i="28"/>
  <c r="D90" i="28"/>
  <c r="E90" i="28"/>
  <c r="E89" i="28"/>
  <c r="D89" i="28"/>
  <c r="C89" i="28"/>
  <c r="E88" i="28"/>
  <c r="D88" i="28"/>
  <c r="C88" i="28"/>
  <c r="E84" i="28"/>
  <c r="D84" i="28"/>
  <c r="C84" i="28"/>
  <c r="F84" i="28" s="1"/>
  <c r="B73" i="28"/>
  <c r="B77" i="28"/>
  <c r="B78" i="28"/>
  <c r="B79" i="28"/>
  <c r="E96" i="28"/>
  <c r="D102" i="28"/>
  <c r="C102" i="28"/>
  <c r="D96" i="28"/>
  <c r="D97" i="28"/>
  <c r="B102" i="28" l="1"/>
  <c r="F90" i="28"/>
  <c r="G90" i="28" s="1"/>
  <c r="F101" i="28"/>
  <c r="G101" i="28" s="1"/>
  <c r="F100" i="28"/>
  <c r="G100" i="28" s="1"/>
  <c r="G95" i="28"/>
  <c r="E97" i="28"/>
  <c r="F99" i="28"/>
  <c r="C96" i="28"/>
  <c r="C97" i="28" s="1"/>
  <c r="B85" i="28"/>
  <c r="B86" i="28" s="1"/>
  <c r="C85" i="28"/>
  <c r="C86" i="28" s="1"/>
  <c r="B91" i="28"/>
  <c r="B97" i="28"/>
  <c r="E102" i="28"/>
  <c r="D91" i="28"/>
  <c r="F89" i="28"/>
  <c r="G89" i="28" s="1"/>
  <c r="E91" i="28"/>
  <c r="G84" i="28"/>
  <c r="E85" i="28"/>
  <c r="E86" i="28" s="1"/>
  <c r="F88" i="28"/>
  <c r="D85" i="28"/>
  <c r="D86" i="28" s="1"/>
  <c r="C91" i="28"/>
  <c r="F102" i="28" l="1"/>
  <c r="G99" i="28"/>
  <c r="G102" i="28" s="1"/>
  <c r="F96" i="28"/>
  <c r="F91" i="28"/>
  <c r="G88" i="28"/>
  <c r="G91" i="28" s="1"/>
  <c r="F85" i="28"/>
  <c r="G96" i="28" l="1"/>
  <c r="G97" i="28" s="1"/>
  <c r="F97" i="28"/>
  <c r="G85" i="28"/>
  <c r="G86" i="28" s="1"/>
  <c r="F86" i="28"/>
  <c r="F18" i="24" l="1"/>
  <c r="F17" i="24"/>
  <c r="F16" i="24"/>
  <c r="F15" i="24"/>
  <c r="G18" i="24"/>
  <c r="G17" i="24"/>
  <c r="G16" i="24"/>
  <c r="G15" i="24"/>
  <c r="H18" i="24"/>
  <c r="H17" i="24"/>
  <c r="H16" i="24"/>
  <c r="H15" i="24"/>
  <c r="I18" i="24"/>
  <c r="I17" i="24"/>
  <c r="I16" i="24"/>
  <c r="I15" i="24"/>
  <c r="J18" i="24"/>
  <c r="J17" i="24"/>
  <c r="J16" i="24"/>
  <c r="J15" i="24"/>
  <c r="E9" i="19" l="1"/>
  <c r="E8" i="19"/>
  <c r="D8" i="19"/>
  <c r="D9" i="19"/>
  <c r="E7" i="19" l="1"/>
  <c r="E6" i="19"/>
  <c r="D7" i="19"/>
  <c r="D6" i="19"/>
  <c r="E23" i="24" l="1"/>
  <c r="E21" i="24"/>
  <c r="E24" i="24"/>
  <c r="E22" i="24"/>
  <c r="E27" i="24" l="1"/>
  <c r="E30" i="24" l="1"/>
  <c r="F21" i="24"/>
  <c r="F23" i="24"/>
  <c r="F22" i="24"/>
  <c r="F24" i="24"/>
  <c r="E29" i="24"/>
  <c r="E28" i="24"/>
  <c r="F30" i="24" l="1"/>
  <c r="F29" i="24"/>
  <c r="G22" i="24"/>
  <c r="G24" i="24"/>
  <c r="G23" i="24"/>
  <c r="G21" i="24"/>
  <c r="F27" i="24"/>
  <c r="F28" i="24"/>
  <c r="G30" i="24" l="1"/>
  <c r="G27" i="24"/>
  <c r="G29" i="24"/>
  <c r="H21" i="24"/>
  <c r="H24" i="24"/>
  <c r="H22" i="24"/>
  <c r="H23" i="24"/>
  <c r="G28" i="24" l="1"/>
  <c r="H29" i="24"/>
  <c r="I23" i="24"/>
  <c r="I21" i="24"/>
  <c r="I24" i="24"/>
  <c r="I22" i="24"/>
  <c r="I27" i="24" l="1"/>
  <c r="H27" i="24"/>
  <c r="H28" i="24"/>
  <c r="H30" i="24"/>
  <c r="I29" i="24"/>
  <c r="I30" i="24"/>
  <c r="J24" i="24"/>
  <c r="J23" i="24"/>
  <c r="J21" i="24"/>
  <c r="J22" i="24"/>
  <c r="J30" i="24" l="1"/>
  <c r="I28" i="24"/>
  <c r="J27" i="24"/>
  <c r="J29" i="24"/>
  <c r="K24" i="24"/>
  <c r="K23" i="24"/>
  <c r="K22" i="24"/>
  <c r="K21" i="24"/>
  <c r="K29" i="24" l="1"/>
  <c r="K30" i="24"/>
  <c r="J28" i="24"/>
  <c r="L24" i="24"/>
  <c r="L22" i="24"/>
  <c r="L23" i="24"/>
  <c r="L21" i="24"/>
  <c r="L30" i="24" l="1"/>
  <c r="L29" i="24"/>
  <c r="K28" i="24"/>
  <c r="K27" i="24"/>
  <c r="L27" i="24" l="1"/>
  <c r="L28" i="24"/>
  <c r="B8" i="19" l="1"/>
  <c r="B9" i="19"/>
  <c r="B7" i="19"/>
  <c r="B6" i="19" l="1"/>
  <c r="F6" i="19" l="1"/>
  <c r="F9" i="19"/>
  <c r="F8" i="19"/>
  <c r="F7" i="19"/>
  <c r="F10" i="19" l="1"/>
  <c r="I23" i="31" l="1"/>
  <c r="I22" i="31"/>
  <c r="I21" i="31"/>
  <c r="I20" i="31"/>
  <c r="H23" i="31"/>
  <c r="H22" i="31"/>
  <c r="H21" i="31"/>
  <c r="H20" i="31"/>
  <c r="G23" i="31"/>
  <c r="G22" i="31"/>
  <c r="G21" i="31"/>
  <c r="G20" i="31"/>
  <c r="F23" i="31"/>
  <c r="F22" i="31"/>
  <c r="F21" i="31"/>
  <c r="F20" i="31"/>
  <c r="E23" i="31"/>
  <c r="E22" i="31"/>
  <c r="E21" i="31"/>
  <c r="E20" i="31"/>
  <c r="F29" i="22" l="1"/>
  <c r="F28" i="22"/>
  <c r="F27" i="22"/>
  <c r="F26" i="22"/>
  <c r="G29" i="22"/>
  <c r="G28" i="22"/>
  <c r="G27" i="22"/>
  <c r="G26" i="22"/>
  <c r="H29" i="22"/>
  <c r="H28" i="22"/>
  <c r="H27" i="22"/>
  <c r="H26" i="22"/>
  <c r="I29" i="22"/>
  <c r="I28" i="22"/>
  <c r="I27" i="22"/>
  <c r="I26" i="22"/>
  <c r="J29" i="22"/>
  <c r="J28" i="22"/>
  <c r="J27" i="22"/>
  <c r="J26" i="22"/>
  <c r="M20" i="35"/>
  <c r="L20" i="35"/>
  <c r="K20" i="35"/>
  <c r="I19" i="13" l="1"/>
  <c r="I18" i="13"/>
  <c r="H19" i="13"/>
  <c r="H18" i="13"/>
  <c r="G19" i="13"/>
  <c r="G18" i="13"/>
  <c r="F19" i="13"/>
  <c r="F18" i="13"/>
  <c r="E19" i="13"/>
  <c r="E18" i="13"/>
  <c r="I29" i="23"/>
  <c r="H29" i="23"/>
  <c r="G29" i="23"/>
  <c r="F29" i="23"/>
  <c r="E29" i="23"/>
  <c r="D29" i="23"/>
  <c r="K27" i="23" l="1"/>
  <c r="J27" i="23"/>
  <c r="K26" i="23"/>
  <c r="J26" i="23"/>
  <c r="K25" i="23"/>
  <c r="J25" i="23"/>
  <c r="K24" i="23"/>
  <c r="J24" i="23"/>
  <c r="I27" i="23"/>
  <c r="H27" i="23"/>
  <c r="I26" i="23"/>
  <c r="H26" i="23"/>
  <c r="I25" i="23"/>
  <c r="H25" i="23"/>
  <c r="I24" i="23"/>
  <c r="H24" i="23"/>
  <c r="G27" i="23"/>
  <c r="G26" i="23"/>
  <c r="G25" i="23"/>
  <c r="G24" i="23"/>
  <c r="F27" i="23"/>
  <c r="E27" i="23"/>
  <c r="F26" i="23"/>
  <c r="E26" i="23"/>
  <c r="F25" i="23"/>
  <c r="E25" i="23"/>
  <c r="F24" i="23"/>
  <c r="E24" i="23"/>
  <c r="D27" i="23"/>
  <c r="D26" i="23"/>
  <c r="D25" i="23"/>
  <c r="D24" i="23"/>
  <c r="F19" i="16"/>
  <c r="G19" i="16"/>
  <c r="H19" i="16"/>
  <c r="I19" i="16"/>
  <c r="J19" i="16"/>
  <c r="F20" i="16"/>
  <c r="G20" i="16"/>
  <c r="H20" i="16"/>
  <c r="I20" i="16"/>
  <c r="J20" i="16"/>
  <c r="F21" i="16"/>
  <c r="G21" i="16"/>
  <c r="H21" i="16"/>
  <c r="I21" i="16"/>
  <c r="J21" i="16"/>
  <c r="J18" i="16"/>
  <c r="I18" i="16"/>
  <c r="H18" i="16"/>
  <c r="G18" i="16"/>
  <c r="F18" i="16"/>
  <c r="I21" i="23"/>
  <c r="I20" i="23"/>
  <c r="I19" i="23"/>
  <c r="I18" i="23"/>
  <c r="H21" i="23"/>
  <c r="H20" i="23"/>
  <c r="H19" i="23"/>
  <c r="H18" i="23"/>
  <c r="G21" i="23"/>
  <c r="G20" i="23"/>
  <c r="G19" i="23"/>
  <c r="G18" i="23"/>
  <c r="F21" i="23"/>
  <c r="F20" i="23"/>
  <c r="F19" i="23"/>
  <c r="F18" i="23"/>
  <c r="E21" i="23"/>
  <c r="E20" i="23"/>
  <c r="E19" i="23"/>
  <c r="E18" i="23"/>
  <c r="G76" i="8"/>
  <c r="G75" i="8"/>
  <c r="G74" i="8"/>
  <c r="G70" i="8"/>
  <c r="G66" i="8"/>
  <c r="G65" i="8"/>
  <c r="G64" i="8"/>
  <c r="G60" i="8"/>
  <c r="G56" i="8"/>
  <c r="G51" i="8" s="1"/>
  <c r="G55" i="8"/>
  <c r="G54" i="8"/>
  <c r="G50" i="8"/>
  <c r="E45" i="22" l="1"/>
  <c r="F45" i="22"/>
  <c r="G45" i="22"/>
  <c r="H45" i="22"/>
  <c r="I45" i="22"/>
  <c r="J45" i="22"/>
  <c r="E24" i="20" l="1"/>
  <c r="D24" i="20"/>
  <c r="C24" i="20"/>
  <c r="E23" i="20"/>
  <c r="D23" i="20"/>
  <c r="C23" i="20"/>
  <c r="E22" i="20"/>
  <c r="D22" i="20"/>
  <c r="C22" i="20"/>
  <c r="E21" i="20"/>
  <c r="D21" i="20"/>
  <c r="C21" i="20"/>
  <c r="B54" i="35"/>
  <c r="C54" i="35" s="1"/>
  <c r="M52" i="35"/>
  <c r="H37" i="35"/>
  <c r="G37" i="35"/>
  <c r="D37" i="35"/>
  <c r="C37" i="35"/>
  <c r="C43" i="35" s="1"/>
  <c r="F36" i="35"/>
  <c r="E36" i="35"/>
  <c r="D36" i="35"/>
  <c r="C36" i="35"/>
  <c r="C42" i="35" s="1"/>
  <c r="J35" i="35"/>
  <c r="D35" i="35"/>
  <c r="C35" i="35"/>
  <c r="C41" i="35" s="1"/>
  <c r="I34" i="35"/>
  <c r="E34" i="35"/>
  <c r="D34" i="35"/>
  <c r="C34" i="35"/>
  <c r="C40" i="35" s="1"/>
  <c r="F37" i="35"/>
  <c r="M26" i="35"/>
  <c r="L26" i="35"/>
  <c r="K26" i="35"/>
  <c r="P17" i="35"/>
  <c r="J37" i="35"/>
  <c r="I37" i="35"/>
  <c r="G7" i="35"/>
  <c r="J36" i="35"/>
  <c r="I36" i="35"/>
  <c r="H36" i="35"/>
  <c r="G36" i="35"/>
  <c r="G6" i="35"/>
  <c r="G5" i="35"/>
  <c r="I35" i="35"/>
  <c r="H35" i="35"/>
  <c r="G35" i="35"/>
  <c r="F35" i="35"/>
  <c r="E35" i="35"/>
  <c r="P14" i="35"/>
  <c r="J34" i="35"/>
  <c r="H34" i="35"/>
  <c r="G34" i="35"/>
  <c r="F34" i="35"/>
  <c r="E11" i="35"/>
  <c r="C10" i="35"/>
  <c r="B10" i="35"/>
  <c r="I7" i="35"/>
  <c r="I6" i="35"/>
  <c r="I5" i="35"/>
  <c r="I4" i="35"/>
  <c r="A1" i="35"/>
  <c r="P26" i="35" l="1"/>
  <c r="E49" i="35"/>
  <c r="I8" i="35"/>
  <c r="K34" i="35"/>
  <c r="P20" i="35"/>
  <c r="L34" i="35"/>
  <c r="F4" i="35"/>
  <c r="E48" i="35"/>
  <c r="D41" i="35"/>
  <c r="E41" i="35" s="1"/>
  <c r="E4" i="35"/>
  <c r="M34" i="35"/>
  <c r="E47" i="35"/>
  <c r="D40" i="35"/>
  <c r="E40" i="35" s="1"/>
  <c r="D43" i="35"/>
  <c r="E43" i="35" s="1"/>
  <c r="P16" i="35"/>
  <c r="D42" i="35"/>
  <c r="E42" i="35" s="1"/>
  <c r="P15" i="35"/>
  <c r="E37" i="35"/>
  <c r="E50" i="35" s="1"/>
  <c r="G4" i="35"/>
  <c r="E54" i="35" l="1"/>
  <c r="F42" i="35"/>
  <c r="F49" i="35"/>
  <c r="H4" i="35"/>
  <c r="G8" i="35"/>
  <c r="F48" i="35"/>
  <c r="F41" i="35"/>
  <c r="F47" i="35"/>
  <c r="F40" i="35"/>
  <c r="F50" i="35"/>
  <c r="F43" i="35"/>
  <c r="E52" i="35"/>
  <c r="F52" i="35" l="1"/>
  <c r="G48" i="35"/>
  <c r="G41" i="35"/>
  <c r="G42" i="35"/>
  <c r="G49" i="35"/>
  <c r="G43" i="35"/>
  <c r="G50" i="35"/>
  <c r="E51" i="35"/>
  <c r="F54" i="35"/>
  <c r="G47" i="35"/>
  <c r="G40" i="35"/>
  <c r="H43" i="35" l="1"/>
  <c r="H50" i="35"/>
  <c r="H42" i="35"/>
  <c r="H49" i="35"/>
  <c r="G52" i="35"/>
  <c r="H47" i="35"/>
  <c r="H40" i="35"/>
  <c r="H48" i="35"/>
  <c r="H41" i="35"/>
  <c r="F51" i="35"/>
  <c r="G54" i="35"/>
  <c r="I43" i="35" l="1"/>
  <c r="I50" i="35"/>
  <c r="H52" i="35"/>
  <c r="I48" i="35"/>
  <c r="I41" i="35"/>
  <c r="I47" i="35"/>
  <c r="I40" i="35"/>
  <c r="I42" i="35"/>
  <c r="I49" i="35"/>
  <c r="G51" i="35"/>
  <c r="H54" i="35"/>
  <c r="J42" i="35" l="1"/>
  <c r="J49" i="35"/>
  <c r="J48" i="35"/>
  <c r="J41" i="35"/>
  <c r="H51" i="35"/>
  <c r="I54" i="35"/>
  <c r="J40" i="35"/>
  <c r="J47" i="35"/>
  <c r="I52" i="35"/>
  <c r="J43" i="35"/>
  <c r="J50" i="35"/>
  <c r="J52" i="35" l="1"/>
  <c r="K40" i="35"/>
  <c r="I51" i="35"/>
  <c r="J54" i="35"/>
  <c r="J51" i="35" l="1"/>
  <c r="A1" i="32" l="1"/>
  <c r="D68" i="28" l="1"/>
  <c r="D67" i="28" l="1"/>
  <c r="D62" i="28" l="1"/>
  <c r="C68" i="28"/>
  <c r="C67" i="28" l="1"/>
  <c r="C62" i="28"/>
  <c r="D66" i="28" l="1"/>
  <c r="E68" i="28"/>
  <c r="C66" i="28" l="1"/>
  <c r="E62" i="28" l="1"/>
  <c r="E66" i="28" l="1"/>
  <c r="E67" i="28" l="1"/>
  <c r="D18" i="28" l="1"/>
  <c r="D29" i="28" l="1"/>
  <c r="D33" i="28" l="1"/>
  <c r="D23" i="28"/>
  <c r="D24" i="28"/>
  <c r="D22" i="28"/>
  <c r="D34" i="28" l="1"/>
  <c r="D40" i="28" l="1"/>
  <c r="D35" i="28"/>
  <c r="D51" i="28" l="1"/>
  <c r="D55" i="28" l="1"/>
  <c r="D44" i="28"/>
  <c r="D45" i="28" l="1"/>
  <c r="D56" i="28" l="1"/>
  <c r="D46" i="28"/>
  <c r="C24" i="28"/>
  <c r="C23" i="28"/>
  <c r="C18" i="28"/>
  <c r="D57" i="28" l="1"/>
  <c r="C22" i="28" l="1"/>
  <c r="E24" i="28" l="1"/>
  <c r="E22" i="28"/>
  <c r="E18" i="28"/>
  <c r="C29" i="28" l="1"/>
  <c r="C34" i="28" l="1"/>
  <c r="C35" i="28" l="1"/>
  <c r="E23" i="28"/>
  <c r="C33" i="28" l="1"/>
  <c r="E29" i="28" l="1"/>
  <c r="E35" i="28" l="1"/>
  <c r="E33" i="28" l="1"/>
  <c r="C45" i="28" l="1"/>
  <c r="C46" i="28"/>
  <c r="E34" i="28"/>
  <c r="C56" i="28"/>
  <c r="C57" i="28"/>
  <c r="C51" i="28"/>
  <c r="C40" i="28" l="1"/>
  <c r="C44" i="28" l="1"/>
  <c r="E57" i="28"/>
  <c r="C55" i="28"/>
  <c r="E46" i="28" l="1"/>
  <c r="E40" i="28"/>
  <c r="E51" i="28"/>
  <c r="E44" i="28" l="1"/>
  <c r="E55" i="28"/>
  <c r="E45" i="28" l="1"/>
  <c r="E56" i="28"/>
  <c r="B68" i="28" l="1"/>
  <c r="B67" i="28"/>
  <c r="B66" i="28"/>
  <c r="B62" i="28"/>
  <c r="B24" i="28" l="1"/>
  <c r="B23" i="28"/>
  <c r="B22" i="28"/>
  <c r="B18" i="28"/>
  <c r="B13" i="28" l="1"/>
  <c r="B12" i="28"/>
  <c r="B11" i="28"/>
  <c r="B7" i="28"/>
  <c r="B14" i="28" l="1"/>
  <c r="B8" i="28" s="1"/>
  <c r="B113" i="28"/>
  <c r="B107" i="28"/>
  <c r="B108" i="28" l="1"/>
  <c r="D7" i="28" l="1"/>
  <c r="C107" i="28" l="1"/>
  <c r="C113" i="28"/>
  <c r="D107" i="28"/>
  <c r="D108" i="28" s="1"/>
  <c r="D113" i="28"/>
  <c r="D11" i="28"/>
  <c r="D12" i="28" l="1"/>
  <c r="D13" i="28"/>
  <c r="C12" i="28"/>
  <c r="C13" i="28"/>
  <c r="C7" i="28"/>
  <c r="C11" i="28"/>
  <c r="C108" i="28"/>
  <c r="F106" i="28" l="1"/>
  <c r="G106" i="28" l="1"/>
  <c r="F111" i="28" l="1"/>
  <c r="G111" i="28" s="1"/>
  <c r="F112" i="28" l="1"/>
  <c r="G112" i="28" s="1"/>
  <c r="E107" i="28" l="1"/>
  <c r="E113" i="28"/>
  <c r="F110" i="28"/>
  <c r="E7" i="28" l="1"/>
  <c r="E13" i="28"/>
  <c r="E11" i="28"/>
  <c r="E12" i="28"/>
  <c r="F113" i="28"/>
  <c r="G110" i="28"/>
  <c r="G113" i="28" s="1"/>
  <c r="F107" i="28"/>
  <c r="E108" i="28"/>
  <c r="G107" i="28" l="1"/>
  <c r="G108" i="28" s="1"/>
  <c r="F108" i="28"/>
  <c r="E74" i="28" l="1"/>
  <c r="D74" i="28"/>
  <c r="C74" i="28"/>
  <c r="B74" i="28"/>
  <c r="D14" i="28" l="1"/>
  <c r="D8" i="28" s="1"/>
  <c r="C14" i="28" l="1"/>
  <c r="C8" i="28" s="1"/>
  <c r="E14" i="28" l="1"/>
  <c r="E8" i="28" s="1"/>
  <c r="B58" i="28" l="1"/>
  <c r="F57" i="28"/>
  <c r="G57" i="28" s="1"/>
  <c r="C52" i="28"/>
  <c r="F55" i="28"/>
  <c r="G55" i="28" s="1"/>
  <c r="D58" i="28"/>
  <c r="C58" i="28"/>
  <c r="D52" i="28"/>
  <c r="B52" i="28"/>
  <c r="B53" i="28" s="1"/>
  <c r="D53" i="28" l="1"/>
  <c r="C53" i="28"/>
  <c r="E52" i="28"/>
  <c r="F56" i="28"/>
  <c r="G56" i="28" s="1"/>
  <c r="G52" i="28" s="1"/>
  <c r="F51" i="28"/>
  <c r="G51" i="28" s="1"/>
  <c r="E58" i="28"/>
  <c r="E53" i="28" l="1"/>
  <c r="F52" i="28"/>
  <c r="F58" i="28"/>
  <c r="G58" i="28"/>
  <c r="G53" i="28" l="1"/>
  <c r="F53" i="28"/>
  <c r="G46" i="8" l="1"/>
  <c r="G45" i="8"/>
  <c r="G44" i="8"/>
  <c r="G41" i="8"/>
  <c r="G40" i="8"/>
  <c r="P33" i="16" l="1"/>
  <c r="P32" i="16"/>
  <c r="P31" i="16"/>
  <c r="P30" i="16"/>
  <c r="P27" i="16"/>
  <c r="P26" i="16"/>
  <c r="P25" i="16"/>
  <c r="P24" i="16"/>
  <c r="P15" i="16"/>
  <c r="O23" i="13"/>
  <c r="O22" i="13"/>
  <c r="O15" i="13"/>
  <c r="O29" i="31"/>
  <c r="O28" i="31"/>
  <c r="O27" i="31"/>
  <c r="O26" i="31"/>
  <c r="O17" i="31"/>
  <c r="P17" i="22"/>
  <c r="P16" i="22"/>
  <c r="P15" i="22"/>
  <c r="P14" i="22"/>
  <c r="O18" i="15"/>
  <c r="O17" i="15"/>
  <c r="O16" i="15"/>
  <c r="O15" i="15"/>
  <c r="P24" i="24" l="1"/>
  <c r="P30" i="24"/>
  <c r="P23" i="24"/>
  <c r="P21" i="24"/>
  <c r="P29" i="24"/>
  <c r="C9" i="19" l="1"/>
  <c r="C8" i="19"/>
  <c r="P27" i="24" l="1"/>
  <c r="C6" i="19"/>
  <c r="P22" i="24" l="1"/>
  <c r="P28" i="24" l="1"/>
  <c r="C7" i="19" l="1"/>
  <c r="O27" i="23" l="1"/>
  <c r="O25" i="23"/>
  <c r="O24" i="23"/>
  <c r="O26" i="23" l="1"/>
  <c r="C34" i="31"/>
  <c r="C40" i="31" s="1"/>
  <c r="E46" i="24"/>
  <c r="F29" i="8"/>
  <c r="F45" i="16"/>
  <c r="D41" i="15"/>
  <c r="J46" i="24"/>
  <c r="I46" i="24"/>
  <c r="H46" i="24"/>
  <c r="F46" i="24"/>
  <c r="I47" i="15"/>
  <c r="H47" i="15"/>
  <c r="G47" i="15"/>
  <c r="K45" i="22"/>
  <c r="E12" i="24"/>
  <c r="J45" i="16"/>
  <c r="I45" i="16"/>
  <c r="H45" i="16"/>
  <c r="L45" i="22"/>
  <c r="G46" i="24"/>
  <c r="D14" i="16"/>
  <c r="E14" i="16"/>
  <c r="L10" i="16"/>
  <c r="L9" i="16"/>
  <c r="L8" i="16"/>
  <c r="N24" i="16"/>
  <c r="C41" i="15"/>
  <c r="C45" i="15" s="1"/>
  <c r="D23" i="15"/>
  <c r="K45" i="16" l="1"/>
  <c r="K47" i="35"/>
  <c r="L45" i="16"/>
  <c r="F47" i="15"/>
  <c r="E47" i="15"/>
  <c r="G45" i="16"/>
  <c r="L11" i="16"/>
  <c r="E45" i="16"/>
  <c r="D47" i="15"/>
  <c r="D50" i="15" s="1"/>
  <c r="D45" i="15"/>
  <c r="L47" i="35" l="1"/>
  <c r="P47" i="35" s="1"/>
  <c r="L40" i="35"/>
  <c r="L26" i="15"/>
  <c r="K26" i="15"/>
  <c r="J4" i="35" l="1"/>
  <c r="K4" i="35" s="1"/>
  <c r="M40" i="35"/>
  <c r="K26" i="22"/>
  <c r="P20" i="22"/>
  <c r="J26" i="15"/>
  <c r="O26" i="15" s="1"/>
  <c r="L4" i="35" l="1"/>
  <c r="K18" i="16"/>
  <c r="K15" i="24"/>
  <c r="J18" i="13"/>
  <c r="B54" i="22" l="1"/>
  <c r="C54" i="22"/>
  <c r="C34" i="22"/>
  <c r="C40" i="22" s="1"/>
  <c r="C35" i="22"/>
  <c r="C41" i="22" s="1"/>
  <c r="C36" i="22"/>
  <c r="C42" i="22" s="1"/>
  <c r="C37" i="22"/>
  <c r="C43" i="22" s="1"/>
  <c r="K32" i="15" l="1"/>
  <c r="J32" i="15" l="1"/>
  <c r="D22" i="15"/>
  <c r="K11" i="15"/>
  <c r="B54" i="15" l="1"/>
  <c r="C54" i="15" s="1"/>
  <c r="C40" i="15" l="1"/>
  <c r="C44" i="15" s="1"/>
  <c r="E27" i="15" l="1"/>
  <c r="E26" i="15"/>
  <c r="E29" i="15"/>
  <c r="E28" i="15"/>
  <c r="F26" i="15" l="1"/>
  <c r="G26" i="15"/>
  <c r="I26" i="15"/>
  <c r="H26" i="15"/>
  <c r="I27" i="15"/>
  <c r="H27" i="15"/>
  <c r="G27" i="15"/>
  <c r="F27" i="15"/>
  <c r="I29" i="15"/>
  <c r="G29" i="15"/>
  <c r="H29" i="15"/>
  <c r="F29" i="15"/>
  <c r="G28" i="15"/>
  <c r="F28" i="15"/>
  <c r="I28" i="15"/>
  <c r="H28" i="15"/>
  <c r="D29" i="15"/>
  <c r="D28" i="15"/>
  <c r="D27" i="15"/>
  <c r="D26" i="15"/>
  <c r="E34" i="22" l="1"/>
  <c r="E47" i="22" s="1"/>
  <c r="B63" i="28" l="1"/>
  <c r="D63" i="28" l="1"/>
  <c r="C63" i="28" l="1"/>
  <c r="E63" i="28" l="1"/>
  <c r="B13" i="8"/>
  <c r="B12" i="8"/>
  <c r="B11" i="8"/>
  <c r="B8" i="8"/>
  <c r="B7" i="8"/>
  <c r="B81" i="8" l="1"/>
  <c r="C7" i="8" l="1"/>
  <c r="C12" i="8"/>
  <c r="C13" i="8"/>
  <c r="D7" i="8" l="1"/>
  <c r="D13" i="8" l="1"/>
  <c r="D12" i="8"/>
  <c r="C81" i="8" l="1"/>
  <c r="C8" i="8" s="1"/>
  <c r="C11" i="8"/>
  <c r="D81" i="8"/>
  <c r="D8" i="8" s="1"/>
  <c r="D11" i="8"/>
  <c r="E11" i="8" l="1"/>
  <c r="E13" i="8" l="1"/>
  <c r="E12" i="8" l="1"/>
  <c r="E7" i="8" l="1"/>
  <c r="E81" i="8" l="1"/>
  <c r="E8" i="8" s="1"/>
  <c r="E87" i="8"/>
  <c r="D87" i="8"/>
  <c r="C87" i="8"/>
  <c r="B87" i="8"/>
  <c r="F86" i="8"/>
  <c r="G86" i="8" s="1"/>
  <c r="F85" i="8"/>
  <c r="G85" i="8" s="1"/>
  <c r="F84" i="8"/>
  <c r="G84" i="8" s="1"/>
  <c r="D82" i="8"/>
  <c r="C82" i="8"/>
  <c r="B82" i="8"/>
  <c r="F80" i="8"/>
  <c r="G80" i="8" s="1"/>
  <c r="G13" i="8" l="1"/>
  <c r="G12" i="8"/>
  <c r="E82" i="8"/>
  <c r="F81" i="8"/>
  <c r="F82" i="8" s="1"/>
  <c r="F87" i="8"/>
  <c r="G11" i="8"/>
  <c r="G87" i="8" l="1"/>
  <c r="G81" i="8"/>
  <c r="G82" i="8" l="1"/>
  <c r="F15" i="5" l="1"/>
  <c r="F14" i="5"/>
  <c r="F13" i="5"/>
  <c r="F12" i="5"/>
  <c r="G15" i="16" l="1"/>
  <c r="K18" i="23" l="1"/>
  <c r="K20" i="31"/>
  <c r="K15" i="29"/>
  <c r="L15" i="24"/>
  <c r="L18" i="16"/>
  <c r="K18" i="13"/>
  <c r="J15" i="29"/>
  <c r="J20" i="31"/>
  <c r="J18" i="23"/>
  <c r="L18" i="13"/>
  <c r="L15" i="29"/>
  <c r="M15" i="24"/>
  <c r="L20" i="31"/>
  <c r="L18" i="23"/>
  <c r="M18" i="16"/>
  <c r="P18" i="16" l="1"/>
  <c r="O18" i="23"/>
  <c r="O20" i="31"/>
  <c r="O18" i="13"/>
  <c r="O15" i="29"/>
  <c r="P15" i="24"/>
  <c r="D41" i="28" l="1"/>
  <c r="D42" i="28" s="1"/>
  <c r="C41" i="28" l="1"/>
  <c r="C42" i="28" s="1"/>
  <c r="E41" i="28" l="1"/>
  <c r="E42" i="28" l="1"/>
  <c r="E80" i="28"/>
  <c r="D80" i="28"/>
  <c r="C80" i="28"/>
  <c r="B80" i="28"/>
  <c r="F79" i="28"/>
  <c r="G79" i="28" s="1"/>
  <c r="F78" i="28"/>
  <c r="G78" i="28" s="1"/>
  <c r="F77" i="28"/>
  <c r="G77" i="28" s="1"/>
  <c r="E75" i="28"/>
  <c r="D75" i="28"/>
  <c r="C75" i="28"/>
  <c r="B75" i="28"/>
  <c r="F74" i="28"/>
  <c r="F73" i="28"/>
  <c r="G73" i="28" s="1"/>
  <c r="E69" i="28"/>
  <c r="D69" i="28"/>
  <c r="C69" i="28"/>
  <c r="B69" i="28"/>
  <c r="F68" i="28"/>
  <c r="F67" i="28"/>
  <c r="F66" i="28"/>
  <c r="E64" i="28"/>
  <c r="D64" i="28"/>
  <c r="C64" i="28"/>
  <c r="B64" i="28"/>
  <c r="F63" i="28"/>
  <c r="F62" i="28"/>
  <c r="G74" i="28" l="1"/>
  <c r="G23" i="29"/>
  <c r="H23" i="29"/>
  <c r="I23" i="29"/>
  <c r="J23" i="29"/>
  <c r="G67" i="28"/>
  <c r="K23" i="29"/>
  <c r="H22" i="29"/>
  <c r="G66" i="28"/>
  <c r="I22" i="29"/>
  <c r="K22" i="29"/>
  <c r="G22" i="29"/>
  <c r="J22" i="29"/>
  <c r="G24" i="29"/>
  <c r="G68" i="28"/>
  <c r="K24" i="29"/>
  <c r="J24" i="29"/>
  <c r="I24" i="29"/>
  <c r="H24" i="29"/>
  <c r="G62" i="28"/>
  <c r="K21" i="29"/>
  <c r="J21" i="29"/>
  <c r="G21" i="29"/>
  <c r="I21" i="29"/>
  <c r="H21" i="29"/>
  <c r="F75" i="28"/>
  <c r="G80" i="28"/>
  <c r="F80" i="28"/>
  <c r="F64" i="28"/>
  <c r="F69" i="28"/>
  <c r="G63" i="28" l="1"/>
  <c r="G64" i="28"/>
  <c r="G69" i="28"/>
  <c r="G75" i="28"/>
  <c r="E6" i="31"/>
  <c r="E5" i="31"/>
  <c r="I36" i="31"/>
  <c r="H36" i="31"/>
  <c r="G36" i="31"/>
  <c r="F36" i="31"/>
  <c r="E36" i="31"/>
  <c r="D36" i="31"/>
  <c r="C36" i="31"/>
  <c r="I35" i="31"/>
  <c r="H35" i="31"/>
  <c r="G35" i="31"/>
  <c r="F35" i="31"/>
  <c r="E35" i="31"/>
  <c r="D35" i="31"/>
  <c r="C35" i="31"/>
  <c r="D77" i="8" l="1"/>
  <c r="C77" i="8"/>
  <c r="B77" i="8"/>
  <c r="F76" i="8"/>
  <c r="F75" i="8"/>
  <c r="F74" i="8"/>
  <c r="D72" i="8"/>
  <c r="C72" i="8"/>
  <c r="B72" i="8"/>
  <c r="F70" i="8"/>
  <c r="E77" i="8" l="1"/>
  <c r="F77" i="8"/>
  <c r="E72" i="8"/>
  <c r="F71" i="8" l="1"/>
  <c r="F72" i="8" s="1"/>
  <c r="G71" i="8"/>
  <c r="G72" i="8" s="1"/>
  <c r="G77" i="8"/>
  <c r="B12" i="12" l="1"/>
  <c r="B11" i="12"/>
  <c r="B10" i="12"/>
  <c r="B6" i="12"/>
  <c r="C12" i="12"/>
  <c r="C11" i="12"/>
  <c r="C10" i="12"/>
  <c r="C6" i="12"/>
  <c r="C11" i="30" l="1"/>
  <c r="I37" i="31"/>
  <c r="H37" i="31"/>
  <c r="G37" i="31"/>
  <c r="F37" i="31"/>
  <c r="E37" i="31"/>
  <c r="D37" i="31"/>
  <c r="C37" i="31"/>
  <c r="I34" i="31"/>
  <c r="H34" i="31"/>
  <c r="G34" i="31"/>
  <c r="F34" i="31"/>
  <c r="E34" i="31"/>
  <c r="D34" i="31"/>
  <c r="K17" i="31"/>
  <c r="J17" i="31"/>
  <c r="I17" i="31"/>
  <c r="H17" i="31"/>
  <c r="G17" i="31"/>
  <c r="F17" i="31"/>
  <c r="E17" i="31"/>
  <c r="D17" i="31"/>
  <c r="D16" i="31"/>
  <c r="E16" i="31" s="1"/>
  <c r="F16" i="31" s="1"/>
  <c r="G16" i="31" s="1"/>
  <c r="H16" i="31" s="1"/>
  <c r="I16" i="31" s="1"/>
  <c r="J16" i="31" s="1"/>
  <c r="K16" i="31" s="1"/>
  <c r="L16" i="31" s="1"/>
  <c r="C15" i="31"/>
  <c r="B15" i="31"/>
  <c r="E7" i="31"/>
  <c r="E4" i="31"/>
  <c r="A1" i="31"/>
  <c r="E10" i="30"/>
  <c r="D11" i="30"/>
  <c r="B7" i="30" s="1"/>
  <c r="B11" i="30"/>
  <c r="B5" i="30" s="1"/>
  <c r="A2" i="30"/>
  <c r="A1" i="30"/>
  <c r="B6" i="30" l="1"/>
  <c r="C12" i="30"/>
  <c r="B12" i="30"/>
  <c r="D12" i="30"/>
  <c r="E8" i="31"/>
  <c r="E9" i="30"/>
  <c r="E11" i="30" l="1"/>
  <c r="E12" i="30" s="1"/>
  <c r="G4" i="31" l="1"/>
  <c r="D40" i="31"/>
  <c r="D30" i="28" l="1"/>
  <c r="C30" i="28" l="1"/>
  <c r="E30" i="28" l="1"/>
  <c r="C8" i="18" l="1"/>
  <c r="C7" i="18"/>
  <c r="D9" i="18"/>
  <c r="C6" i="18"/>
  <c r="C5" i="18"/>
  <c r="B6" i="10" l="1"/>
  <c r="B5" i="10"/>
  <c r="D9" i="10"/>
  <c r="D67" i="8"/>
  <c r="C67" i="8"/>
  <c r="B67" i="8"/>
  <c r="F66" i="8"/>
  <c r="F65" i="8"/>
  <c r="D62" i="8"/>
  <c r="C62" i="8"/>
  <c r="B62" i="8"/>
  <c r="F60" i="8"/>
  <c r="E67" i="8" l="1"/>
  <c r="D8" i="10"/>
  <c r="E62" i="8"/>
  <c r="F64" i="8"/>
  <c r="B42" i="13" l="1"/>
  <c r="F61" i="8"/>
  <c r="F62" i="8" s="1"/>
  <c r="F67" i="8"/>
  <c r="G61" i="8" l="1"/>
  <c r="G62" i="8" s="1"/>
  <c r="G67" i="8"/>
  <c r="I45" i="31" l="1"/>
  <c r="H45" i="31"/>
  <c r="L34" i="31" l="1"/>
  <c r="K34" i="31"/>
  <c r="D4" i="31" l="1"/>
  <c r="J34" i="31"/>
  <c r="G45" i="31"/>
  <c r="F45" i="31"/>
  <c r="E45" i="31"/>
  <c r="D45" i="31"/>
  <c r="D47" i="31" s="1"/>
  <c r="F4" i="31" l="1"/>
  <c r="G7" i="29"/>
  <c r="G6" i="29"/>
  <c r="G5" i="29"/>
  <c r="B49" i="29"/>
  <c r="C49" i="29" s="1"/>
  <c r="C32" i="29"/>
  <c r="C38" i="29" s="1"/>
  <c r="C31" i="29"/>
  <c r="C37" i="29" s="1"/>
  <c r="C30" i="29"/>
  <c r="C36" i="29" s="1"/>
  <c r="C29" i="29"/>
  <c r="C35" i="29" s="1"/>
  <c r="D11" i="29"/>
  <c r="E11" i="29" s="1"/>
  <c r="F11" i="29" s="1"/>
  <c r="G11" i="29" s="1"/>
  <c r="H11" i="29" s="1"/>
  <c r="I11" i="29" s="1"/>
  <c r="J11" i="29" s="1"/>
  <c r="K11" i="29" s="1"/>
  <c r="L11" i="29" s="1"/>
  <c r="C10" i="29"/>
  <c r="B10" i="29"/>
  <c r="G4" i="29"/>
  <c r="A1" i="29"/>
  <c r="L29" i="29"/>
  <c r="E40" i="31" l="1"/>
  <c r="E47" i="31"/>
  <c r="G8" i="29"/>
  <c r="D4" i="29"/>
  <c r="F47" i="31" l="1"/>
  <c r="F40" i="31"/>
  <c r="G47" i="31" l="1"/>
  <c r="G40" i="31"/>
  <c r="H47" i="31" l="1"/>
  <c r="H40" i="31"/>
  <c r="I40" i="31" l="1"/>
  <c r="I47" i="31"/>
  <c r="J40" i="31" l="1"/>
  <c r="B52" i="8" l="1"/>
  <c r="B57" i="8"/>
  <c r="F56" i="8"/>
  <c r="F55" i="8"/>
  <c r="E57" i="8"/>
  <c r="D57" i="8"/>
  <c r="F54" i="8"/>
  <c r="D52" i="8"/>
  <c r="F57" i="8" l="1"/>
  <c r="C57" i="8"/>
  <c r="F50" i="8"/>
  <c r="E52" i="8" l="1"/>
  <c r="G8" i="8"/>
  <c r="G57" i="8"/>
  <c r="F51" i="8"/>
  <c r="F52" i="8" s="1"/>
  <c r="C52" i="8"/>
  <c r="G52" i="8" l="1"/>
  <c r="J10" i="31" l="1"/>
  <c r="C14" i="30"/>
  <c r="J11" i="31"/>
  <c r="C15" i="30"/>
  <c r="B15" i="30" s="1"/>
  <c r="C16" i="30"/>
  <c r="B16" i="30" s="1"/>
  <c r="J12" i="31"/>
  <c r="I40" i="29"/>
  <c r="C17" i="30" l="1"/>
  <c r="B14" i="30"/>
  <c r="J13" i="31"/>
  <c r="H40" i="29"/>
  <c r="G40" i="29"/>
  <c r="F40" i="29"/>
  <c r="E40" i="29"/>
  <c r="D40" i="29"/>
  <c r="B17" i="30" l="1"/>
  <c r="C42" i="31"/>
  <c r="G6" i="31"/>
  <c r="C43" i="31"/>
  <c r="G7" i="31"/>
  <c r="D43" i="31" l="1"/>
  <c r="D50" i="31"/>
  <c r="D42" i="31"/>
  <c r="D49" i="31"/>
  <c r="G5" i="31"/>
  <c r="C41" i="31"/>
  <c r="B54" i="31"/>
  <c r="C54" i="31" s="1"/>
  <c r="E43" i="31" l="1"/>
  <c r="D41" i="31"/>
  <c r="D48" i="31"/>
  <c r="G8" i="31"/>
  <c r="E49" i="31"/>
  <c r="E42" i="31"/>
  <c r="E50" i="31"/>
  <c r="F43" i="31" l="1"/>
  <c r="F50" i="31"/>
  <c r="G43" i="31" s="1"/>
  <c r="E48" i="31"/>
  <c r="E52" i="31" s="1"/>
  <c r="D52" i="31"/>
  <c r="E41" i="31"/>
  <c r="F49" i="31"/>
  <c r="F42" i="31"/>
  <c r="D54" i="31"/>
  <c r="G49" i="31" l="1"/>
  <c r="G50" i="31"/>
  <c r="H43" i="31" s="1"/>
  <c r="G42" i="31"/>
  <c r="F41" i="31"/>
  <c r="F48" i="31"/>
  <c r="F52" i="31" s="1"/>
  <c r="D51" i="31"/>
  <c r="E54" i="31"/>
  <c r="G48" i="31" l="1"/>
  <c r="G52" i="31" s="1"/>
  <c r="H50" i="31"/>
  <c r="I43" i="31" s="1"/>
  <c r="G41" i="31"/>
  <c r="H42" i="31"/>
  <c r="H49" i="31"/>
  <c r="F54" i="31"/>
  <c r="E51" i="31"/>
  <c r="I50" i="31" l="1"/>
  <c r="I42" i="31"/>
  <c r="I49" i="31"/>
  <c r="H41" i="31"/>
  <c r="H48" i="31"/>
  <c r="H52" i="31" s="1"/>
  <c r="G54" i="31"/>
  <c r="F51" i="31"/>
  <c r="H54" i="31" l="1"/>
  <c r="G51" i="31"/>
  <c r="I41" i="31"/>
  <c r="I48" i="31"/>
  <c r="I52" i="31" s="1"/>
  <c r="H51" i="31" l="1"/>
  <c r="I54" i="31"/>
  <c r="I51" i="31" s="1"/>
  <c r="E19" i="28"/>
  <c r="E9" i="28" s="1"/>
  <c r="D19" i="28"/>
  <c r="D9" i="28" s="1"/>
  <c r="C19" i="28"/>
  <c r="C9" i="28" s="1"/>
  <c r="B47" i="28" l="1"/>
  <c r="F46" i="28"/>
  <c r="E47" i="28"/>
  <c r="D47" i="28"/>
  <c r="F44" i="28"/>
  <c r="B42" i="28"/>
  <c r="E36" i="28"/>
  <c r="D36" i="28"/>
  <c r="F35" i="28"/>
  <c r="F34" i="28"/>
  <c r="F33" i="28"/>
  <c r="C36" i="28"/>
  <c r="B36" i="28"/>
  <c r="E31" i="28"/>
  <c r="D31" i="28"/>
  <c r="F30" i="28"/>
  <c r="G30" i="28" s="1"/>
  <c r="C31" i="28"/>
  <c r="B31" i="28"/>
  <c r="E25" i="28"/>
  <c r="D25" i="28"/>
  <c r="D20" i="28"/>
  <c r="A2" i="28"/>
  <c r="A1" i="28"/>
  <c r="G44" i="28" l="1"/>
  <c r="E22" i="29"/>
  <c r="D22" i="29"/>
  <c r="F22" i="29"/>
  <c r="G46" i="28"/>
  <c r="E24" i="29"/>
  <c r="F24" i="29"/>
  <c r="D24" i="29"/>
  <c r="G33" i="28"/>
  <c r="G34" i="28"/>
  <c r="G35" i="28"/>
  <c r="B19" i="28"/>
  <c r="B25" i="28"/>
  <c r="F36" i="28"/>
  <c r="F7" i="28"/>
  <c r="F41" i="28"/>
  <c r="F12" i="28"/>
  <c r="F18" i="28"/>
  <c r="F23" i="28"/>
  <c r="F45" i="28"/>
  <c r="C47" i="28"/>
  <c r="F13" i="28"/>
  <c r="C20" i="28"/>
  <c r="C25" i="28"/>
  <c r="F24" i="28"/>
  <c r="F22" i="28"/>
  <c r="F29" i="28"/>
  <c r="F40" i="28"/>
  <c r="G45" i="28" l="1"/>
  <c r="G41" i="28" s="1"/>
  <c r="E23" i="29"/>
  <c r="E31" i="29" s="1"/>
  <c r="D23" i="29"/>
  <c r="D31" i="29" s="1"/>
  <c r="F23" i="29"/>
  <c r="F31" i="29" s="1"/>
  <c r="G40" i="28"/>
  <c r="D21" i="29"/>
  <c r="E21" i="29"/>
  <c r="F21" i="29"/>
  <c r="B9" i="28"/>
  <c r="O24" i="29"/>
  <c r="O22" i="29"/>
  <c r="H31" i="29"/>
  <c r="I31" i="29"/>
  <c r="G29" i="28"/>
  <c r="G31" i="28" s="1"/>
  <c r="G36" i="28"/>
  <c r="B20" i="28"/>
  <c r="F19" i="28"/>
  <c r="G19" i="28" s="1"/>
  <c r="F11" i="28"/>
  <c r="F14" i="28" s="1"/>
  <c r="E32" i="29"/>
  <c r="D32" i="29"/>
  <c r="G24" i="28"/>
  <c r="G13" i="28" s="1"/>
  <c r="F32" i="29"/>
  <c r="G18" i="28"/>
  <c r="G7" i="28" s="1"/>
  <c r="G23" i="28"/>
  <c r="G12" i="28" s="1"/>
  <c r="F30" i="29"/>
  <c r="E30" i="29"/>
  <c r="D30" i="29"/>
  <c r="G22" i="28"/>
  <c r="G11" i="28" s="1"/>
  <c r="I30" i="29"/>
  <c r="I32" i="29"/>
  <c r="H32" i="29"/>
  <c r="H30" i="29"/>
  <c r="F25" i="28"/>
  <c r="E20" i="28"/>
  <c r="F47" i="28"/>
  <c r="F31" i="28"/>
  <c r="F42" i="28"/>
  <c r="G42" i="28" l="1"/>
  <c r="G47" i="28"/>
  <c r="O23" i="29"/>
  <c r="G14" i="28"/>
  <c r="G8" i="28" s="1"/>
  <c r="G9" i="28" s="1"/>
  <c r="O21" i="29"/>
  <c r="F20" i="28"/>
  <c r="E12" i="29"/>
  <c r="E29" i="29"/>
  <c r="F12" i="29"/>
  <c r="F29" i="29"/>
  <c r="D38" i="29"/>
  <c r="D45" i="29"/>
  <c r="D37" i="29"/>
  <c r="D44" i="29"/>
  <c r="D12" i="29"/>
  <c r="D29" i="29"/>
  <c r="D36" i="29"/>
  <c r="D43" i="29"/>
  <c r="E6" i="29"/>
  <c r="G31" i="29"/>
  <c r="E7" i="29"/>
  <c r="G32" i="29"/>
  <c r="E5" i="29"/>
  <c r="G30" i="29"/>
  <c r="E4" i="29"/>
  <c r="G29" i="29"/>
  <c r="G12" i="29"/>
  <c r="H12" i="29"/>
  <c r="H29" i="29"/>
  <c r="K29" i="29"/>
  <c r="K12" i="29"/>
  <c r="I12" i="29"/>
  <c r="I29" i="29"/>
  <c r="J12" i="29"/>
  <c r="J29" i="29"/>
  <c r="F8" i="28"/>
  <c r="F9" i="28" s="1"/>
  <c r="G20" i="28"/>
  <c r="G25" i="28"/>
  <c r="O12" i="29" l="1"/>
  <c r="D35" i="29"/>
  <c r="D42" i="29"/>
  <c r="D47" i="29" s="1"/>
  <c r="E44" i="29"/>
  <c r="E37" i="29"/>
  <c r="E38" i="29"/>
  <c r="E45" i="29"/>
  <c r="E43" i="29"/>
  <c r="E36" i="29"/>
  <c r="F4" i="29"/>
  <c r="E8" i="29"/>
  <c r="D49" i="29" l="1"/>
  <c r="D46" i="29" s="1"/>
  <c r="E35" i="29"/>
  <c r="E42" i="29"/>
  <c r="E47" i="29" s="1"/>
  <c r="F38" i="29"/>
  <c r="F45" i="29"/>
  <c r="F37" i="29"/>
  <c r="F44" i="29"/>
  <c r="F43" i="29"/>
  <c r="F36" i="29"/>
  <c r="D37" i="22"/>
  <c r="D36" i="22"/>
  <c r="D35" i="22"/>
  <c r="D34" i="22"/>
  <c r="E49" i="29" l="1"/>
  <c r="E46" i="29" s="1"/>
  <c r="G44" i="29"/>
  <c r="G37" i="29"/>
  <c r="G43" i="29"/>
  <c r="G36" i="29"/>
  <c r="F35" i="29"/>
  <c r="F42" i="29"/>
  <c r="F47" i="29" s="1"/>
  <c r="G38" i="29"/>
  <c r="G45" i="29"/>
  <c r="C10" i="10"/>
  <c r="B10" i="10"/>
  <c r="H45" i="29" l="1"/>
  <c r="H38" i="29"/>
  <c r="F49" i="29"/>
  <c r="H37" i="29"/>
  <c r="H44" i="29"/>
  <c r="G35" i="29"/>
  <c r="G42" i="29"/>
  <c r="G47" i="29" s="1"/>
  <c r="H36" i="29"/>
  <c r="H43" i="29"/>
  <c r="C11" i="10"/>
  <c r="B11" i="10"/>
  <c r="I37" i="29" l="1"/>
  <c r="I44" i="29"/>
  <c r="H35" i="29"/>
  <c r="H42" i="29"/>
  <c r="H47" i="29" s="1"/>
  <c r="F46" i="29"/>
  <c r="G49" i="29"/>
  <c r="I43" i="29"/>
  <c r="I36" i="29"/>
  <c r="I45" i="29"/>
  <c r="I38" i="29"/>
  <c r="E29" i="13"/>
  <c r="G46" i="29" l="1"/>
  <c r="H49" i="29"/>
  <c r="I35" i="29"/>
  <c r="I42" i="29"/>
  <c r="I47" i="29" s="1"/>
  <c r="J35" i="29" l="1"/>
  <c r="H46" i="29"/>
  <c r="I49" i="29"/>
  <c r="I46" i="29" l="1"/>
  <c r="B42" i="8"/>
  <c r="B47" i="8" l="1"/>
  <c r="C14" i="8" l="1"/>
  <c r="D14" i="8" l="1"/>
  <c r="D47" i="8" l="1"/>
  <c r="C9" i="8"/>
  <c r="C47" i="8"/>
  <c r="D42" i="8" l="1"/>
  <c r="D9" i="8"/>
  <c r="C42" i="8"/>
  <c r="F44" i="8" l="1"/>
  <c r="E14" i="8" l="1"/>
  <c r="F46" i="8" l="1"/>
  <c r="F40" i="8" l="1"/>
  <c r="F45" i="8" l="1"/>
  <c r="E47" i="8"/>
  <c r="E9" i="8"/>
  <c r="F41" i="8" l="1"/>
  <c r="E42" i="8"/>
  <c r="F47" i="8"/>
  <c r="G47" i="8" l="1"/>
  <c r="F42" i="8"/>
  <c r="G42" i="8" l="1"/>
  <c r="C15" i="5" l="1"/>
  <c r="C14" i="5"/>
  <c r="C13" i="5"/>
  <c r="C12" i="5"/>
  <c r="J8" i="13"/>
  <c r="J10" i="23"/>
  <c r="C14" i="10"/>
  <c r="C13" i="10"/>
  <c r="C15" i="10" l="1"/>
  <c r="J9" i="13"/>
  <c r="J10" i="13"/>
  <c r="J8" i="23"/>
  <c r="J9" i="23"/>
  <c r="A1" i="13" l="1"/>
  <c r="A2" i="10"/>
  <c r="A1" i="10"/>
  <c r="A1" i="23"/>
  <c r="A2" i="8"/>
  <c r="A1" i="8"/>
  <c r="A1" i="24"/>
  <c r="A1" i="16"/>
  <c r="A1" i="19"/>
  <c r="A1" i="12"/>
  <c r="A1" i="22"/>
  <c r="A1" i="15"/>
  <c r="A1" i="5"/>
  <c r="A2" i="20" s="1"/>
  <c r="B14" i="8" l="1"/>
  <c r="B31" i="8"/>
  <c r="B9" i="8" l="1"/>
  <c r="A2" i="12"/>
  <c r="G5" i="23" l="1"/>
  <c r="B52" i="23" l="1"/>
  <c r="B55" i="24"/>
  <c r="G4" i="5" l="1"/>
  <c r="AC20" i="5" l="1"/>
  <c r="X12" i="5"/>
  <c r="Z12" i="5"/>
  <c r="AA12" i="5"/>
  <c r="V12" i="5"/>
  <c r="D39" i="16" l="1"/>
  <c r="C39" i="16"/>
  <c r="E25" i="8" l="1"/>
  <c r="B25" i="8"/>
  <c r="D25" i="8"/>
  <c r="E20" i="8"/>
  <c r="F23" i="8"/>
  <c r="G23" i="8" s="1"/>
  <c r="F19" i="8"/>
  <c r="G19" i="8" s="1"/>
  <c r="B20" i="8"/>
  <c r="C20" i="8"/>
  <c r="F22" i="8"/>
  <c r="G22" i="8" s="1"/>
  <c r="D20" i="8"/>
  <c r="C25" i="8"/>
  <c r="F24" i="8"/>
  <c r="G24" i="8" s="1"/>
  <c r="F18" i="8"/>
  <c r="G18" i="8" s="1"/>
  <c r="F25" i="8" l="1"/>
  <c r="F20" i="8"/>
  <c r="G20" i="8" l="1"/>
  <c r="G25" i="8"/>
  <c r="G5" i="16" l="1"/>
  <c r="I6" i="24" l="1"/>
  <c r="I5" i="24"/>
  <c r="C38" i="24" l="1"/>
  <c r="C44" i="24" s="1"/>
  <c r="C37" i="24"/>
  <c r="C43" i="24" s="1"/>
  <c r="C36" i="24"/>
  <c r="C42" i="24" s="1"/>
  <c r="C35" i="24"/>
  <c r="F15" i="16" l="1"/>
  <c r="H15" i="16" l="1"/>
  <c r="I15" i="16" l="1"/>
  <c r="J15" i="16" l="1"/>
  <c r="K15" i="16" l="1"/>
  <c r="L15" i="16" l="1"/>
  <c r="N26" i="16" l="1"/>
  <c r="N25" i="16"/>
  <c r="J39" i="16" l="1"/>
  <c r="I39" i="16"/>
  <c r="H39" i="16"/>
  <c r="M35" i="24" l="1"/>
  <c r="I6" i="22" l="1"/>
  <c r="I5" i="22"/>
  <c r="I36" i="22" l="1"/>
  <c r="H36" i="22"/>
  <c r="G36" i="22"/>
  <c r="F36" i="22"/>
  <c r="E36" i="22"/>
  <c r="D42" i="22"/>
  <c r="I35" i="22"/>
  <c r="H35" i="22"/>
  <c r="G35" i="22"/>
  <c r="F35" i="22"/>
  <c r="E35" i="22"/>
  <c r="D41" i="22"/>
  <c r="E41" i="22" l="1"/>
  <c r="E42" i="22"/>
  <c r="C34" i="23"/>
  <c r="C40" i="23" s="1"/>
  <c r="C33" i="23"/>
  <c r="C39" i="23" s="1"/>
  <c r="C13" i="13"/>
  <c r="B13" i="13"/>
  <c r="C13" i="23"/>
  <c r="B13" i="23"/>
  <c r="C10" i="24"/>
  <c r="B10" i="24"/>
  <c r="C10" i="22"/>
  <c r="C13" i="16" s="1"/>
  <c r="B10" i="22"/>
  <c r="B13" i="16" s="1"/>
  <c r="J47" i="15" l="1"/>
  <c r="J45" i="31" l="1"/>
  <c r="J47" i="31" s="1"/>
  <c r="K47" i="15"/>
  <c r="J40" i="29"/>
  <c r="G39" i="16"/>
  <c r="F39" i="16"/>
  <c r="E39" i="16"/>
  <c r="K40" i="29" l="1"/>
  <c r="K45" i="31"/>
  <c r="K47" i="31" s="1"/>
  <c r="K40" i="31"/>
  <c r="J42" i="29"/>
  <c r="E15" i="16"/>
  <c r="H4" i="31" l="1"/>
  <c r="I4" i="31" s="1"/>
  <c r="L47" i="31"/>
  <c r="O47" i="31" s="1"/>
  <c r="L40" i="31"/>
  <c r="K35" i="29"/>
  <c r="K42" i="29"/>
  <c r="N27" i="16"/>
  <c r="F5" i="16" s="1"/>
  <c r="AA20" i="5" l="1"/>
  <c r="J4" i="31"/>
  <c r="L42" i="29"/>
  <c r="O42" i="29" s="1"/>
  <c r="L35" i="29"/>
  <c r="H4" i="29"/>
  <c r="C55" i="24"/>
  <c r="C41" i="24"/>
  <c r="E11" i="24"/>
  <c r="F11" i="24" s="1"/>
  <c r="G11" i="24" s="1"/>
  <c r="H11" i="24" s="1"/>
  <c r="I11" i="24" s="1"/>
  <c r="J11" i="24" s="1"/>
  <c r="K11" i="24" s="1"/>
  <c r="L11" i="24" s="1"/>
  <c r="M11" i="24" s="1"/>
  <c r="I7" i="24"/>
  <c r="I4" i="24"/>
  <c r="I4" i="29" l="1"/>
  <c r="I8" i="24"/>
  <c r="E4" i="24"/>
  <c r="Z20" i="5" l="1"/>
  <c r="J4" i="29"/>
  <c r="D14" i="13" l="1"/>
  <c r="D14" i="23"/>
  <c r="E14" i="23" s="1"/>
  <c r="F14" i="23" s="1"/>
  <c r="G14" i="23" s="1"/>
  <c r="H14" i="23" s="1"/>
  <c r="I14" i="23" s="1"/>
  <c r="J14" i="23" s="1"/>
  <c r="K14" i="23" s="1"/>
  <c r="L14" i="23" s="1"/>
  <c r="E11" i="22"/>
  <c r="E14" i="15"/>
  <c r="C52" i="23"/>
  <c r="C35" i="23"/>
  <c r="C41" i="23" s="1"/>
  <c r="C32" i="23"/>
  <c r="C38" i="23" s="1"/>
  <c r="L32" i="23"/>
  <c r="G4" i="23"/>
  <c r="G6" i="23" s="1"/>
  <c r="C38" i="16"/>
  <c r="M52" i="22"/>
  <c r="M26" i="22"/>
  <c r="L26" i="22"/>
  <c r="D43" i="22"/>
  <c r="H37" i="22"/>
  <c r="G37" i="22"/>
  <c r="G34" i="22"/>
  <c r="F34" i="22"/>
  <c r="I7" i="22"/>
  <c r="I4" i="22"/>
  <c r="P26" i="22" l="1"/>
  <c r="F14" i="15"/>
  <c r="F11" i="35"/>
  <c r="I8" i="22"/>
  <c r="M34" i="22"/>
  <c r="H34" i="22"/>
  <c r="I34" i="22"/>
  <c r="F37" i="22"/>
  <c r="I37" i="22"/>
  <c r="J11" i="23"/>
  <c r="F4" i="22"/>
  <c r="D4" i="23"/>
  <c r="F11" i="22"/>
  <c r="G11" i="22"/>
  <c r="E37" i="22"/>
  <c r="E43" i="22" s="1"/>
  <c r="E4" i="22"/>
  <c r="D40" i="22"/>
  <c r="G14" i="15" l="1"/>
  <c r="G11" i="35"/>
  <c r="E40" i="22"/>
  <c r="H14" i="15" l="1"/>
  <c r="H11" i="35"/>
  <c r="H11" i="22"/>
  <c r="A2" i="19"/>
  <c r="I14" i="15" l="1"/>
  <c r="I11" i="35"/>
  <c r="I11" i="22"/>
  <c r="J14" i="15" l="1"/>
  <c r="J11" i="35"/>
  <c r="J11" i="22"/>
  <c r="J11" i="13"/>
  <c r="K14" i="15" l="1"/>
  <c r="K11" i="35"/>
  <c r="K11" i="22"/>
  <c r="C16" i="10"/>
  <c r="L14" i="15" l="1"/>
  <c r="L11" i="35"/>
  <c r="L11" i="22"/>
  <c r="B13" i="12"/>
  <c r="B7" i="12" s="1"/>
  <c r="B8" i="12" s="1"/>
  <c r="M11" i="22" l="1"/>
  <c r="M11" i="35"/>
  <c r="C13" i="12"/>
  <c r="C7" i="12" s="1"/>
  <c r="D38" i="16" l="1"/>
  <c r="D15" i="16"/>
  <c r="B52" i="16" l="1"/>
  <c r="C42" i="13" l="1"/>
  <c r="F29" i="13"/>
  <c r="D29" i="13"/>
  <c r="C29" i="13"/>
  <c r="C33" i="13" s="1"/>
  <c r="F28" i="13"/>
  <c r="E28" i="13"/>
  <c r="D28" i="13"/>
  <c r="C28" i="13"/>
  <c r="C32" i="13" s="1"/>
  <c r="H29" i="13"/>
  <c r="J15" i="13"/>
  <c r="I15" i="13"/>
  <c r="I28" i="13"/>
  <c r="H28" i="13"/>
  <c r="G28" i="13"/>
  <c r="K15" i="13"/>
  <c r="G15" i="13"/>
  <c r="F15" i="13"/>
  <c r="E15" i="13"/>
  <c r="D15" i="13"/>
  <c r="E14" i="13"/>
  <c r="F14" i="13" s="1"/>
  <c r="G14" i="13" s="1"/>
  <c r="H14" i="13" s="1"/>
  <c r="I14" i="13" s="1"/>
  <c r="J14" i="13" s="1"/>
  <c r="K14" i="13" s="1"/>
  <c r="L14" i="13" s="1"/>
  <c r="G5" i="13"/>
  <c r="G4" i="13"/>
  <c r="G6" i="13" l="1"/>
  <c r="D33" i="13"/>
  <c r="D32" i="13"/>
  <c r="I29" i="13"/>
  <c r="E5" i="13"/>
  <c r="E4" i="13"/>
  <c r="G29" i="13"/>
  <c r="H15" i="13"/>
  <c r="E6" i="13" l="1"/>
  <c r="L28" i="13" l="1"/>
  <c r="K28" i="13"/>
  <c r="J28" i="13" l="1"/>
  <c r="D4" i="13"/>
  <c r="F4" i="13" l="1"/>
  <c r="G35" i="13" l="1"/>
  <c r="G43" i="23"/>
  <c r="D35" i="13"/>
  <c r="D43" i="23"/>
  <c r="E35" i="13"/>
  <c r="E43" i="23"/>
  <c r="F35" i="13"/>
  <c r="F43" i="23"/>
  <c r="H35" i="13"/>
  <c r="H43" i="23"/>
  <c r="E49" i="22" l="1"/>
  <c r="E48" i="22"/>
  <c r="E50" i="22"/>
  <c r="D38" i="13"/>
  <c r="D37" i="13"/>
  <c r="I43" i="23"/>
  <c r="I35" i="13"/>
  <c r="C52" i="16"/>
  <c r="D52" i="16" s="1"/>
  <c r="E52" i="22" l="1"/>
  <c r="E54" i="22"/>
  <c r="E51" i="22" s="1"/>
  <c r="F42" i="22"/>
  <c r="F49" i="22"/>
  <c r="F41" i="22"/>
  <c r="F48" i="22"/>
  <c r="F47" i="22"/>
  <c r="F40" i="22"/>
  <c r="E37" i="13"/>
  <c r="E32" i="13"/>
  <c r="D40" i="13"/>
  <c r="D42" i="13"/>
  <c r="D39" i="13" s="1"/>
  <c r="F50" i="22"/>
  <c r="F43" i="22"/>
  <c r="E33" i="13"/>
  <c r="E38" i="13"/>
  <c r="L32" i="15"/>
  <c r="O32" i="15" l="1"/>
  <c r="F54" i="22"/>
  <c r="F51" i="22" s="1"/>
  <c r="G42" i="22"/>
  <c r="G41" i="22"/>
  <c r="G48" i="22"/>
  <c r="G49" i="22"/>
  <c r="G47" i="22"/>
  <c r="G40" i="22"/>
  <c r="F52" i="22"/>
  <c r="F33" i="13"/>
  <c r="F38" i="13"/>
  <c r="F32" i="13"/>
  <c r="F37" i="13"/>
  <c r="G43" i="22"/>
  <c r="G50" i="22"/>
  <c r="E40" i="13"/>
  <c r="E42" i="13"/>
  <c r="E39" i="13" s="1"/>
  <c r="G38" i="13" l="1"/>
  <c r="G37" i="13"/>
  <c r="H49" i="22"/>
  <c r="G54" i="22"/>
  <c r="G51" i="22" s="1"/>
  <c r="H42" i="22"/>
  <c r="H41" i="22"/>
  <c r="H48" i="22"/>
  <c r="H50" i="22"/>
  <c r="H43" i="22"/>
  <c r="H40" i="22"/>
  <c r="H47" i="22"/>
  <c r="G33" i="13"/>
  <c r="G52" i="22"/>
  <c r="G32" i="13"/>
  <c r="F42" i="13"/>
  <c r="F39" i="13" s="1"/>
  <c r="F40" i="13"/>
  <c r="H37" i="13" l="1"/>
  <c r="H54" i="22"/>
  <c r="H51" i="22" s="1"/>
  <c r="I48" i="22"/>
  <c r="I41" i="22"/>
  <c r="I42" i="22"/>
  <c r="I49" i="22"/>
  <c r="H33" i="13"/>
  <c r="H38" i="13"/>
  <c r="I40" i="22"/>
  <c r="I47" i="22"/>
  <c r="G40" i="13"/>
  <c r="G42" i="13"/>
  <c r="G39" i="13" s="1"/>
  <c r="H32" i="13"/>
  <c r="H52" i="22"/>
  <c r="I50" i="22"/>
  <c r="I43" i="22"/>
  <c r="C43" i="16"/>
  <c r="D43" i="16" s="1"/>
  <c r="E43" i="16" s="1"/>
  <c r="C42" i="16"/>
  <c r="D42" i="16" s="1"/>
  <c r="M38" i="16"/>
  <c r="F14" i="16"/>
  <c r="G14" i="16" s="1"/>
  <c r="H14" i="16" s="1"/>
  <c r="I14" i="16" s="1"/>
  <c r="J14" i="16" s="1"/>
  <c r="K14" i="16" s="1"/>
  <c r="L14" i="16" s="1"/>
  <c r="M14" i="16" s="1"/>
  <c r="I5" i="16"/>
  <c r="I4" i="16"/>
  <c r="L52" i="15"/>
  <c r="L23" i="15"/>
  <c r="L22" i="15"/>
  <c r="H5" i="15"/>
  <c r="H4" i="15"/>
  <c r="I6" i="16" l="1"/>
  <c r="I54" i="22"/>
  <c r="I51" i="22" s="1"/>
  <c r="I52" i="22"/>
  <c r="K46" i="24"/>
  <c r="J43" i="23"/>
  <c r="J35" i="13"/>
  <c r="I32" i="13"/>
  <c r="I37" i="13"/>
  <c r="H40" i="13"/>
  <c r="H42" i="13"/>
  <c r="H39" i="13" s="1"/>
  <c r="I33" i="13"/>
  <c r="I38" i="13"/>
  <c r="H6" i="15"/>
  <c r="L40" i="15"/>
  <c r="E4" i="16"/>
  <c r="I42" i="13" l="1"/>
  <c r="I39" i="13" s="1"/>
  <c r="I40" i="13"/>
  <c r="J32" i="13"/>
  <c r="J37" i="13"/>
  <c r="K32" i="13" l="1"/>
  <c r="L46" i="24" l="1"/>
  <c r="K43" i="23"/>
  <c r="K35" i="13"/>
  <c r="K37" i="13" s="1"/>
  <c r="H4" i="13" l="1"/>
  <c r="L32" i="13"/>
  <c r="L37" i="13"/>
  <c r="O37" i="13" s="1"/>
  <c r="I4" i="13" l="1"/>
  <c r="F20" i="5" l="1"/>
  <c r="J4" i="13"/>
  <c r="V20" i="5" l="1"/>
  <c r="E13" i="20" l="1"/>
  <c r="D13" i="20"/>
  <c r="E5" i="20" l="1"/>
  <c r="E29" i="20" s="1"/>
  <c r="B15" i="10"/>
  <c r="B13" i="10"/>
  <c r="B14" i="10"/>
  <c r="D10" i="10"/>
  <c r="D11" i="10" s="1"/>
  <c r="B16" i="10" l="1"/>
  <c r="F4" i="5"/>
  <c r="M4" i="5"/>
  <c r="V25" i="5" s="1"/>
  <c r="E34" i="20" l="1"/>
  <c r="K23" i="15"/>
  <c r="J22" i="15" l="1"/>
  <c r="J40" i="15" l="1"/>
  <c r="K22" i="15" l="1"/>
  <c r="K40" i="15" l="1"/>
  <c r="J23" i="15" l="1"/>
  <c r="K38" i="16" l="1"/>
  <c r="L38" i="16" l="1"/>
  <c r="T12" i="5" l="1"/>
  <c r="C8" i="12" l="1"/>
  <c r="E38" i="16" l="1"/>
  <c r="F38" i="16" l="1"/>
  <c r="E47" i="16"/>
  <c r="E42" i="16"/>
  <c r="F47" i="16" l="1"/>
  <c r="F42" i="16"/>
  <c r="G38" i="16"/>
  <c r="E48" i="16"/>
  <c r="G42" i="16" l="1"/>
  <c r="E52" i="16"/>
  <c r="E49" i="16" s="1"/>
  <c r="F43" i="16"/>
  <c r="E50" i="16"/>
  <c r="H38" i="16"/>
  <c r="G47" i="16"/>
  <c r="F48" i="16"/>
  <c r="F52" i="16" s="1"/>
  <c r="F4" i="16"/>
  <c r="G43" i="16" l="1"/>
  <c r="F49" i="16"/>
  <c r="H47" i="16"/>
  <c r="H42" i="16"/>
  <c r="F6" i="16"/>
  <c r="I38" i="16"/>
  <c r="F50" i="16"/>
  <c r="G48" i="16"/>
  <c r="G50" i="16" s="1"/>
  <c r="H43" i="16" l="1"/>
  <c r="G52" i="16"/>
  <c r="G49" i="16" s="1"/>
  <c r="H48" i="16"/>
  <c r="H50" i="16" s="1"/>
  <c r="J38" i="16"/>
  <c r="I47" i="16"/>
  <c r="I42" i="16"/>
  <c r="G4" i="16"/>
  <c r="I43" i="16" l="1"/>
  <c r="H4" i="16"/>
  <c r="I48" i="16"/>
  <c r="I50" i="16" s="1"/>
  <c r="H52" i="16"/>
  <c r="H49" i="16" s="1"/>
  <c r="J42" i="16"/>
  <c r="J47" i="16"/>
  <c r="J43" i="16" l="1"/>
  <c r="G6" i="16"/>
  <c r="J48" i="16"/>
  <c r="J50" i="16" s="1"/>
  <c r="I52" i="16"/>
  <c r="I49" i="16" s="1"/>
  <c r="K47" i="16"/>
  <c r="K42" i="16"/>
  <c r="J52" i="16" l="1"/>
  <c r="J49" i="16" s="1"/>
  <c r="L42" i="16"/>
  <c r="L47" i="16"/>
  <c r="J4" i="16" s="1"/>
  <c r="K4" i="16" l="1"/>
  <c r="M47" i="16"/>
  <c r="P47" i="16" s="1"/>
  <c r="M42" i="16"/>
  <c r="L4" i="16" l="1"/>
  <c r="T20" i="5"/>
  <c r="C5" i="20" l="1"/>
  <c r="E4" i="15" l="1"/>
  <c r="J37" i="22" l="1"/>
  <c r="J36" i="22" l="1"/>
  <c r="J43" i="22"/>
  <c r="J50" i="22"/>
  <c r="J34" i="22"/>
  <c r="J47" i="22" l="1"/>
  <c r="J40" i="22"/>
  <c r="J42" i="22"/>
  <c r="J49" i="22"/>
  <c r="J35" i="22" l="1"/>
  <c r="J48" i="22" l="1"/>
  <c r="J54" i="22" s="1"/>
  <c r="J41" i="22"/>
  <c r="J52" i="22" l="1"/>
  <c r="J51" i="22"/>
  <c r="F23" i="15" l="1"/>
  <c r="G23" i="15"/>
  <c r="G41" i="15" s="1"/>
  <c r="E23" i="15"/>
  <c r="I22" i="15"/>
  <c r="I40" i="15" s="1"/>
  <c r="H22" i="15"/>
  <c r="H40" i="15" s="1"/>
  <c r="G22" i="15"/>
  <c r="G40" i="15" s="1"/>
  <c r="I23" i="15"/>
  <c r="I41" i="15" s="1"/>
  <c r="F22" i="15"/>
  <c r="H23" i="15"/>
  <c r="H41" i="15" s="1"/>
  <c r="E22" i="15"/>
  <c r="F5" i="15" l="1"/>
  <c r="D40" i="15"/>
  <c r="D44" i="15" s="1"/>
  <c r="F4" i="15"/>
  <c r="F6" i="15" l="1"/>
  <c r="D49" i="15"/>
  <c r="D52" i="15" s="1"/>
  <c r="D54" i="15" l="1"/>
  <c r="D51" i="15" s="1"/>
  <c r="L34" i="22" l="1"/>
  <c r="K34" i="22"/>
  <c r="G4" i="22"/>
  <c r="H4" i="22" l="1"/>
  <c r="G7" i="22"/>
  <c r="G6" i="22"/>
  <c r="K40" i="22"/>
  <c r="K47" i="22"/>
  <c r="L40" i="22" l="1"/>
  <c r="L47" i="22"/>
  <c r="P47" i="22" s="1"/>
  <c r="J4" i="22" l="1"/>
  <c r="M40" i="22"/>
  <c r="G5" i="22"/>
  <c r="G8" i="22" l="1"/>
  <c r="K4" i="22"/>
  <c r="X20" i="5" s="1"/>
  <c r="C9" i="18"/>
  <c r="L4" i="22" l="1"/>
  <c r="B13" i="20" l="1"/>
  <c r="B36" i="8" l="1"/>
  <c r="C31" i="8" l="1"/>
  <c r="C36" i="8"/>
  <c r="D36" i="8" l="1"/>
  <c r="D31" i="8"/>
  <c r="F33" i="8" l="1"/>
  <c r="F12" i="8"/>
  <c r="F34" i="8"/>
  <c r="E36" i="8"/>
  <c r="G34" i="8" l="1"/>
  <c r="E34" i="23"/>
  <c r="F34" i="23"/>
  <c r="D34" i="23"/>
  <c r="G33" i="8"/>
  <c r="F33" i="23"/>
  <c r="E33" i="23"/>
  <c r="D33" i="23"/>
  <c r="F13" i="8"/>
  <c r="F35" i="8"/>
  <c r="F11" i="8"/>
  <c r="E35" i="23" l="1"/>
  <c r="F35" i="23"/>
  <c r="G35" i="8"/>
  <c r="D35" i="23"/>
  <c r="E14" i="5"/>
  <c r="E13" i="5"/>
  <c r="D40" i="23"/>
  <c r="D47" i="23"/>
  <c r="D39" i="23"/>
  <c r="D46" i="23"/>
  <c r="I33" i="23"/>
  <c r="H33" i="23"/>
  <c r="G34" i="23"/>
  <c r="H34" i="23"/>
  <c r="I34" i="23"/>
  <c r="G33" i="23"/>
  <c r="F14" i="8"/>
  <c r="F36" i="8"/>
  <c r="E15" i="5" l="1"/>
  <c r="D41" i="23"/>
  <c r="D48" i="23"/>
  <c r="E39" i="23"/>
  <c r="E46" i="23"/>
  <c r="E47" i="23"/>
  <c r="E40" i="23"/>
  <c r="H35" i="23"/>
  <c r="G35" i="23"/>
  <c r="I35" i="23"/>
  <c r="G36" i="8"/>
  <c r="G14" i="8"/>
  <c r="F47" i="23" l="1"/>
  <c r="F40" i="23"/>
  <c r="F39" i="23"/>
  <c r="F46" i="23"/>
  <c r="E48" i="23"/>
  <c r="E41" i="23"/>
  <c r="E5" i="23"/>
  <c r="E31" i="8"/>
  <c r="F8" i="8"/>
  <c r="F30" i="8"/>
  <c r="G30" i="8" s="1"/>
  <c r="D15" i="23" l="1"/>
  <c r="G29" i="8"/>
  <c r="G7" i="8" s="1"/>
  <c r="G39" i="23"/>
  <c r="G46" i="23"/>
  <c r="G40" i="23"/>
  <c r="G47" i="23"/>
  <c r="F41" i="23"/>
  <c r="F48" i="23"/>
  <c r="F31" i="8"/>
  <c r="F7" i="8"/>
  <c r="F9" i="8" s="1"/>
  <c r="E12" i="5" l="1"/>
  <c r="E15" i="23"/>
  <c r="E32" i="23"/>
  <c r="G48" i="23"/>
  <c r="G41" i="23"/>
  <c r="H15" i="23"/>
  <c r="D32" i="23"/>
  <c r="H47" i="23"/>
  <c r="H40" i="23"/>
  <c r="K15" i="23"/>
  <c r="F32" i="23"/>
  <c r="F15" i="23"/>
  <c r="J15" i="23"/>
  <c r="I32" i="23"/>
  <c r="H46" i="23"/>
  <c r="H39" i="23"/>
  <c r="G15" i="23"/>
  <c r="G32" i="23"/>
  <c r="G31" i="8"/>
  <c r="O15" i="23" l="1"/>
  <c r="U12" i="5"/>
  <c r="J32" i="23"/>
  <c r="H41" i="23"/>
  <c r="H48" i="23"/>
  <c r="H32" i="23"/>
  <c r="I15" i="23"/>
  <c r="E4" i="23"/>
  <c r="E6" i="23" s="1"/>
  <c r="I39" i="23"/>
  <c r="I46" i="23"/>
  <c r="D38" i="23"/>
  <c r="D45" i="23"/>
  <c r="D50" i="23" s="1"/>
  <c r="K32" i="23"/>
  <c r="I40" i="23"/>
  <c r="I47" i="23"/>
  <c r="G9" i="8"/>
  <c r="F4" i="23" l="1"/>
  <c r="D52" i="23"/>
  <c r="D49" i="23" s="1"/>
  <c r="E45" i="23"/>
  <c r="E38" i="23"/>
  <c r="I48" i="23"/>
  <c r="I41" i="23"/>
  <c r="F45" i="23" l="1"/>
  <c r="F38" i="23"/>
  <c r="E50" i="23"/>
  <c r="E52" i="23"/>
  <c r="E49" i="23" s="1"/>
  <c r="G45" i="23" l="1"/>
  <c r="G38" i="23"/>
  <c r="F50" i="23"/>
  <c r="F52" i="23"/>
  <c r="F49" i="23" s="1"/>
  <c r="E38" i="24"/>
  <c r="E37" i="24"/>
  <c r="H38" i="23" l="1"/>
  <c r="H45" i="23"/>
  <c r="G50" i="23"/>
  <c r="G52" i="23"/>
  <c r="G49" i="23" s="1"/>
  <c r="D37" i="24"/>
  <c r="D43" i="24" s="1"/>
  <c r="D35" i="24"/>
  <c r="D41" i="24" s="1"/>
  <c r="F38" i="24"/>
  <c r="F37" i="24"/>
  <c r="H50" i="23" l="1"/>
  <c r="H52" i="23"/>
  <c r="H49" i="23" s="1"/>
  <c r="I45" i="23"/>
  <c r="I38" i="23"/>
  <c r="E35" i="24"/>
  <c r="E41" i="24" s="1"/>
  <c r="D38" i="24"/>
  <c r="D44" i="24" s="1"/>
  <c r="E43" i="24"/>
  <c r="E50" i="24"/>
  <c r="F35" i="24"/>
  <c r="G37" i="24"/>
  <c r="E36" i="24"/>
  <c r="G38" i="24"/>
  <c r="J38" i="23" l="1"/>
  <c r="J45" i="23"/>
  <c r="I50" i="23"/>
  <c r="I52" i="23"/>
  <c r="E48" i="24"/>
  <c r="F48" i="24" s="1"/>
  <c r="E44" i="24"/>
  <c r="E51" i="24"/>
  <c r="D36" i="24"/>
  <c r="D42" i="24" s="1"/>
  <c r="D55" i="24"/>
  <c r="G35" i="24"/>
  <c r="F50" i="24"/>
  <c r="F43" i="24"/>
  <c r="H37" i="24"/>
  <c r="H38" i="24"/>
  <c r="I49" i="23" l="1"/>
  <c r="K45" i="23"/>
  <c r="H4" i="23" s="1"/>
  <c r="K38" i="23"/>
  <c r="F44" i="24"/>
  <c r="F41" i="24"/>
  <c r="G48" i="24" s="1"/>
  <c r="F36" i="24"/>
  <c r="F12" i="24"/>
  <c r="G50" i="24"/>
  <c r="G43" i="24"/>
  <c r="F51" i="24"/>
  <c r="E42" i="24"/>
  <c r="E49" i="24"/>
  <c r="E53" i="24" s="1"/>
  <c r="I38" i="24"/>
  <c r="I4" i="23" l="1"/>
  <c r="E20" i="5" s="1"/>
  <c r="L38" i="23"/>
  <c r="L45" i="23"/>
  <c r="O45" i="23" s="1"/>
  <c r="G44" i="24"/>
  <c r="G41" i="24"/>
  <c r="G51" i="24"/>
  <c r="I35" i="24"/>
  <c r="H35" i="24"/>
  <c r="F49" i="24"/>
  <c r="F53" i="24" s="1"/>
  <c r="F42" i="24"/>
  <c r="G36" i="24"/>
  <c r="G12" i="24"/>
  <c r="H43" i="24"/>
  <c r="H50" i="24"/>
  <c r="E55" i="24"/>
  <c r="E52" i="24" s="1"/>
  <c r="J38" i="24"/>
  <c r="J37" i="24"/>
  <c r="H36" i="24"/>
  <c r="J4" i="23" l="1"/>
  <c r="U20" i="5"/>
  <c r="H48" i="24"/>
  <c r="H51" i="24"/>
  <c r="H44" i="24"/>
  <c r="H41" i="24"/>
  <c r="J35" i="24"/>
  <c r="H12" i="24"/>
  <c r="G42" i="24"/>
  <c r="G49" i="24"/>
  <c r="G53" i="24" s="1"/>
  <c r="I37" i="24"/>
  <c r="I43" i="24" s="1"/>
  <c r="F55" i="24"/>
  <c r="F52" i="24" s="1"/>
  <c r="D5" i="20" l="1"/>
  <c r="D29" i="20" s="1"/>
  <c r="L4" i="5"/>
  <c r="U25" i="5" s="1"/>
  <c r="E4" i="5"/>
  <c r="I44" i="24"/>
  <c r="I51" i="24"/>
  <c r="I48" i="24"/>
  <c r="I41" i="24"/>
  <c r="H42" i="24"/>
  <c r="H49" i="24"/>
  <c r="H53" i="24" s="1"/>
  <c r="G55" i="24"/>
  <c r="G52" i="24" s="1"/>
  <c r="I36" i="24"/>
  <c r="I12" i="24"/>
  <c r="I50" i="24"/>
  <c r="J43" i="24" s="1"/>
  <c r="D34" i="20" l="1"/>
  <c r="J51" i="24"/>
  <c r="J44" i="24"/>
  <c r="J48" i="24"/>
  <c r="J41" i="24"/>
  <c r="J36" i="24"/>
  <c r="J12" i="24"/>
  <c r="H55" i="24"/>
  <c r="H52" i="24" s="1"/>
  <c r="I49" i="24"/>
  <c r="I53" i="24" s="1"/>
  <c r="I42" i="24"/>
  <c r="J50" i="24"/>
  <c r="B21" i="20" l="1"/>
  <c r="I55" i="24"/>
  <c r="I52" i="24" s="1"/>
  <c r="J49" i="24"/>
  <c r="J53" i="24" s="1"/>
  <c r="J42" i="24"/>
  <c r="J55" i="24" l="1"/>
  <c r="J52" i="24" s="1"/>
  <c r="E10" i="19" l="1"/>
  <c r="K35" i="24" l="1"/>
  <c r="N21" i="24"/>
  <c r="F4" i="24" s="1"/>
  <c r="G4" i="24"/>
  <c r="H4" i="24" l="1"/>
  <c r="L35" i="24"/>
  <c r="K41" i="24"/>
  <c r="K48" i="24"/>
  <c r="L48" i="24" l="1"/>
  <c r="L41" i="24"/>
  <c r="M48" i="24" l="1"/>
  <c r="P48" i="24" s="1"/>
  <c r="M41" i="24"/>
  <c r="J4" i="24"/>
  <c r="K4" i="24" l="1"/>
  <c r="Y20" i="5" l="1"/>
  <c r="L4" i="24"/>
  <c r="D20" i="5"/>
  <c r="Y12" i="5" l="1"/>
  <c r="D12" i="5" l="1"/>
  <c r="K4" i="5" l="1"/>
  <c r="T25" i="5" s="1"/>
  <c r="D4" i="5"/>
  <c r="C13" i="20"/>
  <c r="C29" i="20" s="1"/>
  <c r="F13" i="20" l="1"/>
  <c r="C34" i="20" l="1"/>
  <c r="N22" i="24" l="1"/>
  <c r="F5" i="24" s="1"/>
  <c r="K12" i="24" l="1"/>
  <c r="N23" i="24"/>
  <c r="F6" i="24" s="1"/>
  <c r="N24" i="24"/>
  <c r="F7" i="24" s="1"/>
  <c r="D14" i="5" l="1"/>
  <c r="F8" i="24"/>
  <c r="G7" i="24" l="1"/>
  <c r="G5" i="24"/>
  <c r="D15" i="5" l="1"/>
  <c r="G6" i="24"/>
  <c r="L12" i="24"/>
  <c r="P12" i="24" s="1"/>
  <c r="G8" i="24" l="1"/>
  <c r="B10" i="19" l="1"/>
  <c r="D10" i="19" l="1"/>
  <c r="D13" i="5" l="1"/>
  <c r="C10" i="19"/>
  <c r="F40" i="15" l="1"/>
  <c r="E41" i="15" l="1"/>
  <c r="E50" i="15" l="1"/>
  <c r="E45" i="15"/>
  <c r="D4" i="15"/>
  <c r="E40" i="15"/>
  <c r="E44" i="15" l="1"/>
  <c r="E49" i="15"/>
  <c r="G4" i="15"/>
  <c r="E52" i="15" l="1"/>
  <c r="E54" i="15"/>
  <c r="E51" i="15" s="1"/>
  <c r="F49" i="15"/>
  <c r="F44" i="15"/>
  <c r="G49" i="15" l="1"/>
  <c r="G44" i="15"/>
  <c r="H44" i="15" l="1"/>
  <c r="H49" i="15"/>
  <c r="I44" i="15" l="1"/>
  <c r="I49" i="15"/>
  <c r="J44" i="15" l="1"/>
  <c r="J49" i="15"/>
  <c r="K49" i="15" l="1"/>
  <c r="K44" i="15"/>
  <c r="L44" i="15" l="1"/>
  <c r="O49" i="15"/>
  <c r="I4" i="15"/>
  <c r="J4" i="15" l="1"/>
  <c r="S20" i="5" l="1"/>
  <c r="C20" i="5"/>
  <c r="K4" i="15"/>
  <c r="J4" i="5" l="1"/>
  <c r="S25" i="5" s="1"/>
  <c r="C4" i="5"/>
  <c r="H4" i="5" s="1"/>
  <c r="B5" i="20"/>
  <c r="AG12" i="5"/>
  <c r="F21" i="20" s="1"/>
  <c r="N4" i="5" l="1"/>
  <c r="F5" i="20"/>
  <c r="B29" i="20"/>
  <c r="B34" i="20" l="1"/>
  <c r="F29" i="20"/>
  <c r="G29" i="20" s="1"/>
  <c r="F41" i="15" l="1"/>
  <c r="F45" i="15" l="1"/>
  <c r="F50" i="15"/>
  <c r="F52" i="15" l="1"/>
  <c r="F54" i="15"/>
  <c r="F51" i="15" s="1"/>
  <c r="G45" i="15"/>
  <c r="G50" i="15"/>
  <c r="G54" i="15" l="1"/>
  <c r="G51" i="15" s="1"/>
  <c r="G52" i="15"/>
  <c r="H45" i="15"/>
  <c r="H50" i="15"/>
  <c r="H52" i="15" l="1"/>
  <c r="H54" i="15"/>
  <c r="H51" i="15" s="1"/>
  <c r="I50" i="15"/>
  <c r="I45" i="15"/>
  <c r="I52" i="15" l="1"/>
  <c r="I54" i="15"/>
  <c r="I51" i="15" s="1"/>
  <c r="L22" i="22" l="1"/>
  <c r="K21" i="22"/>
  <c r="M21" i="22"/>
  <c r="K23" i="22"/>
  <c r="M23" i="22"/>
  <c r="K22" i="22"/>
  <c r="L23" i="22"/>
  <c r="L21" i="22"/>
  <c r="M22" i="22"/>
  <c r="B8" i="18" l="1"/>
  <c r="G7" i="5" s="1"/>
  <c r="Y15" i="5" s="1"/>
  <c r="M22" i="35"/>
  <c r="M28" i="35" s="1"/>
  <c r="M36" i="35" s="1"/>
  <c r="L28" i="15"/>
  <c r="M28" i="22"/>
  <c r="M36" i="22" s="1"/>
  <c r="L21" i="35"/>
  <c r="L27" i="35" s="1"/>
  <c r="L35" i="35" s="1"/>
  <c r="K27" i="15"/>
  <c r="L27" i="22"/>
  <c r="L35" i="22" s="1"/>
  <c r="K29" i="15"/>
  <c r="L23" i="35"/>
  <c r="L29" i="35" s="1"/>
  <c r="L37" i="35" s="1"/>
  <c r="L29" i="22"/>
  <c r="L37" i="22" s="1"/>
  <c r="P22" i="22"/>
  <c r="K22" i="35"/>
  <c r="J28" i="15"/>
  <c r="K28" i="22"/>
  <c r="F6" i="22"/>
  <c r="M23" i="35"/>
  <c r="M29" i="35" s="1"/>
  <c r="M37" i="35" s="1"/>
  <c r="L29" i="15"/>
  <c r="M29" i="22"/>
  <c r="M37" i="22" s="1"/>
  <c r="J29" i="15"/>
  <c r="P23" i="22"/>
  <c r="K23" i="35"/>
  <c r="K29" i="22"/>
  <c r="F7" i="22"/>
  <c r="B6" i="18"/>
  <c r="M27" i="22"/>
  <c r="M35" i="22" s="1"/>
  <c r="L27" i="15"/>
  <c r="M21" i="35"/>
  <c r="M27" i="35" s="1"/>
  <c r="M35" i="35" s="1"/>
  <c r="F5" i="22"/>
  <c r="K27" i="22"/>
  <c r="K21" i="35"/>
  <c r="J27" i="15"/>
  <c r="P21" i="22"/>
  <c r="B7" i="18"/>
  <c r="G6" i="5" s="1"/>
  <c r="L22" i="35"/>
  <c r="L28" i="35" s="1"/>
  <c r="L36" i="35" s="1"/>
  <c r="K28" i="15"/>
  <c r="L28" i="22"/>
  <c r="L36" i="22" s="1"/>
  <c r="U15" i="5" l="1"/>
  <c r="AA15" i="5"/>
  <c r="V15" i="5"/>
  <c r="T15" i="5"/>
  <c r="X15" i="5"/>
  <c r="Z15" i="5"/>
  <c r="J19" i="13"/>
  <c r="J21" i="31"/>
  <c r="J33" i="15"/>
  <c r="K19" i="16"/>
  <c r="J16" i="29"/>
  <c r="O27" i="15"/>
  <c r="K16" i="24"/>
  <c r="J19" i="23"/>
  <c r="E5" i="15"/>
  <c r="E6" i="15" s="1"/>
  <c r="P23" i="35"/>
  <c r="F7" i="35"/>
  <c r="K29" i="35"/>
  <c r="K23" i="31"/>
  <c r="K37" i="31" s="1"/>
  <c r="K21" i="23"/>
  <c r="K35" i="23" s="1"/>
  <c r="L21" i="16"/>
  <c r="K18" i="29"/>
  <c r="K32" i="29" s="1"/>
  <c r="K35" i="15"/>
  <c r="L18" i="24"/>
  <c r="L38" i="24" s="1"/>
  <c r="F5" i="35"/>
  <c r="P21" i="35"/>
  <c r="K27" i="35"/>
  <c r="P27" i="22"/>
  <c r="E5" i="22"/>
  <c r="K35" i="22"/>
  <c r="O29" i="15"/>
  <c r="K18" i="24"/>
  <c r="J23" i="31"/>
  <c r="K21" i="16"/>
  <c r="J21" i="23"/>
  <c r="J18" i="29"/>
  <c r="J35" i="15"/>
  <c r="L18" i="29"/>
  <c r="L32" i="29" s="1"/>
  <c r="L35" i="15"/>
  <c r="L23" i="31"/>
  <c r="L37" i="31" s="1"/>
  <c r="M21" i="16"/>
  <c r="M18" i="24"/>
  <c r="M38" i="24" s="1"/>
  <c r="L21" i="23"/>
  <c r="L35" i="23" s="1"/>
  <c r="K33" i="15"/>
  <c r="L16" i="24"/>
  <c r="L36" i="24" s="1"/>
  <c r="K19" i="13"/>
  <c r="K29" i="13" s="1"/>
  <c r="K19" i="23"/>
  <c r="K33" i="23" s="1"/>
  <c r="K21" i="31"/>
  <c r="K35" i="31" s="1"/>
  <c r="L19" i="16"/>
  <c r="K16" i="29"/>
  <c r="K30" i="29" s="1"/>
  <c r="V14" i="5"/>
  <c r="U14" i="5"/>
  <c r="Y14" i="5"/>
  <c r="X14" i="5"/>
  <c r="Z14" i="5"/>
  <c r="AA14" i="5"/>
  <c r="T14" i="5"/>
  <c r="P29" i="22"/>
  <c r="E7" i="22"/>
  <c r="H7" i="22" s="1"/>
  <c r="K37" i="22"/>
  <c r="F8" i="22"/>
  <c r="L33" i="15"/>
  <c r="L19" i="13"/>
  <c r="L29" i="13" s="1"/>
  <c r="M19" i="16"/>
  <c r="L19" i="23"/>
  <c r="L33" i="23" s="1"/>
  <c r="L21" i="31"/>
  <c r="L35" i="31" s="1"/>
  <c r="M16" i="24"/>
  <c r="M36" i="24" s="1"/>
  <c r="L16" i="29"/>
  <c r="L30" i="29" s="1"/>
  <c r="P28" i="22"/>
  <c r="K36" i="22"/>
  <c r="E6" i="22"/>
  <c r="H6" i="22" s="1"/>
  <c r="L17" i="24"/>
  <c r="L37" i="24" s="1"/>
  <c r="K20" i="23"/>
  <c r="K34" i="23" s="1"/>
  <c r="L20" i="16"/>
  <c r="K22" i="31"/>
  <c r="K36" i="31" s="1"/>
  <c r="K17" i="29"/>
  <c r="K31" i="29" s="1"/>
  <c r="K34" i="15"/>
  <c r="J22" i="31"/>
  <c r="J17" i="29"/>
  <c r="K17" i="24"/>
  <c r="O28" i="15"/>
  <c r="K20" i="16"/>
  <c r="J20" i="23"/>
  <c r="J34" i="15"/>
  <c r="G5" i="5"/>
  <c r="B9" i="18"/>
  <c r="F6" i="35"/>
  <c r="K28" i="35"/>
  <c r="P22" i="35"/>
  <c r="L22" i="31"/>
  <c r="L36" i="31" s="1"/>
  <c r="L34" i="15"/>
  <c r="M17" i="24"/>
  <c r="M37" i="24" s="1"/>
  <c r="M20" i="16"/>
  <c r="L20" i="23"/>
  <c r="L34" i="23" s="1"/>
  <c r="L17" i="29"/>
  <c r="L31" i="29" s="1"/>
  <c r="L41" i="15" l="1"/>
  <c r="P20" i="16"/>
  <c r="L39" i="16"/>
  <c r="O35" i="15"/>
  <c r="K31" i="22"/>
  <c r="K48" i="22"/>
  <c r="K41" i="22"/>
  <c r="K37" i="35"/>
  <c r="E7" i="35"/>
  <c r="H7" i="35" s="1"/>
  <c r="P29" i="35"/>
  <c r="E8" i="22"/>
  <c r="H5" i="22"/>
  <c r="D6" i="29"/>
  <c r="F6" i="29" s="1"/>
  <c r="O17" i="29"/>
  <c r="J31" i="29"/>
  <c r="P28" i="35"/>
  <c r="K36" i="35"/>
  <c r="E6" i="35"/>
  <c r="H6" i="35" s="1"/>
  <c r="O22" i="31"/>
  <c r="D6" i="31"/>
  <c r="F6" i="31" s="1"/>
  <c r="J36" i="31"/>
  <c r="K50" i="22"/>
  <c r="K43" i="22"/>
  <c r="E5" i="35"/>
  <c r="P27" i="35"/>
  <c r="K35" i="35"/>
  <c r="O19" i="23"/>
  <c r="D5" i="23"/>
  <c r="J33" i="23"/>
  <c r="O18" i="29"/>
  <c r="D7" i="29"/>
  <c r="F7" i="29" s="1"/>
  <c r="J32" i="29"/>
  <c r="F8" i="35"/>
  <c r="E5" i="24"/>
  <c r="P16" i="24"/>
  <c r="K36" i="24"/>
  <c r="K49" i="22"/>
  <c r="K42" i="22"/>
  <c r="O21" i="23"/>
  <c r="J35" i="23"/>
  <c r="S5" i="5"/>
  <c r="Z13" i="5"/>
  <c r="X13" i="5"/>
  <c r="AA13" i="5"/>
  <c r="T13" i="5"/>
  <c r="V13" i="5"/>
  <c r="U13" i="5"/>
  <c r="Y13" i="5"/>
  <c r="S7" i="5"/>
  <c r="P21" i="16"/>
  <c r="O16" i="29"/>
  <c r="D5" i="29"/>
  <c r="J30" i="29"/>
  <c r="K37" i="24"/>
  <c r="P17" i="24"/>
  <c r="E6" i="24"/>
  <c r="H6" i="24" s="1"/>
  <c r="O34" i="15"/>
  <c r="M39" i="16"/>
  <c r="S6" i="5"/>
  <c r="J37" i="31"/>
  <c r="D7" i="31"/>
  <c r="F7" i="31" s="1"/>
  <c r="O23" i="31"/>
  <c r="P19" i="16"/>
  <c r="K39" i="16"/>
  <c r="E5" i="16"/>
  <c r="O20" i="23"/>
  <c r="J34" i="23"/>
  <c r="K41" i="15"/>
  <c r="P18" i="24"/>
  <c r="E7" i="24"/>
  <c r="H7" i="24" s="1"/>
  <c r="K38" i="24"/>
  <c r="D5" i="15"/>
  <c r="O33" i="15"/>
  <c r="J41" i="15"/>
  <c r="J35" i="31"/>
  <c r="D5" i="31"/>
  <c r="O21" i="31"/>
  <c r="J29" i="13"/>
  <c r="O19" i="13"/>
  <c r="D5" i="13"/>
  <c r="F5" i="13" l="1"/>
  <c r="D6" i="13"/>
  <c r="J40" i="23"/>
  <c r="J47" i="23"/>
  <c r="J48" i="31"/>
  <c r="J31" i="31"/>
  <c r="J41" i="31"/>
  <c r="K43" i="24"/>
  <c r="K50" i="24"/>
  <c r="K42" i="24"/>
  <c r="K32" i="24"/>
  <c r="K49" i="24"/>
  <c r="K31" i="35"/>
  <c r="K48" i="35"/>
  <c r="K41" i="35"/>
  <c r="E6" i="16"/>
  <c r="H5" i="16"/>
  <c r="J43" i="29"/>
  <c r="J36" i="29"/>
  <c r="J26" i="29"/>
  <c r="E8" i="35"/>
  <c r="H5" i="35"/>
  <c r="H8" i="22"/>
  <c r="J45" i="15"/>
  <c r="J50" i="15"/>
  <c r="J37" i="15"/>
  <c r="E8" i="24"/>
  <c r="H5" i="24"/>
  <c r="D8" i="29"/>
  <c r="F5" i="29"/>
  <c r="L43" i="22"/>
  <c r="L50" i="22"/>
  <c r="P50" i="22" s="1"/>
  <c r="J38" i="29"/>
  <c r="J45" i="29"/>
  <c r="J42" i="31"/>
  <c r="J49" i="31"/>
  <c r="J43" i="31"/>
  <c r="J50" i="31"/>
  <c r="J33" i="13"/>
  <c r="J25" i="13"/>
  <c r="J38" i="13"/>
  <c r="J41" i="23"/>
  <c r="J48" i="23"/>
  <c r="J29" i="23"/>
  <c r="J39" i="23"/>
  <c r="J46" i="23"/>
  <c r="K50" i="35"/>
  <c r="K43" i="35"/>
  <c r="K43" i="16"/>
  <c r="K48" i="16"/>
  <c r="K35" i="16"/>
  <c r="K44" i="24"/>
  <c r="K51" i="24"/>
  <c r="L42" i="22"/>
  <c r="L49" i="22"/>
  <c r="P49" i="22" s="1"/>
  <c r="D6" i="23"/>
  <c r="F5" i="23"/>
  <c r="K49" i="35"/>
  <c r="K42" i="35"/>
  <c r="L31" i="22"/>
  <c r="L41" i="22"/>
  <c r="L48" i="22"/>
  <c r="P48" i="22" s="1"/>
  <c r="K54" i="22"/>
  <c r="D6" i="15"/>
  <c r="G5" i="15"/>
  <c r="F5" i="31"/>
  <c r="D8" i="31"/>
  <c r="J37" i="29"/>
  <c r="J44" i="29"/>
  <c r="K52" i="22"/>
  <c r="J5" i="22" l="1"/>
  <c r="K5" i="22" s="1"/>
  <c r="X21" i="5" s="1"/>
  <c r="M41" i="22"/>
  <c r="L52" i="22"/>
  <c r="J7" i="22"/>
  <c r="K7" i="22" s="1"/>
  <c r="X23" i="5" s="1"/>
  <c r="F8" i="29"/>
  <c r="K25" i="13"/>
  <c r="O25" i="13" s="1"/>
  <c r="K33" i="13"/>
  <c r="K38" i="13"/>
  <c r="H5" i="13" s="1"/>
  <c r="H6" i="13" s="1"/>
  <c r="L49" i="35"/>
  <c r="J6" i="35" s="1"/>
  <c r="K6" i="35" s="1"/>
  <c r="L42" i="35"/>
  <c r="K50" i="31"/>
  <c r="H7" i="31" s="1"/>
  <c r="I7" i="31" s="1"/>
  <c r="K43" i="31"/>
  <c r="K36" i="29"/>
  <c r="K43" i="29"/>
  <c r="H5" i="29" s="1"/>
  <c r="I5" i="29" s="1"/>
  <c r="K26" i="29"/>
  <c r="O26" i="29" s="1"/>
  <c r="H8" i="24"/>
  <c r="F8" i="31"/>
  <c r="L43" i="35"/>
  <c r="L50" i="35"/>
  <c r="J7" i="35" s="1"/>
  <c r="K7" i="35" s="1"/>
  <c r="J49" i="29"/>
  <c r="J47" i="29"/>
  <c r="F6" i="23"/>
  <c r="K49" i="31"/>
  <c r="H6" i="31" s="1"/>
  <c r="I6" i="31" s="1"/>
  <c r="AA22" i="5" s="1"/>
  <c r="E15" i="20" s="1"/>
  <c r="K42" i="31"/>
  <c r="J52" i="15"/>
  <c r="H6" i="16"/>
  <c r="L43" i="24"/>
  <c r="L50" i="24"/>
  <c r="P50" i="24" s="1"/>
  <c r="L35" i="16"/>
  <c r="P35" i="16" s="1"/>
  <c r="L48" i="16"/>
  <c r="J5" i="16" s="1"/>
  <c r="J6" i="16" s="1"/>
  <c r="L43" i="16"/>
  <c r="K51" i="22"/>
  <c r="L54" i="22"/>
  <c r="K50" i="15"/>
  <c r="I5" i="15" s="1"/>
  <c r="I6" i="15" s="1"/>
  <c r="K45" i="15"/>
  <c r="K37" i="15"/>
  <c r="L31" i="35"/>
  <c r="L48" i="35"/>
  <c r="J5" i="35" s="1"/>
  <c r="K5" i="35" s="1"/>
  <c r="L41" i="35"/>
  <c r="J52" i="31"/>
  <c r="J50" i="23"/>
  <c r="K45" i="29"/>
  <c r="H7" i="29" s="1"/>
  <c r="I7" i="29" s="1"/>
  <c r="Z23" i="5" s="1"/>
  <c r="K38" i="29"/>
  <c r="K54" i="35"/>
  <c r="J54" i="31"/>
  <c r="K50" i="16"/>
  <c r="K31" i="31"/>
  <c r="K41" i="31"/>
  <c r="K48" i="31"/>
  <c r="H5" i="31" s="1"/>
  <c r="J6" i="22"/>
  <c r="K6" i="22" s="1"/>
  <c r="X22" i="5" s="1"/>
  <c r="K52" i="35"/>
  <c r="G6" i="15"/>
  <c r="K46" i="23"/>
  <c r="K29" i="23"/>
  <c r="O29" i="23" s="1"/>
  <c r="K39" i="23"/>
  <c r="K48" i="23"/>
  <c r="K41" i="23"/>
  <c r="M43" i="22"/>
  <c r="H8" i="35"/>
  <c r="K55" i="24"/>
  <c r="K47" i="23"/>
  <c r="K40" i="23"/>
  <c r="K52" i="16"/>
  <c r="J54" i="15"/>
  <c r="J42" i="13"/>
  <c r="K53" i="24"/>
  <c r="K37" i="29"/>
  <c r="K44" i="29"/>
  <c r="H6" i="29" s="1"/>
  <c r="I6" i="29" s="1"/>
  <c r="Z22" i="5" s="1"/>
  <c r="J52" i="23"/>
  <c r="M42" i="22"/>
  <c r="P31" i="22"/>
  <c r="L51" i="24"/>
  <c r="J7" i="24" s="1"/>
  <c r="K7" i="24" s="1"/>
  <c r="L44" i="24"/>
  <c r="J40" i="13"/>
  <c r="L32" i="24"/>
  <c r="L49" i="24"/>
  <c r="P49" i="24" s="1"/>
  <c r="L42" i="24"/>
  <c r="F6" i="13"/>
  <c r="AC23" i="5" l="1"/>
  <c r="AC22" i="5"/>
  <c r="AC21" i="5"/>
  <c r="L5" i="22"/>
  <c r="J6" i="24"/>
  <c r="K6" i="24" s="1"/>
  <c r="Y22" i="5" s="1"/>
  <c r="H5" i="23"/>
  <c r="H6" i="23" s="1"/>
  <c r="L6" i="22"/>
  <c r="L52" i="35"/>
  <c r="J5" i="15"/>
  <c r="J9" i="15" s="1"/>
  <c r="S22" i="5" s="1"/>
  <c r="M42" i="24"/>
  <c r="J8" i="22"/>
  <c r="H8" i="31"/>
  <c r="M43" i="24"/>
  <c r="M43" i="35"/>
  <c r="L7" i="35" s="1"/>
  <c r="L7" i="22"/>
  <c r="J8" i="35"/>
  <c r="K5" i="16"/>
  <c r="K6" i="16" s="1"/>
  <c r="P49" i="35"/>
  <c r="K52" i="15"/>
  <c r="L45" i="15"/>
  <c r="O50" i="15"/>
  <c r="Z21" i="5"/>
  <c r="I8" i="29"/>
  <c r="L40" i="23"/>
  <c r="L47" i="23"/>
  <c r="O47" i="23" s="1"/>
  <c r="J46" i="29"/>
  <c r="K49" i="29"/>
  <c r="L43" i="31"/>
  <c r="J7" i="31" s="1"/>
  <c r="L50" i="31"/>
  <c r="O50" i="31" s="1"/>
  <c r="AA23" i="5"/>
  <c r="E16" i="20" s="1"/>
  <c r="I11" i="31"/>
  <c r="I12" i="31"/>
  <c r="I10" i="31"/>
  <c r="L44" i="29"/>
  <c r="O44" i="29" s="1"/>
  <c r="L37" i="29"/>
  <c r="J6" i="29" s="1"/>
  <c r="J51" i="31"/>
  <c r="K54" i="31"/>
  <c r="L53" i="24"/>
  <c r="P32" i="24"/>
  <c r="K52" i="24"/>
  <c r="L55" i="24"/>
  <c r="P31" i="35"/>
  <c r="O37" i="15"/>
  <c r="M42" i="35"/>
  <c r="L6" i="35" s="1"/>
  <c r="J5" i="24"/>
  <c r="L54" i="35"/>
  <c r="K51" i="35"/>
  <c r="J39" i="13"/>
  <c r="K42" i="13"/>
  <c r="K8" i="35"/>
  <c r="B15" i="20"/>
  <c r="P48" i="35"/>
  <c r="L42" i="31"/>
  <c r="L49" i="31"/>
  <c r="O49" i="31" s="1"/>
  <c r="L51" i="22"/>
  <c r="M54" i="22"/>
  <c r="M51" i="22" s="1"/>
  <c r="I5" i="31"/>
  <c r="L33" i="13"/>
  <c r="L38" i="13"/>
  <c r="D16" i="20"/>
  <c r="P50" i="35"/>
  <c r="K40" i="13"/>
  <c r="M51" i="24"/>
  <c r="M53" i="24" s="1"/>
  <c r="M44" i="24"/>
  <c r="L7" i="24" s="1"/>
  <c r="L41" i="23"/>
  <c r="L48" i="23"/>
  <c r="O48" i="23" s="1"/>
  <c r="L48" i="31"/>
  <c r="O48" i="31" s="1"/>
  <c r="L41" i="31"/>
  <c r="M43" i="16"/>
  <c r="M48" i="16"/>
  <c r="P48" i="16" s="1"/>
  <c r="K52" i="31"/>
  <c r="L39" i="23"/>
  <c r="L46" i="23"/>
  <c r="B16" i="20"/>
  <c r="O31" i="31"/>
  <c r="L50" i="16"/>
  <c r="K47" i="29"/>
  <c r="B14" i="20"/>
  <c r="L45" i="29"/>
  <c r="O45" i="29" s="1"/>
  <c r="L38" i="29"/>
  <c r="J7" i="29" s="1"/>
  <c r="Y23" i="5"/>
  <c r="J51" i="15"/>
  <c r="K54" i="15"/>
  <c r="K52" i="23"/>
  <c r="J49" i="23"/>
  <c r="I5" i="13"/>
  <c r="K50" i="23"/>
  <c r="H8" i="29"/>
  <c r="D15" i="20"/>
  <c r="K49" i="16"/>
  <c r="L52" i="16"/>
  <c r="L49" i="16" s="1"/>
  <c r="M41" i="35"/>
  <c r="L5" i="35" s="1"/>
  <c r="L43" i="29"/>
  <c r="L36" i="29"/>
  <c r="J5" i="29" s="1"/>
  <c r="K8" i="22"/>
  <c r="C22" i="5" l="1"/>
  <c r="L5" i="16"/>
  <c r="K10" i="16"/>
  <c r="T23" i="5" s="1"/>
  <c r="C8" i="20" s="1"/>
  <c r="I5" i="23"/>
  <c r="I10" i="23" s="1"/>
  <c r="L6" i="24"/>
  <c r="K8" i="16"/>
  <c r="T21" i="5" s="1"/>
  <c r="J6" i="15"/>
  <c r="C6" i="5" s="1"/>
  <c r="L50" i="23"/>
  <c r="K9" i="16"/>
  <c r="J8" i="15"/>
  <c r="J10" i="15"/>
  <c r="K5" i="15"/>
  <c r="P51" i="24"/>
  <c r="L40" i="13"/>
  <c r="O38" i="13"/>
  <c r="L42" i="13"/>
  <c r="L39" i="13" s="1"/>
  <c r="K39" i="13"/>
  <c r="L52" i="24"/>
  <c r="M55" i="24"/>
  <c r="M52" i="24" s="1"/>
  <c r="L52" i="31"/>
  <c r="AA21" i="5"/>
  <c r="E14" i="20" s="1"/>
  <c r="I8" i="31"/>
  <c r="B7" i="20"/>
  <c r="L47" i="29"/>
  <c r="O43" i="29"/>
  <c r="I10" i="13"/>
  <c r="I6" i="13"/>
  <c r="I8" i="13"/>
  <c r="I9" i="13"/>
  <c r="J5" i="13"/>
  <c r="K46" i="29"/>
  <c r="L49" i="29"/>
  <c r="L46" i="29" s="1"/>
  <c r="M54" i="35"/>
  <c r="M51" i="35" s="1"/>
  <c r="L51" i="35"/>
  <c r="K49" i="23"/>
  <c r="L52" i="23"/>
  <c r="L49" i="23" s="1"/>
  <c r="J8" i="24"/>
  <c r="K5" i="24"/>
  <c r="K51" i="31"/>
  <c r="L54" i="31"/>
  <c r="L51" i="31" s="1"/>
  <c r="C15" i="20"/>
  <c r="F15" i="20" s="1"/>
  <c r="L54" i="15"/>
  <c r="L51" i="15" s="1"/>
  <c r="K51" i="15"/>
  <c r="D14" i="20"/>
  <c r="C16" i="20"/>
  <c r="F16" i="20" s="1"/>
  <c r="I13" i="31"/>
  <c r="M52" i="16"/>
  <c r="M49" i="16" s="1"/>
  <c r="M50" i="16"/>
  <c r="O46" i="23"/>
  <c r="S23" i="5" l="1"/>
  <c r="B8" i="20" s="1"/>
  <c r="C23" i="5"/>
  <c r="S21" i="5"/>
  <c r="C21" i="5"/>
  <c r="C5" i="5" s="1"/>
  <c r="D23" i="5"/>
  <c r="K7" i="5" s="1"/>
  <c r="T28" i="5" s="1"/>
  <c r="J6" i="5"/>
  <c r="S27" i="5" s="1"/>
  <c r="K11" i="16"/>
  <c r="I8" i="23"/>
  <c r="E21" i="5" s="1"/>
  <c r="J5" i="23"/>
  <c r="I9" i="23"/>
  <c r="U22" i="5" s="1"/>
  <c r="I6" i="23"/>
  <c r="J11" i="15"/>
  <c r="C32" i="20"/>
  <c r="T22" i="5"/>
  <c r="D22" i="5"/>
  <c r="F22" i="5"/>
  <c r="V22" i="5"/>
  <c r="E7" i="20" s="1"/>
  <c r="E31" i="20" s="1"/>
  <c r="I11" i="13"/>
  <c r="F21" i="5"/>
  <c r="V21" i="5"/>
  <c r="E6" i="20" s="1"/>
  <c r="E30" i="20" s="1"/>
  <c r="V23" i="5"/>
  <c r="E8" i="20" s="1"/>
  <c r="E32" i="20" s="1"/>
  <c r="F23" i="5"/>
  <c r="C6" i="20"/>
  <c r="U23" i="5"/>
  <c r="E23" i="5"/>
  <c r="D21" i="5"/>
  <c r="Y21" i="5"/>
  <c r="K8" i="24"/>
  <c r="L5" i="24"/>
  <c r="B6" i="20" l="1"/>
  <c r="J5" i="5"/>
  <c r="S26" i="5" s="1"/>
  <c r="J7" i="5"/>
  <c r="S28" i="5" s="1"/>
  <c r="C7" i="5"/>
  <c r="O5" i="5" s="1"/>
  <c r="D7" i="5"/>
  <c r="C37" i="20"/>
  <c r="AG15" i="5"/>
  <c r="AG14" i="5"/>
  <c r="E22" i="5"/>
  <c r="L6" i="5" s="1"/>
  <c r="U27" i="5" s="1"/>
  <c r="I11" i="23"/>
  <c r="U21" i="5"/>
  <c r="C7" i="20"/>
  <c r="C31" i="20" s="1"/>
  <c r="K6" i="5"/>
  <c r="T27" i="5" s="1"/>
  <c r="D6" i="5"/>
  <c r="E5" i="5"/>
  <c r="L5" i="5"/>
  <c r="L7" i="5"/>
  <c r="U28" i="5" s="1"/>
  <c r="E7" i="5"/>
  <c r="F7" i="5"/>
  <c r="M7" i="5"/>
  <c r="V28" i="5" s="1"/>
  <c r="D8" i="20"/>
  <c r="F5" i="5"/>
  <c r="M5" i="5"/>
  <c r="V26" i="5" s="1"/>
  <c r="D7" i="20"/>
  <c r="C14" i="20"/>
  <c r="F14" i="20" s="1"/>
  <c r="D5" i="5"/>
  <c r="K5" i="5"/>
  <c r="T26" i="5" s="1"/>
  <c r="F6" i="5"/>
  <c r="M6" i="5"/>
  <c r="V27" i="5" s="1"/>
  <c r="U26" i="5" l="1"/>
  <c r="O6" i="5"/>
  <c r="O7" i="5"/>
  <c r="D6" i="20"/>
  <c r="D30" i="20" s="1"/>
  <c r="D35" i="20" s="1"/>
  <c r="AG13" i="5"/>
  <c r="E6" i="5"/>
  <c r="Q7" i="5" s="1"/>
  <c r="F6" i="20"/>
  <c r="E36" i="20"/>
  <c r="R6" i="5"/>
  <c r="E35" i="20"/>
  <c r="C36" i="20"/>
  <c r="C30" i="20"/>
  <c r="C35" i="20" s="1"/>
  <c r="R7" i="5"/>
  <c r="E37" i="20"/>
  <c r="R5" i="5"/>
  <c r="H7" i="5"/>
  <c r="P5" i="5"/>
  <c r="H5" i="5"/>
  <c r="P6" i="5"/>
  <c r="P7" i="5"/>
  <c r="D31" i="20"/>
  <c r="D36" i="20" s="1"/>
  <c r="F7" i="20"/>
  <c r="D32" i="20"/>
  <c r="D37" i="20" s="1"/>
  <c r="F8" i="20"/>
  <c r="Q6" i="5" l="1"/>
  <c r="Q5" i="5"/>
  <c r="H6" i="5"/>
  <c r="N5" i="5"/>
  <c r="B22" i="20"/>
  <c r="N7" i="5"/>
  <c r="B24" i="20"/>
  <c r="B32" i="20" s="1"/>
  <c r="B23" i="20"/>
  <c r="B31" i="20" s="1"/>
  <c r="N6" i="5" l="1"/>
  <c r="F24" i="20"/>
  <c r="F23" i="20"/>
  <c r="F22" i="20"/>
  <c r="B30" i="20"/>
  <c r="B36" i="20"/>
  <c r="F31" i="20"/>
  <c r="G31" i="20" s="1"/>
  <c r="F32" i="20"/>
  <c r="G32" i="20" s="1"/>
  <c r="B37" i="20"/>
  <c r="B35" i="20" l="1"/>
  <c r="F30" i="20"/>
  <c r="G30"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Allison Stewart</author>
  </authors>
  <commentList>
    <comment ref="A31" authorId="0" shapeId="0" xr:uid="{EA8C0EBC-D8E3-4305-BB13-DAB7D9F65F41}">
      <text>
        <r>
          <rPr>
            <b/>
            <sz val="9"/>
            <color indexed="81"/>
            <rFont val="Tahoma"/>
            <family val="2"/>
          </rPr>
          <t>Allison Stewart:</t>
        </r>
        <r>
          <rPr>
            <sz val="9"/>
            <color indexed="81"/>
            <rFont val="Tahoma"/>
            <family val="2"/>
          </rPr>
          <t xml:space="preserve">
From Missouri West Revenue Analysis
PPC + PCR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Allison Stewart</author>
  </authors>
  <commentList>
    <comment ref="A25" authorId="0" shapeId="0" xr:uid="{63D4616F-B640-4A84-977A-B81BB139C9EA}">
      <text>
        <r>
          <rPr>
            <b/>
            <sz val="9"/>
            <color indexed="81"/>
            <rFont val="Tahoma"/>
            <family val="2"/>
          </rPr>
          <t>Allison Stewart:</t>
        </r>
        <r>
          <rPr>
            <sz val="9"/>
            <color indexed="81"/>
            <rFont val="Tahoma"/>
            <family val="2"/>
          </rPr>
          <t xml:space="preserve">
PPC + PCR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Allison Stewart</author>
  </authors>
  <commentList>
    <comment ref="A25" authorId="0" shapeId="0" xr:uid="{0E527C46-0C18-4A6E-9ABE-1F87E393FC81}">
      <text>
        <r>
          <rPr>
            <b/>
            <sz val="9"/>
            <color indexed="81"/>
            <rFont val="Tahoma"/>
            <family val="2"/>
          </rPr>
          <t>Allison Stewart:</t>
        </r>
        <r>
          <rPr>
            <sz val="9"/>
            <color indexed="81"/>
            <rFont val="Tahoma"/>
            <family val="2"/>
          </rPr>
          <t xml:space="preserve">
PPC + PCR</t>
        </r>
      </text>
    </comment>
  </commentList>
</comments>
</file>

<file path=xl/sharedStrings.xml><?xml version="1.0" encoding="utf-8"?>
<sst xmlns="http://schemas.openxmlformats.org/spreadsheetml/2006/main" count="971" uniqueCount="309">
  <si>
    <t>Low Income</t>
  </si>
  <si>
    <t>Common/General</t>
  </si>
  <si>
    <t>Allocated Program Costs</t>
  </si>
  <si>
    <t>Over/(Under)</t>
  </si>
  <si>
    <t>PCR</t>
  </si>
  <si>
    <t>Total</t>
  </si>
  <si>
    <t>PPC</t>
  </si>
  <si>
    <t>Service Class</t>
  </si>
  <si>
    <t>FORECASTED</t>
  </si>
  <si>
    <t>TDR</t>
  </si>
  <si>
    <t>Interest</t>
  </si>
  <si>
    <t>INPUTS</t>
  </si>
  <si>
    <t>Starting Balance</t>
  </si>
  <si>
    <t>Program Cost Rate</t>
  </si>
  <si>
    <t>4. Total Interest</t>
  </si>
  <si>
    <t>5. Total Interest</t>
  </si>
  <si>
    <t>PTD</t>
  </si>
  <si>
    <t>OA</t>
  </si>
  <si>
    <t>OAR</t>
  </si>
  <si>
    <t>NPC</t>
  </si>
  <si>
    <t>NTD</t>
  </si>
  <si>
    <t>NOA</t>
  </si>
  <si>
    <t>cumulative check</t>
  </si>
  <si>
    <t>monthly GL interest check</t>
  </si>
  <si>
    <t>Residential</t>
  </si>
  <si>
    <t>Non-Residential</t>
  </si>
  <si>
    <t>2. PPC</t>
  </si>
  <si>
    <t>Residential/Non-Residential %</t>
  </si>
  <si>
    <t>DSIM($/kWh)</t>
  </si>
  <si>
    <t>2. PTD</t>
  </si>
  <si>
    <t xml:space="preserve">INPUTS </t>
  </si>
  <si>
    <t>1. Actual/Forecasted Program Costs</t>
  </si>
  <si>
    <t>ACTUAL</t>
  </si>
  <si>
    <t>3. Actual/Forecasted Revenues - Program Costs Only</t>
  </si>
  <si>
    <t>Allocated Actual Program Costs (calculated)</t>
  </si>
  <si>
    <t>Regulatory Asset/(Liability) (calculated)</t>
  </si>
  <si>
    <t>Interest Carrying Cost (calculated)</t>
  </si>
  <si>
    <t>PE (kWh)</t>
  </si>
  <si>
    <t>Defined Terms</t>
  </si>
  <si>
    <t>EP = Effective Period (six months beginning July 2014) and each six month period thereafter</t>
  </si>
  <si>
    <t>PCR = Program Costs Reconciliation for the current EP</t>
  </si>
  <si>
    <t>OA = Ordered Adjustment</t>
  </si>
  <si>
    <t>RP = Recovery Period (six months beginning August 2014) and each six month period thereafter</t>
  </si>
  <si>
    <t>1. PE - Recovery Period Forecasted Billed kWh Sales</t>
  </si>
  <si>
    <t>Billed kWh Sales</t>
  </si>
  <si>
    <t>Billed Revenues</t>
  </si>
  <si>
    <t>2. Actual/Forecasted Billed KWh Sales - Reduced for Opt-Out</t>
  </si>
  <si>
    <t>TDR = Throughput Disincentive Reconciliation in the current EP</t>
  </si>
  <si>
    <t>5. Short-Term Interest Rate</t>
  </si>
  <si>
    <t>6. Current Tariff Rate</t>
  </si>
  <si>
    <t>6. Actual program cost rate component of the tariff rate</t>
  </si>
  <si>
    <t>(Over)/Under (calculated)</t>
  </si>
  <si>
    <t>Cumulative (Over)/Under (calculated)</t>
  </si>
  <si>
    <t>TD</t>
  </si>
  <si>
    <t>Beginning Over/(Under)</t>
  </si>
  <si>
    <t>TD Rate</t>
  </si>
  <si>
    <t>NEO</t>
  </si>
  <si>
    <t>EO</t>
  </si>
  <si>
    <t>EOR</t>
  </si>
  <si>
    <t>Cycle 2 Program Costs Reconciliation (PCR) Calculation</t>
  </si>
  <si>
    <t>Cycle 2 Throughput Disincentive TD Reconciliation (TDR) Calculation</t>
  </si>
  <si>
    <t>2. Actual Revenues - TD Only</t>
  </si>
  <si>
    <t>1. Actual/Forecasted TD</t>
  </si>
  <si>
    <t>Cycle 2 Projected Throughput Disincentive (PTD) TD Calculation</t>
  </si>
  <si>
    <t>1. Forecasted kWh Sales Impact</t>
  </si>
  <si>
    <t>3. kWh Sales Impact</t>
  </si>
  <si>
    <t>7. Current Tariff Rate</t>
  </si>
  <si>
    <t>4. Actual/Forecasted TD</t>
  </si>
  <si>
    <t>7. Actual TD rate component of the tariff rate</t>
  </si>
  <si>
    <t>Cumulative kWh Sales Impact</t>
  </si>
  <si>
    <t>EO Rate</t>
  </si>
  <si>
    <t>OA Rate</t>
  </si>
  <si>
    <t>PPC-cycle 1</t>
  </si>
  <si>
    <t>PTD-cycle 1</t>
  </si>
  <si>
    <t>PPC-cycle 2</t>
  </si>
  <si>
    <t>PTD-cycle 2</t>
  </si>
  <si>
    <t>PCR-cycle 1</t>
  </si>
  <si>
    <t>TDR-cycle 1</t>
  </si>
  <si>
    <t>PCR-cycle 2</t>
  </si>
  <si>
    <t>TDR-cycle 2</t>
  </si>
  <si>
    <t>EO-cycle 1</t>
  </si>
  <si>
    <t>EOR-cycle 1</t>
  </si>
  <si>
    <t>1. Ordered Adjustment</t>
  </si>
  <si>
    <t>2. Carrying Costs on OA</t>
  </si>
  <si>
    <t>1. Actual/Forecasted Earnings Opportunity</t>
  </si>
  <si>
    <t>2. Actual Revenues - EO Only</t>
  </si>
  <si>
    <t>4. Short-Term Interest Rate</t>
  </si>
  <si>
    <t>3. Actual/Forecasted EO Amortization</t>
  </si>
  <si>
    <t>2. Actual Revenues - OA Only</t>
  </si>
  <si>
    <t>1. Actual/Forecasted Ordered Adjustments</t>
  </si>
  <si>
    <t>3. Actual/Forecasted Ordered Adjustments</t>
  </si>
  <si>
    <t>OA-cycle 2</t>
  </si>
  <si>
    <t>OAR-cycle 2</t>
  </si>
  <si>
    <t>6. Actual EO rate component of the tariff rate</t>
  </si>
  <si>
    <t>Cycle 2 Ordered Adjustments Reconciliation (OAR) Calculation</t>
  </si>
  <si>
    <t>Cycle 2 Ordered Adjustment (OA) Calculation</t>
  </si>
  <si>
    <t>Cycle 2 Earnings Opportunity (EO) Calculation</t>
  </si>
  <si>
    <t>5. Total Earnings Opportunity plus Carrying Costs</t>
  </si>
  <si>
    <t>1. Total Earnings Opportunity</t>
  </si>
  <si>
    <t>2. EO TD Ex Post Gross Adjustment</t>
  </si>
  <si>
    <t>4. Carrying Costs @ AFUDC Rate</t>
  </si>
  <si>
    <t>EO-cycle 2</t>
  </si>
  <si>
    <t>3. EO TD NTG Adjustment</t>
  </si>
  <si>
    <t>6. Amortization Over 24 Month Recovery Period</t>
  </si>
  <si>
    <t>EOR-cycle 2</t>
  </si>
  <si>
    <t>Non-Residential SGS</t>
  </si>
  <si>
    <t>Non-Residential LGS</t>
  </si>
  <si>
    <t>Non-Residential LPS</t>
  </si>
  <si>
    <t>Cycle 2 kWh Participation</t>
  </si>
  <si>
    <t>Total Non-Residential</t>
  </si>
  <si>
    <t>Cycle 3 Projected Program Costs (PPC) Calculation</t>
  </si>
  <si>
    <t>Cycle 3 Projected Throughput Disincentive (PTD) TD Calculation</t>
  </si>
  <si>
    <t>PPC-cycle 3</t>
  </si>
  <si>
    <t>PTD-cycle 3</t>
  </si>
  <si>
    <t>EO-cycle 3</t>
  </si>
  <si>
    <t>OA-cycle 3</t>
  </si>
  <si>
    <t>PCR-cycle 3</t>
  </si>
  <si>
    <t>TDR-cycle 3</t>
  </si>
  <si>
    <t>EOR-cycle 3</t>
  </si>
  <si>
    <t>OAR-cycle 3</t>
  </si>
  <si>
    <t>7. Cycle 2 kWh Participation</t>
  </si>
  <si>
    <t>6. Short-Term Interest Rate</t>
  </si>
  <si>
    <t>8. Cycle 2 kWh Participation</t>
  </si>
  <si>
    <t>6. Actual OA rate component of the tariff rate</t>
  </si>
  <si>
    <t>Cycle 2</t>
  </si>
  <si>
    <t>Cycle 3</t>
  </si>
  <si>
    <t>Total DSIM</t>
  </si>
  <si>
    <t>NOA ($/kWh)</t>
  </si>
  <si>
    <t>NEO ($/kWh)</t>
  </si>
  <si>
    <t>NTD ($/kWh)</t>
  </si>
  <si>
    <t>NPC ($/kWh)</t>
  </si>
  <si>
    <t>Rate Schedule</t>
  </si>
  <si>
    <t>Non-Residential - SGS</t>
  </si>
  <si>
    <t>Non-Residential - LGS</t>
  </si>
  <si>
    <t>Non-Residential - LPS</t>
  </si>
  <si>
    <t>Cycle 3 Program Costs Reconciliation (PCR) Calculation</t>
  </si>
  <si>
    <t>1. Allocated Actual Program Costs</t>
  </si>
  <si>
    <t>Cycle 3 Throughput Disincentive TD Reconciliation (TDR) Calculation</t>
  </si>
  <si>
    <t>Cycle 2 Earnings Opportunity Reconciliation (EOR) Calculation</t>
  </si>
  <si>
    <t>PTD = Projected Throughput Disincentive in the upcoming EP plus the succeeding EP</t>
  </si>
  <si>
    <t>PPC = Projected Program Costs in the upcoming EP plus the succeeding EP</t>
  </si>
  <si>
    <t>EO = Earnings Opportunity amortized in the upcoming EP plus the succeeding EP</t>
  </si>
  <si>
    <t>EOR = Earnings Opportunity Reconciliation in the current EP</t>
  </si>
  <si>
    <t>OAR = Ordered Adjustment Reconciliation in the current EP</t>
  </si>
  <si>
    <t>NTD = Net Throughput Disincentive for the upcoming EP plus the succeeding EP (PTD + TDR)</t>
  </si>
  <si>
    <t>NPC = Net Program Costs for the upcoming EP plus the succeeding EP (PPC + PCR)</t>
  </si>
  <si>
    <t>NEO = Net Earnings Opportunity for the upcoming EP plus the succeeding EP (EO + EOR)</t>
  </si>
  <si>
    <t>Res</t>
  </si>
  <si>
    <t>SGS</t>
  </si>
  <si>
    <t>LGS</t>
  </si>
  <si>
    <t>LPS</t>
  </si>
  <si>
    <t>Cycle 2 - Total</t>
  </si>
  <si>
    <t>5. Total Earnings Opportunity plus Carrying Costs - Source: Sum of Columns 1. through 4.</t>
  </si>
  <si>
    <t>1.  Actual monthly EO - Source: Sum of Line 3.
    Forecasted monthly EO - Source: Sum of Line 3.</t>
  </si>
  <si>
    <t>Cycle 3 Earnings Opportunity (EO) Calculation</t>
  </si>
  <si>
    <t>Cycle 3 - Total</t>
  </si>
  <si>
    <t>6. Amortization Over 12 Month Recovery Period</t>
  </si>
  <si>
    <t>Cycle 2 - Program Years 1 to 3 (including EO TD Adjustments through March 2019) (Amortize March 2020-February 2022)</t>
  </si>
  <si>
    <t>Cycle 2 - Program Year 4 (including EO TD Adjustments April 2019 to December 2021) (Amortize February 2021-January 2023)</t>
  </si>
  <si>
    <t>Cycle 2 - EO TD Adjustments January - November 2022 (Amortize August 2021-July 2023)</t>
  </si>
  <si>
    <t>Cycle 3 - Program Year 1 (including EO TD Adjustments through October 2021) (Amortize February 2022-January 2023)</t>
  </si>
  <si>
    <t>Cycle 2 - EO TD Adjustments Carrying Costs May - October 2021 (Amortize February 2022-January 2024)</t>
  </si>
  <si>
    <t>Cycle 3 Earnings Opportunity Reconciliation (EOR) Calculation</t>
  </si>
  <si>
    <t>Cycle 2 - EO TD Adjustments Carrying Costs November 2021 - April 2022 (Amortize August 2022-July 2024)</t>
  </si>
  <si>
    <t>2. Forecasted program costs by customer class - Source: sum of 3. and 4.</t>
  </si>
  <si>
    <t>1. &amp; 3. Actual monthly Ordered Adjustments - Source: None</t>
  </si>
  <si>
    <t>Cycle 3 - Program Year 1 EO TD Adjustments November 2021 - April 2022 (Amortize August 2022 - July 2023)</t>
  </si>
  <si>
    <t>Cycle 3 Ordered Adjustment (OA) Calculation</t>
  </si>
  <si>
    <t>1. Ordered Adjustment - Program Costs</t>
  </si>
  <si>
    <t>2. Ordered Adjustment - Throughput Disincentive</t>
  </si>
  <si>
    <t>3. Carrying Costs on OA</t>
  </si>
  <si>
    <t>Cycle 3 Ordered Adjustments Reconciliation (OAR) Calculation</t>
  </si>
  <si>
    <t>2. Forecasted Throughput Disincentive - Source: None, TD reset effective December 2022</t>
  </si>
  <si>
    <t>Cycle 3 - Program Year 1 EO TD Adjustments May 2022 - November 2022 (Amortize February 2023 - January 2024)</t>
  </si>
  <si>
    <t>Allocation</t>
  </si>
  <si>
    <t>Cycle 2 - EO TD Adjustments Carrying Costs May 2022 - November 2022 (Amortize February 2023-January 2025)</t>
  </si>
  <si>
    <t>Cycle 2 - EO TD Adjustments December 2022 (Amortize August 2023-July 2025)</t>
  </si>
  <si>
    <t>Cycle 3 - Program Year 2 (including EO TD Adjustments through December 2022) (Amortize August 2023-July 2024)</t>
  </si>
  <si>
    <t>7. Cycle 2 kWh Participation - Source: Missouri West Cycle 2 Monthly TD Calc 122022 01092023.xlsx</t>
  </si>
  <si>
    <t>8. Cycle 2 kWh Participation - Source: Missouri West Cycle 2 Monthly TD Calc 122022 01092023.xlsx</t>
  </si>
  <si>
    <t>NOA = Net Ordered Adjustment for the upcoming EP plus the succeeding EP (OA + OAR)</t>
  </si>
  <si>
    <t xml:space="preserve">PE = Projected Energy, in kWh to be delivered during the upcoming RP plus the succeeding RP </t>
  </si>
  <si>
    <t>3. Actual/Forecasted EO Amortization - Source:  EO Cycle 2 tab column G divided by remaining months on EO Cycle 2 tab.</t>
  </si>
  <si>
    <t>3. Actual/Forecasted EO Amortization - Source:  EO Cycle 3 tab column G divided by remaining months on EO Cycle 3 tab.</t>
  </si>
  <si>
    <t>Tab</t>
  </si>
  <si>
    <t>Summary Description</t>
  </si>
  <si>
    <t>Summary of Sources</t>
  </si>
  <si>
    <t>Tariff Tables</t>
  </si>
  <si>
    <t>Program Costs, Throughput Disincentive, Earnings Opportunity and Ordered Adjustments from subsidiary tabs listed below</t>
  </si>
  <si>
    <t>DSIM Cycle Tables</t>
  </si>
  <si>
    <t>Analysis of DSIM rates by Customer Class by MEEIA Cycle and Cost Components</t>
  </si>
  <si>
    <t>Tariff Tables tab</t>
  </si>
  <si>
    <t>PPC Cycle 3</t>
  </si>
  <si>
    <t>PCR Cycle 2</t>
  </si>
  <si>
    <t>The Company analyzes monthly DSIM rider revenues billed by customer class and DSIM cost component per the DSIM tariffs (PPC, PCR, PTD, TDR, EO, EOR, OA and OAR). Interest is calculated on the over or under recovered Program Costs at the short-term borrowing rates defined in the DSIM tariffs.</t>
  </si>
  <si>
    <t>PCR Cycle 3</t>
  </si>
  <si>
    <t>The Company analyzes monthly DSIM rider revenues billed by MEEIA Cycle, customer class and DSIM cost component per the DSIM tariffs (PPC, PCR, PTD, TDR, EO, EOR, OA and OAR). Each month the Company analyzes actual program costs by program which are mapped or allocated to customer classes.  Monthly DSIM rider revenues billed are compared to actual Program Costs to determine current over or under recovery which is accumulated by customer class.  Interest is calculated on the over or under recovered Program Costs at the short-term borrowing rates defined in the DSIM tariffs.</t>
  </si>
  <si>
    <t>PTD Cycle 2</t>
  </si>
  <si>
    <t>PTD Cycle 3</t>
  </si>
  <si>
    <t>TDR Cycle 2</t>
  </si>
  <si>
    <t>The Company analyzes monthly DSIM rider revenues billed by customer class and DSIM cost component per the DSIM tariffs (PPC, PCR, PTD, TDR, EO, EOR, OA and OAR). Pursuant to DSIM tariffs the Company calculates monthly Throughput Disincentive for Cycle 2 based on cumulative reported deemed kWh savings by MEEIA program and customer class, monthly loadshapes per program, current margin rates per customer class and Net to Gross (NTG) Factors in the tariff. As noted above, Cycle 2 Throughput Disincentive was reset to zero after December 2022 concurrent with the new rates effective in January 2023. Interest is calculated on the over or under recovered Throughput Disincentive at the short-term borrowing rates defined in the DSIM tariffs.</t>
  </si>
  <si>
    <t>TDR Cycle 3</t>
  </si>
  <si>
    <t>The Company analyzes monthly DSIM rider revenues billed by customer class and DSIM cost component per the DSIM tariffs (PPC, PCR, PTD, TDR, EO, EOR, OA and OAR). Pursuant to DSIM tariffs the Company calculates monthly Throughput Disincentive for Cycle 3 based on cumulative reported deemed kWh savings by MEEIA program and customer class, monthly loadshapes per program, current margin rates per customer class and Net to Gross (NTG) Factors in the tariff. As noted above, Cycle 3 Throughput Disincentive was adjusted after December 2022 to reflect the cumulative kWh savings through the true-up date of the recent rate cases (May 31, 2023) and updated margin rates concurrent with the new rates effective in January 2023. Interest is calculated on the over or under recovered Throughput Disincentive at the short-term borrowing rates defined in the DSIM tariffs.</t>
  </si>
  <si>
    <t>EO Cycle 2</t>
  </si>
  <si>
    <t>Earnings Opportunity awards are calculated for each program year following the finalization of the Evaluation, Measurement &amp; Verification (EM&amp;V) by applying the EO Matrix in the DSIM tariffs to the evaluated, net verified kWh and kW savings and other factors.  Additionally, the EO TD Ex Post Gross and Net to Gross Adjustments are calculated by recomputing Throughput Disincentive using the EM&amp;V reported kWh savings with carrying costs.  These calculated amounts are amortized into the DSIM rates over 24 months. This update includes Cycle 2 EO TD Adjustments with carrying costs through December 2022 as noted in the Throughput Disincentive calculation above plus continued amortization of previously reported amounts from prior updates as appropriate.</t>
  </si>
  <si>
    <t>EO Cycle 3</t>
  </si>
  <si>
    <t>EOR Cycle 2</t>
  </si>
  <si>
    <t>The Company analyzes monthly DSIM rider revenues billed by customer class and DSIM cost component per the DSIM tariffs (PPC, PCR, PTD, TDR, EO, EOR, OA and OAR). Pursuant to the DSIM tariffs Earnings Opportunity, including EO TD Adjustments are amortized over 24 months. Interest is calculated on the over or under recovered Earnings Opportunity at the short-term borrowing rates defined in the DSIM tariffs.</t>
  </si>
  <si>
    <t>EOR Cycle 3</t>
  </si>
  <si>
    <t>The Company analyzes monthly DSIM rider revenues billed by customer class and DSIM cost component per the DSIM tariffs (PPC, PCR, PTD, TDR, EO, EOR, OA and OAR). Pursuant to the DSIM tariffs Earnings Opportunity, including EO TD Adjustments are amortized over 12 months. Interest is calculated on the over or under recovered Earnings Opportunity at the short-term borrowing rates defined in the DSIM tariffs.</t>
  </si>
  <si>
    <t>OA Cycle 2</t>
  </si>
  <si>
    <t>OA Cycle 3</t>
  </si>
  <si>
    <t>OAR Cycle 2</t>
  </si>
  <si>
    <t>The Company analyzes monthly DSIM rider revenues billed by customer class and DSIM cost component per the DSIM tariffs (PPC, PCR, PTD, TDR, EO, EOR, OA and OAR). Interest is calculated on the over or under recovered Ordered Adjustments at the short-term borrowing rates defined in the DSIM tariffs.</t>
  </si>
  <si>
    <t>OAR Cycle 3</t>
  </si>
  <si>
    <t>1. Ordered Adjustment - Source: None</t>
  </si>
  <si>
    <t>2. Carrying Costs on OA - Source: None</t>
  </si>
  <si>
    <t>1. Ordered Adjustment - Program Costs - Source: None</t>
  </si>
  <si>
    <t>2. Ordered Adjustment - Throughput Disincentive - Source: None</t>
  </si>
  <si>
    <t>3. Carrying Costs on OA - Source: None</t>
  </si>
  <si>
    <t>1. Actual monthly program costs allocated to customer classes: Residential, Small General Service, Large General Service and Large Power Service - Source: None
    Forecasted monthly program costs allocated to customer classes: Residential, Small General Service, Large General Service and Large Power Service - Source: None</t>
  </si>
  <si>
    <t>1. Forecasted kWh savings by customer classes: Residential, Small General Service, Large General Service and Large Power Service - Source: None, TD reset effective December 2022</t>
  </si>
  <si>
    <t>Check</t>
  </si>
  <si>
    <t>For next rider filing, reversal of Forecast to input in column C</t>
  </si>
  <si>
    <t>1. &amp; 4. Actual monthly TD - Source: None, TD reset effective December 2022
    Forecasted monthly TD - Source: None</t>
  </si>
  <si>
    <t>3. Actual kWh Sales Impact - Source:  None, TD reset effective December 2022
    Forecasted kWh Sales Impact - Source: None</t>
  </si>
  <si>
    <t>1. Total Earnings Opportunity - Source: Missouri West EO Calculation PY1-PY3 v2.xlsx, Missouri West EO Calculation PY4.xlsx; final amounts included in 6/1/2023 filing</t>
  </si>
  <si>
    <t>2. EO TD Ex Post Gross Adjustment -  Source: TD Model Missouri West PY1-3 122022.xlsx, TD Model Missouri West PY4 122022.xlsx; final amounts included in 6/1/2023 filing</t>
  </si>
  <si>
    <t>3. EO TD NTG Adjustment -  Source: TD Model Missouri West PY1-3 122022.xlsx, TD Model Missouri West PY4 122022.xlsx; final amounts included in 6/1/2023 filing</t>
  </si>
  <si>
    <t>4. Carrying Costs @ AFUDC Rate -  Source: TD Model Missouri West PY1-3 122022.xlsx, TD Model Missouri West PY4 122022.xlsx; final amounts included in 6/1/2023 filing</t>
  </si>
  <si>
    <t>Cycle 3 - Program Year 3 (including EO TD Adjustments through October 2023) (Amortize February 2024 -January 2025)</t>
  </si>
  <si>
    <r>
      <t xml:space="preserve">Cycle 3 - Program Year 3 EO TD Adjustments November 2023 through </t>
    </r>
    <r>
      <rPr>
        <b/>
        <sz val="11"/>
        <color rgb="FFFF0000"/>
        <rFont val="Calibri"/>
        <family val="2"/>
        <scheme val="minor"/>
      </rPr>
      <t>xxxx</t>
    </r>
    <r>
      <rPr>
        <b/>
        <sz val="11"/>
        <color theme="1"/>
        <rFont val="Calibri"/>
        <family val="2"/>
        <scheme val="minor"/>
      </rPr>
      <t xml:space="preserve"> (Amortize August 2024 - July 2025)</t>
    </r>
  </si>
  <si>
    <t>2. EO TD Ex Post Gross Adjustment -  Source: Missouri West Cycle 3 PY1 EO TD Adj Calc.xlsx, Missouri West Cycle 3 PY2 EO TD Adj Calc.xlsx, Missouri West Cycle 3 PY3 EO TD Adj Calc.xlsx</t>
  </si>
  <si>
    <t>3. EO TD NTG Adjustment -  Source: Missouri West Cycle 3 PY1 EO TD Adj Calc.xlsx, Missouri West Cycle 3 PY2 EO TD Adj Calc.xlsx, Missouri West Cycle 3 PY3 EO TD Adj Calc.xlsx</t>
  </si>
  <si>
    <t>4. Carrying Costs @ AFUDC Rate -  Source: Missouri West Cycle 3 PY1 EO TD Adj Calc.xlsx, Missouri West Cycle 3 PY2 EO TD Adj Calc.xlsx, Missouri West Cycle 3 PY3 EO TD Adj Calc.xlsx</t>
  </si>
  <si>
    <t>Cycle 2 Throughput Disincentive was reset to zero after December 2022 concurrent with the new retail rates effective in January 2023. Interest is calculated on the over or under recovered Throughput Disincentive at the short-term borrowing rates defined in the DSIM tariffs.</t>
  </si>
  <si>
    <t>Cycle 3 - Program Year 1 EO TD Adjustments December 2022 (Amortize February 2024 - January 2025)</t>
  </si>
  <si>
    <t>PPC-cycle 4</t>
  </si>
  <si>
    <t>PTD-cycle 4</t>
  </si>
  <si>
    <t>EO-cycle 4</t>
  </si>
  <si>
    <t>OA-cycle 4</t>
  </si>
  <si>
    <t>PCR-cycle 4</t>
  </si>
  <si>
    <t>TDR-cycle 4</t>
  </si>
  <si>
    <t>EOR-cycle 4</t>
  </si>
  <si>
    <t>OAR-cycle 4</t>
  </si>
  <si>
    <t>Evergy Missouri West, Inc. - DSIM Rider Update Filed 06/01/2024</t>
  </si>
  <si>
    <t>Cycle 4</t>
  </si>
  <si>
    <t>Projections for Cycle 3 July 2024 - June 2025 DSIM</t>
  </si>
  <si>
    <t>Calculation of DSIM Rates by Customer Class Effective August 1, 2024 through July 31, 2025</t>
  </si>
  <si>
    <t>Projected Program Costs for Cycle 3 for the period July 2024 through June 2025 and projected billed kWh sales for the period August 2024 through July 2025</t>
  </si>
  <si>
    <t>The Company updates a forecast of program costs and throughput disincentive, among other items, based on actual reported results through April 2024 and forecasted results through the remainder of Cycle 3. Program costs by customer class are summarized from that forecast. Projected billed kWh sales by customer class (net of opt outs) are extracted from the Company budget.</t>
  </si>
  <si>
    <t>Program Cost Reconciliation for Cycle 2 for the period November 2023 through April 2024 compares the DSIM revenues billed for the Cycle 2 cost components to the carryforward of under or over recovered Cycle 2 Program Costs.</t>
  </si>
  <si>
    <t>Program Cost Reconciliation for Cycle 3 for the period November 2023 through April 2024 compares the DSIM revenues billed for the Cycle 3 cost components to actual program costs incurred plus the carryforward of under or over recovered Cycle 3 Program Costs.</t>
  </si>
  <si>
    <t>Projected Throughput Disincentive for Cycle 2 for the period July 2024 through June 2025.</t>
  </si>
  <si>
    <t>PCR Cycle 4</t>
  </si>
  <si>
    <t>Program Cost Reconciliation for Cycle 4 planning costs through December 2023 compares the DSIM revenues billed for the Cycle 4 cost components to actual planning costs incurred plus the carryforward of under or over recovered Cycle 4 planning costs.</t>
  </si>
  <si>
    <t>Projected Throughput Disincentive for Cycle 2 for the period July 2024 through June 2025 are zero due to the rebasing of cumulative kWh savings in the most recent rates effective January 2023.</t>
  </si>
  <si>
    <t>Projected Throughput Disincentive for Cycle 3 for the period July 2024 through June 2025</t>
  </si>
  <si>
    <t xml:space="preserve">The Company updates a forecast of program costs and throughput disincentive, among other items, based on actual reported results through April 2024 and forecasted results through the remainder of Cycle 3. Throughput Disincentive by customer class is summarized from that forecast. </t>
  </si>
  <si>
    <t>Throughput Disincentive Reconciliation for Cycle 3 for the period November 2023 through April 2024 compares the DSIM revenues billed for the Cycle 3 cost components to calculated Throughput Disincentive for Cycle 3 and the carryforward of under or over recovered Cycle 3 Throughput Disincentive.</t>
  </si>
  <si>
    <t>Earnings Opportunity Cycle 2, including EO TD Ex Post Gross and Net to Gross Adjustments (EO TD Adjustments) for the period July 2024 through June 2025</t>
  </si>
  <si>
    <t>Earnings Opportunity Cycle 3, including EO TD Ex Post Gross and Net to Gross Adjustments (EO TD Adjustments) for the period July 2024 through June 2025</t>
  </si>
  <si>
    <t>Earnings Opportunity awards are calculated for each program year following the finalization of the Evaluation, Measurement &amp; Verification (EM&amp;V) by applying the EO Matrix in the DSIM tariffs to the evaluated, net verified kWh and kW savings and other factors.  Additionally, the EO TD Ex Post Gross and Net to Gross Adjustments are calculated by recomputing Throughput Disincentive using the EM&amp;V reported kWh savings with carrying costs.  These calculated amounts are amortized into the DSIM rates over 12 months. This update includes Cycle 3 Earnings Opportunity for program year 3 (2022) based on the final EM&amp;V results approved in  EO TD Adjustments with carrying costs through April 2024 plus continued amortization of previously reported amounts from prior updates as appropriate.</t>
  </si>
  <si>
    <t>Earnings Opportunity Reconciliation for Cycle 2 for the period November 2023 through April 2024 compares the DSIM revenues billed for the Cycle 2 cost components to amortization of EO Cycle 2 above and the carryforward of under or over recovered Cycle 2 Earnings Opportunity.</t>
  </si>
  <si>
    <t>Earnings Opportunity Reconciliation for Cycle 3 for the period November 2023 through April 2024 compares the DSIM revenues billed for the Cycle 2 cost components to amortization of EO Cycle 3 above and the carryforward of under or over recovered Cycle 3 Earnings Opportunity.</t>
  </si>
  <si>
    <t>Ordered Adjustments for Cycle 2 for the period July 2024 through June 2025</t>
  </si>
  <si>
    <t>None - There were no additional Ordered Adjustments for Cycle 2 for the period July 2024 through June 2025</t>
  </si>
  <si>
    <t>None - There were no additional Ordered Adjustments for Cycle 3 for the period July 2024 through June 2025</t>
  </si>
  <si>
    <t>Ordered Adjustments for Cycle 3 for the period July 2024 through June 2025</t>
  </si>
  <si>
    <t>Ordered Adjustments Reconciliation for Cycle 2 for the period November 2023 through April 2024 compares the DSIM revenues billed for the Cycle 2 cost components to the carryforward of under or over recovered Cycle 2 Ordered Adjustments.</t>
  </si>
  <si>
    <t>Ordered Adjustments Reconciliation for Cycle 3 for the period November 2023 through April 2024 compares the DSIM revenues billed for the Cycle 3 cost components to the carryforward of under or over recovered Cycle 3 Ordered Adjustments.</t>
  </si>
  <si>
    <t>3. Cycle 3 Extension - July 2024 - June 2025</t>
  </si>
  <si>
    <r>
      <t xml:space="preserve">6. Amortization Over 24 Month Recovery Period - Source: Column 5  PY 1 - 3 divided by 24 times 0 months remaining recovery, PY 4 Column 5 divided by 24 times 0, EO TD Adjustments January - November 2022 Column 5 divided by 24 times 0, EO TD Adjustments Carrying Costs May - October 2021 Column 5 divided by 24 times </t>
    </r>
    <r>
      <rPr>
        <sz val="11"/>
        <color theme="1"/>
        <rFont val="Calibri"/>
        <family val="2"/>
        <scheme val="minor"/>
      </rPr>
      <t>0</t>
    </r>
    <r>
      <rPr>
        <b/>
        <sz val="11"/>
        <color theme="1"/>
        <rFont val="Calibri"/>
        <family val="2"/>
        <scheme val="minor"/>
      </rPr>
      <t xml:space="preserve">, EO TD Adjustments Carrying Costs November 2021 - April 2022 Column 5 divided by 24 times </t>
    </r>
    <r>
      <rPr>
        <sz val="11"/>
        <color theme="1"/>
        <rFont val="Calibri"/>
        <family val="2"/>
        <scheme val="minor"/>
      </rPr>
      <t>1</t>
    </r>
    <r>
      <rPr>
        <b/>
        <sz val="11"/>
        <color theme="1"/>
        <rFont val="Calibri"/>
        <family val="2"/>
        <scheme val="minor"/>
      </rPr>
      <t>, EO TD Adjustments Carrying Costs May 2022 - November 2022 Column 5 divided by 24 times 7, EO TD Adjustments December 2022 Column 5 divided by 24 times 12</t>
    </r>
  </si>
  <si>
    <t>Cumulative Over/Under Carryover From 12/01/2023 Filing</t>
  </si>
  <si>
    <t>Reverse November 2023 - January 2024 Forecast From 12/01/2023 Filing</t>
  </si>
  <si>
    <t>Cycle 4 Program Costs Reconciliation (PCR) Calculation</t>
  </si>
  <si>
    <t>3. Actual monthly billed revenues by customer classes: Residential, Small General Service, Medium General Service, Large General Service and Large Power Service (program cost revenues only) - Source: none
    Forecasted monthly billed revenues by customer classes: Residential, Small General Service, Medium General Service, Large General Service and Large Power Service (program cost revenues only) - Source: calculated = Forecasted billed kWh sales X tariff rate</t>
  </si>
  <si>
    <t>5. Cycle 3 Forecast- July 2024 - June 2025</t>
  </si>
  <si>
    <t>Cycle 3 - Program Year 3 EO TD Adjustments November 2023 through April 2024 (Amortize August 2024 - July 2025)</t>
  </si>
  <si>
    <t>Cycle 3 - Program Year 4 (Amortize August 2024 -July 2025)</t>
  </si>
  <si>
    <t>1. Total Earnings Opportunity - Source: Missouri West EO Calculated Cycle 3 PY1.xlsx, MO West EO Calculated Cycle 3 PY2.xlsx, MO West EO Calculated Cycle 3 PY3.xlsx, Missouri West EO Calculated Cycle 3 PY4.xlsx</t>
  </si>
  <si>
    <t>6. Amortization Over 12 Month Recovery Period - Source: Column 5  PY 1 EO and EO TD Adjustments through October 2021 divided by 12 times 0 months in forecast period, Program Year 1 EO TD Adjustments November 2021 - April 2022 divided by 12 times 0 months in forecast period, Program Year 1 EO TD Adjustments May 2022 - November 2022 divided by 12 times 0 months in forecast period, Program Year 1 EO TD Adjustments Carry Costs May 2022-November 2022, True-up November 2022 to final rate divided by 12 times 7 months in forecast period, Program Year 1 EO TD Adjustments December 2022 - April 2023 divided by 12 times 7 months in forecast period, PY 2 EO and EO TD Adjustments divided by 12 times 1 months in forecast period, Program Year 3 EO and EO TD Adjustments through October 2023 divided by 12 times 7 months in forecast period; Program Year 3 EO TD Adjustments November 2023 through April 2024 divided by 12 times 11 months in forecast period; Program Year 4 through April 2024 divided by 12 times 11 months in forecast period</t>
  </si>
  <si>
    <t>1. Actual monthly program costs allocated to customer classes: Residential, Small General Service, Large General Service and Large Power Service - Source: MEEIA Cycle 4 Planning Costs thru 12 2023 Spend Allocations Worksheet.xlsx</t>
  </si>
  <si>
    <t>1. Forecasted kWh by Residential, Small General Service, Large General Service and Large Power Service (Reduced for Opt-Out) - Source: Billed kWh Budget MO West 2023 and later.xlsx</t>
  </si>
  <si>
    <t>2. Actual monthly kWh billed sales by customer classes: Residential, Small General Service, Large General Service and Large Power Service (reduced for opt-out) - Source: Missouri West MEEIA 2024 Revenue Analysis.xlsx
    Forecasted monthly kWh billed sales by customer classes: Residential, Small General Service, Large General Service and Large Power Service (reduced for opt-out) - Source: Billed kWh Budget MO West 2023 and later.xlsx</t>
  </si>
  <si>
    <t>3. Actual monthly billed revenues by customer classes: Residential, Small General Service, Large General Service and Large Power Service (program cost revenues only) - Source: Missouri West MEEIA 2024 Revenue Analysis.xlsx
    Forecasted monthly billed revenues by customer classes: Residential, Small General Service, Large General Service and Large Power Service (program cost revenues only) - Source: calculated = Forecasted billed kWh sales X tariff rate</t>
  </si>
  <si>
    <t>5. Monthly Short-Term Borrowing Rate - Source: Missouri West ST Borrowing Rates Nov23-Apr24.xlsx</t>
  </si>
  <si>
    <t>1. Actual monthly program costs allocated to customer classes: Residential, Small General Service, Large General Service and Large Power Service - Source: 11 2323 MO West Spend Allocations Worksheet final.xlsx, 12 2023 MO West Spend Allocations Worksheet final.xlsx, 01 2024 MO West Spend Allocations Worksheet final.xlsx, 02 2024 MO West Spend Allocations Worksheet final- 04222024 corr.xlsx, 03 2024 MO West Spend Allocations Worksheet final.xlsx, 04 2024 MO West Spend Allocations Worksheet final.xlsx
    Forecasted monthly program costs allocated to customer classes: Residential, Small General Service, Large General Service and Large Power Service - Source: MO West Program Costs by Customer Class 2024 Ext 072024-062025.xlsx</t>
  </si>
  <si>
    <t>2. Actual monthly kWh billed sales by customer classes: Residential, Small General Service, Medium General Service, Large General Service and Large Power Service (reduced for opt-out) - Source: Missouri West MEEIA 2024 Revenue Analysis.xlsx
    Forecasted monthly kWh billed sales by customer classes: Residential, Small General Service, Medium General Service, Large General Service and Large Power Service (reduced for opt-out) - Source: Billed kWh Budget MO West 2023 and later.xlsx</t>
  </si>
  <si>
    <t>3. Actual monthly billed revenues by customer classes: Residential, Small General Service, Medium General Service, Large General Service and Large Power Service (program cost revenues only) - Source: Missouri West MEEIA 2024 Revenue Analysis.xlsx
    Forecasted monthly billed revenues by customer classes: Residential, Small General Service, Medium General Service, Large General Service and Large Power Service (program cost revenues only) - Source: calculated = Forecasted billed kWh sales X tariff rate</t>
  </si>
  <si>
    <t>2. Forecasted monthly kWh billed sales by customer classes: Residential, Small General Service, Medium General Service, Large General Service and Large Power Service (reduced for opt-out) - Source: Billed kWh Budget MO West 2023 and later.xlsx</t>
  </si>
  <si>
    <t>1. Forecasted kWh savings by customer classes: Residential, Small General Service, Large General Service and Large Power Service  - Source: Missouri West Cycle 3 Monthly TD Calc 042024 05212024- for forecast.xlsx</t>
  </si>
  <si>
    <t>3. Forecasted Throughput Disincentive - Source: Missouri West Cycle 3 Monthly TD Calc 042024 05212024- for forecast.xlsx</t>
  </si>
  <si>
    <t>4. Forecasted Throughput Disincentive - Source: Missouri West Cycle 3 Monthly TD Calc 042024 05212024- for forecast.xlsx</t>
  </si>
  <si>
    <t>5. Forecasted Throughput Disincentive - Source: Missouri West Cycle 3 Monthly TD Calc 042024 05212024- for forecast.xlsx</t>
  </si>
  <si>
    <t>2. Actual monthly billed revenues by customer classes: Residential, Small General Service, Large General Service and Large Power Service (TD revenues only) - Source: Missouri West MEEIA 2024 Revenue Analysis.xlsx
Forecasted monthly billed revenues by customer classes: Residential, Small General Service, Large General Service and Large Power Service (TD revenues only) - Source: calculated = Forecasted billed kWh sales X tariff rate</t>
  </si>
  <si>
    <t>6. Monthly Short-Term Borrowing Rate - Source: Missouri West ST Borrowing Rates Nov23-Apr24.xlsx</t>
  </si>
  <si>
    <t>1. &amp; 4. Actual monthly TD - Source: Missouri West Cycle 3 Monthly TD Calc 042024 05212024- for forecast.xlsx
    Forecasted monthly TD - Source: Missouri West Cycle 3 Monthly TD Calc 042024 05212024- for forecast.xlsx</t>
  </si>
  <si>
    <t>2. Actual monthly billed revenues by customer classes: Residential, Small General Service, Large General Service and Large Power Service (TD revenues only) - Source: Missouri West MEEIA 2024 Revenue Analysis.xlsx
   Forecasted monthly billed revenues by customer classes: Residential, Small General Service, Large General Service and Large Power Service (TD revenues only) - Source: calculated = Forecasted billed kWh sales X tariff rate</t>
  </si>
  <si>
    <t>3. Actual monthly TD - Source: Missouri West Cycle 3 Monthly TD Calc 042024 05212024- for forecast.xlsx
    Forecasted monthly TD - Source: Missouri West Cycle 3 Monthly TD Calc 042024 05212024- for forecast.xlsx</t>
  </si>
  <si>
    <t>2. Actual monthly billed revenues by customer classes: Residential, Small General Service, Large General Service and Large Power Service (EO revenues only) - Source: Missouri West MEEIA 2024 Revenue Analysis.xlsx
Forecasted monthly billed revenues by customer classes: Residential, Small General Service, Large General Service and Large Power Service (EO revenues only) - Source: calculated = Forecasted billed kWh sales X tariff rate</t>
  </si>
  <si>
    <t>2. Actual monthly billed revenues by customer classes: Residential, Small General Service, Large General Service and Large Power Service (ordered adjustments revenues only) - Source: Missouri West MEEIA 2024 Revenue Analysis.xlsx
Forecasted monthly billed revenues by customer classes: Residential, Small General Service, Large General Service and Large Power Service (ordered adjustments revenues only) - Source: calculated = Forecasted billed kWh sales X tariff rate</t>
  </si>
  <si>
    <t>3. Cycle 3 PY5 Extension- July 2024 - June 2025</t>
  </si>
  <si>
    <t>3. Forecasted program costs by customer class - Source: MO West Program Costs by Customer Class 2024 Ext 072024-062025.xlsx</t>
  </si>
  <si>
    <t>4. Total monthly interest - Source: calculated</t>
  </si>
  <si>
    <t>5. Total monthly interest - Source: calculated</t>
  </si>
  <si>
    <t>5. Monthly Short-Term Borrowing Rate - Source: none</t>
  </si>
  <si>
    <t>2. Forecasted Throughput Disincentive -Sum of 3., 4., and 5.</t>
  </si>
  <si>
    <t>4. Cycle 3 PY5 Extension-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</si>
</sst>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00%"/>
    <numFmt numFmtId="169" formatCode="0.0000%"/>
    <numFmt numFmtId="170" formatCode="_(&quot;$&quot;* #,##0.00000_);_(&quot;$&quot;* \(#,##0.00000\);_(&quot;$&quot;* &quot;-&quot;?????_);_(@_)"/>
    <numFmt numFmtId="171" formatCode="0.000000%"/>
    <numFmt numFmtId="172" formatCode="_(&quot;$&quot;* #,##0.0000000_);_(&quot;$&quot;* \(#,##0.0000000\);_(&quot;$&quot;* &quot;-&quot;_);_(@_)"/>
    <numFmt numFmtId="173" formatCode="mm/dd/yy;@"/>
    <numFmt numFmtId="174" formatCode="_(* #,##0.000000_);_(* \(#,##0.000000\);_(* &quot;-&quot;??_);_(@_)"/>
    <numFmt numFmtId="175" formatCode="#,##0.00000_);\(#,##0.00000\)"/>
    <numFmt numFmtId="176" formatCode="_(* #,##0.0000000_);_(* \(#,##0.0000000\);_(* &quot;-&quot;??_);_(@_)"/>
    <numFmt numFmtId="177" formatCode="0.0%"/>
    <numFmt numFmtId="178" formatCode="_(&quot;$&quot;* #,##0.000_);_(&quot;$&quot;* \(#,##0.000\);_(&quot;$&quot;* &quot;-&quot;??_);_(@_)"/>
    <numFmt numFmtId="179" formatCode="_(&quot;$&quot;* #,##0.00000_);_(&quot;$&quot;* \(#,##0.00000\);_(&quot;$&quot;* &quot;-&quot;_);_(@_)"/>
    <numFmt numFmtId="180" formatCode="_(&quot;$&quot;* #,##0.0000000_);_(&quot;$&quot;* \(#,##0.0000000\);_(&quot;$&quot;* &quot;-&quot;???????_);_(@_)"/>
  </numFmts>
  <fonts count="53"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10"/>
      <color theme="1"/>
      <name val="Courier New"/>
      <family val="3"/>
    </font>
    <font>
      <b/>
      <u/>
      <sz val="10"/>
      <color theme="1"/>
      <name val="Courier New"/>
      <family val="3"/>
    </font>
    <font>
      <b/>
      <sz val="11"/>
      <color rgb="FF9C0006"/>
      <name val="Calibri"/>
      <family val="2"/>
      <scheme val="minor"/>
    </font>
    <font>
      <b/>
      <sz val="11"/>
      <name val="Calibri"/>
      <family val="2"/>
      <scheme val="minor"/>
    </font>
    <font>
      <b/>
      <i/>
      <sz val="10"/>
      <name val="Arial"/>
      <family val="2"/>
    </font>
    <font>
      <i/>
      <sz val="10"/>
      <name val="Arial"/>
      <family val="2"/>
    </font>
    <font>
      <sz val="10"/>
      <name val="Courier New"/>
      <family val="3"/>
    </font>
    <font>
      <u val="singleAccounting"/>
      <sz val="11"/>
      <color theme="1"/>
      <name val="Calibri"/>
      <family val="2"/>
      <scheme val="minor"/>
    </font>
    <font>
      <sz val="11"/>
      <name val="Calibri"/>
      <family val="2"/>
      <scheme val="minor"/>
    </font>
    <font>
      <b/>
      <sz val="10"/>
      <name val="Courier New"/>
      <family val="3"/>
    </font>
    <font>
      <sz val="9"/>
      <color indexed="81"/>
      <name val="Tahoma"/>
      <family val="2"/>
    </font>
    <font>
      <b/>
      <sz val="9"/>
      <color indexed="81"/>
      <name val="Tahoma"/>
      <family val="2"/>
    </font>
    <font>
      <sz val="10"/>
      <color rgb="FF008000"/>
      <name val="Courier New"/>
      <family val="3"/>
    </font>
    <font>
      <sz val="11"/>
      <color rgb="FFFF00FF"/>
      <name val="Calibri"/>
      <family val="2"/>
      <scheme val="minor"/>
    </font>
    <font>
      <b/>
      <sz val="10"/>
      <color rgb="FFFF00FF"/>
      <name val="Courier New"/>
      <family val="3"/>
    </font>
    <font>
      <sz val="10"/>
      <color rgb="FF0000FF"/>
      <name val="Courier New"/>
      <family val="3"/>
    </font>
    <font>
      <sz val="11"/>
      <color rgb="FF008000"/>
      <name val="Calibri"/>
      <family val="2"/>
      <scheme val="minor"/>
    </font>
    <font>
      <sz val="11"/>
      <color rgb="FF0000FF"/>
      <name val="Calibri"/>
      <family val="2"/>
      <scheme val="minor"/>
    </font>
    <font>
      <b/>
      <sz val="11"/>
      <color rgb="FF0000FF"/>
      <name val="Calibri"/>
      <family val="2"/>
      <scheme val="minor"/>
    </font>
    <font>
      <i/>
      <sz val="11"/>
      <color rgb="FF0000FF"/>
      <name val="Calibri"/>
      <family val="2"/>
      <scheme val="minor"/>
    </font>
    <font>
      <b/>
      <sz val="11"/>
      <color rgb="FFFF0000"/>
      <name val="Calibri"/>
      <family val="2"/>
      <scheme val="minor"/>
    </font>
    <font>
      <b/>
      <sz val="11"/>
      <color rgb="FF0000CC"/>
      <name val="Calibri"/>
      <family val="2"/>
      <scheme val="minor"/>
    </font>
    <font>
      <sz val="10"/>
      <color rgb="FFFF00FF"/>
      <name val="Courier New"/>
      <family val="3"/>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CC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92D050"/>
        <bgColor indexed="64"/>
      </patternFill>
    </fill>
  </fills>
  <borders count="83">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double">
        <color rgb="FF3F3F3F"/>
      </left>
      <right style="medium">
        <color indexed="64"/>
      </right>
      <top style="double">
        <color rgb="FF3F3F3F"/>
      </top>
      <bottom style="double">
        <color rgb="FF3F3F3F"/>
      </bottom>
      <diagonal/>
    </border>
    <border>
      <left/>
      <right/>
      <top/>
      <bottom style="double">
        <color rgb="FFFF80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medium">
        <color indexed="64"/>
      </right>
      <top style="thin">
        <color rgb="FF7F7F7F"/>
      </top>
      <bottom style="thin">
        <color rgb="FF7F7F7F"/>
      </bottom>
      <diagonal/>
    </border>
    <border>
      <left style="double">
        <color rgb="FF3F3F3F"/>
      </left>
      <right/>
      <top style="double">
        <color rgb="FF3F3F3F"/>
      </top>
      <bottom style="double">
        <color rgb="FF3F3F3F"/>
      </bottom>
      <diagonal/>
    </border>
    <border>
      <left style="medium">
        <color indexed="64"/>
      </left>
      <right style="double">
        <color rgb="FF3F3F3F"/>
      </right>
      <top style="double">
        <color rgb="FF3F3F3F"/>
      </top>
      <bottom style="double">
        <color rgb="FF3F3F3F"/>
      </bottom>
      <diagonal/>
    </border>
    <border>
      <left/>
      <right/>
      <top/>
      <bottom style="thin">
        <color rgb="FF7F7F7F"/>
      </bottom>
      <diagonal/>
    </border>
    <border>
      <left/>
      <right style="medium">
        <color indexed="64"/>
      </right>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right style="medium">
        <color indexed="64"/>
      </right>
      <top style="medium">
        <color indexed="64"/>
      </top>
      <bottom style="thin">
        <color theme="0" tint="-0.34998626667073579"/>
      </bottom>
      <diagonal/>
    </border>
    <border>
      <left style="double">
        <color rgb="FF3F3F3F"/>
      </left>
      <right style="medium">
        <color rgb="FF3F3F3F"/>
      </right>
      <top style="double">
        <color rgb="FF3F3F3F"/>
      </top>
      <bottom style="double">
        <color rgb="FF3F3F3F"/>
      </bottom>
      <diagonal/>
    </border>
    <border>
      <left style="thin">
        <color rgb="FF7F7F7F"/>
      </left>
      <right/>
      <top style="thin">
        <color rgb="FF7F7F7F"/>
      </top>
      <bottom style="medium">
        <color indexed="64"/>
      </bottom>
      <diagonal/>
    </border>
    <border>
      <left style="medium">
        <color auto="1"/>
      </left>
      <right style="thin">
        <color rgb="FF7F7F7F"/>
      </right>
      <top style="thin">
        <color rgb="FF7F7F7F"/>
      </top>
      <bottom style="double">
        <color rgb="FF3F3F3F"/>
      </bottom>
      <diagonal/>
    </border>
    <border>
      <left style="medium">
        <color auto="1"/>
      </left>
      <right style="medium">
        <color indexed="64"/>
      </right>
      <top style="medium">
        <color auto="1"/>
      </top>
      <bottom style="thin">
        <color rgb="FF7F7F7F"/>
      </bottom>
      <diagonal/>
    </border>
    <border>
      <left style="medium">
        <color auto="1"/>
      </left>
      <right style="medium">
        <color indexed="64"/>
      </right>
      <top style="thin">
        <color rgb="FF7F7F7F"/>
      </top>
      <bottom style="medium">
        <color auto="1"/>
      </bottom>
      <diagonal/>
    </border>
    <border>
      <left style="medium">
        <color auto="1"/>
      </left>
      <right/>
      <top style="thin">
        <color rgb="FF7F7F7F"/>
      </top>
      <bottom/>
      <diagonal/>
    </border>
    <border>
      <left/>
      <right style="thin">
        <color rgb="FF7F7F7F"/>
      </right>
      <top style="thin">
        <color rgb="FF7F7F7F"/>
      </top>
      <bottom style="medium">
        <color indexed="64"/>
      </bottom>
      <diagonal/>
    </border>
    <border>
      <left style="medium">
        <color indexed="64"/>
      </left>
      <right style="double">
        <color rgb="FF3F3F3F"/>
      </right>
      <top/>
      <bottom style="double">
        <color rgb="FF3F3F3F"/>
      </bottom>
      <diagonal/>
    </border>
    <border>
      <left style="thin">
        <color theme="0" tint="-0.34998626667073579"/>
      </left>
      <right/>
      <top style="thin">
        <color theme="0" tint="-0.34998626667073579"/>
      </top>
      <bottom style="thin">
        <color theme="0" tint="-0.34998626667073579"/>
      </bottom>
      <diagonal/>
    </border>
    <border>
      <left/>
      <right/>
      <top style="thin">
        <color rgb="FF7F7F7F"/>
      </top>
      <bottom style="thin">
        <color rgb="FF7F7F7F"/>
      </bottom>
      <diagonal/>
    </border>
    <border>
      <left style="thin">
        <color theme="0" tint="-0.34998626667073579"/>
      </left>
      <right/>
      <top style="thin">
        <color theme="0" tint="-0.34998626667073579"/>
      </top>
      <bottom style="medium">
        <color indexed="64"/>
      </bottom>
      <diagonal/>
    </border>
    <border>
      <left style="medium">
        <color rgb="FF3F3F3F"/>
      </left>
      <right style="double">
        <color rgb="FF3F3F3F"/>
      </right>
      <top style="double">
        <color rgb="FF3F3F3F"/>
      </top>
      <bottom style="double">
        <color rgb="FF3F3F3F"/>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medium">
        <color indexed="64"/>
      </right>
      <top style="thin">
        <color rgb="FF7F7F7F"/>
      </top>
      <bottom style="medium">
        <color indexed="64"/>
      </bottom>
      <diagonal/>
    </border>
    <border>
      <left style="medium">
        <color indexed="64"/>
      </left>
      <right/>
      <top style="thin">
        <color rgb="FF7F7F7F"/>
      </top>
      <bottom style="thin">
        <color rgb="FF7F7F7F"/>
      </bottom>
      <diagonal/>
    </border>
    <border>
      <left style="thin">
        <color theme="0" tint="-0.24994659260841701"/>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64"/>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rgb="FF7F7F7F"/>
      </right>
      <top style="thin">
        <color rgb="FF7F7F7F"/>
      </top>
      <bottom style="medium">
        <color indexed="64"/>
      </bottom>
      <diagonal/>
    </border>
    <border>
      <left style="thin">
        <color indexed="64"/>
      </left>
      <right/>
      <top style="medium">
        <color indexed="64"/>
      </top>
      <bottom style="medium">
        <color indexed="64"/>
      </bottom>
      <diagonal/>
    </border>
    <border>
      <left style="medium">
        <color indexed="64"/>
      </left>
      <right/>
      <top style="double">
        <color rgb="FF3F3F3F"/>
      </top>
      <bottom style="double">
        <color rgb="FF3F3F3F"/>
      </bottom>
      <diagonal/>
    </border>
    <border>
      <left style="thin">
        <color indexed="64"/>
      </left>
      <right/>
      <top style="medium">
        <color indexed="64"/>
      </top>
      <bottom/>
      <diagonal/>
    </border>
    <border>
      <left style="thin">
        <color indexed="64"/>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thin">
        <color rgb="FF7F7F7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medium">
        <color auto="1"/>
      </left>
      <right style="medium">
        <color indexed="64"/>
      </right>
      <top/>
      <bottom/>
      <diagonal/>
    </border>
    <border>
      <left style="medium">
        <color indexed="64"/>
      </left>
      <right style="thin">
        <color rgb="FF7F7F7F"/>
      </right>
      <top style="thin">
        <color rgb="FF7F7F7F"/>
      </top>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top style="thin">
        <color rgb="FF3F3F3F"/>
      </top>
      <bottom/>
      <diagonal/>
    </border>
    <border>
      <left style="thin">
        <color indexed="64"/>
      </left>
      <right/>
      <top style="thin">
        <color indexed="64"/>
      </top>
      <bottom style="thin">
        <color indexed="64"/>
      </bottom>
      <diagonal/>
    </border>
    <border>
      <left style="thin">
        <color indexed="64"/>
      </left>
      <right style="thin">
        <color indexed="64"/>
      </right>
      <top style="thin">
        <color rgb="FF3F3F3F"/>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rgb="FF7F7F7F"/>
      </top>
      <bottom style="thin">
        <color rgb="FF7F7F7F"/>
      </bottom>
      <diagonal/>
    </border>
    <border>
      <left style="thin">
        <color indexed="64"/>
      </left>
      <right style="thin">
        <color indexed="64"/>
      </right>
      <top style="thin">
        <color rgb="FF7F7F7F"/>
      </top>
      <bottom style="thin">
        <color indexed="64"/>
      </bottom>
      <diagonal/>
    </border>
    <border>
      <left/>
      <right style="thin">
        <color rgb="FF7F7F7F"/>
      </right>
      <top style="thin">
        <color rgb="FF7F7F7F"/>
      </top>
      <bottom/>
      <diagonal/>
    </border>
  </borders>
  <cellStyleXfs count="30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7" borderId="17" applyNumberFormat="0" applyAlignment="0" applyProtection="0"/>
    <xf numFmtId="0" fontId="14" fillId="7" borderId="1" applyNumberFormat="0" applyAlignment="0" applyProtection="0"/>
    <xf numFmtId="0" fontId="1" fillId="8" borderId="18" applyNumberFormat="0" applyFont="0" applyAlignment="0" applyProtection="0"/>
    <xf numFmtId="0" fontId="15" fillId="0" borderId="25" applyNumberFormat="0" applyFill="0" applyAlignment="0" applyProtection="0"/>
    <xf numFmtId="0" fontId="16" fillId="0" borderId="0" applyNumberFormat="0" applyFill="0" applyBorder="0" applyAlignment="0" applyProtection="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30"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cellStyleXfs>
  <cellXfs count="386">
    <xf numFmtId="0" fontId="0" fillId="0" borderId="0" xfId="0"/>
    <xf numFmtId="164" fontId="0" fillId="0" borderId="0" xfId="0" applyNumberFormat="1"/>
    <xf numFmtId="0" fontId="7" fillId="0" borderId="0" xfId="8"/>
    <xf numFmtId="0" fontId="8" fillId="0" borderId="0" xfId="0" applyFont="1"/>
    <xf numFmtId="44" fontId="0" fillId="0" borderId="0" xfId="0" applyNumberFormat="1"/>
    <xf numFmtId="10" fontId="0" fillId="0" borderId="0" xfId="2" applyNumberFormat="1" applyFont="1"/>
    <xf numFmtId="0" fontId="8" fillId="0" borderId="0" xfId="0" applyFont="1" applyAlignment="1">
      <alignment horizontal="center"/>
    </xf>
    <xf numFmtId="44" fontId="8" fillId="0" borderId="0" xfId="0" applyNumberFormat="1" applyFont="1"/>
    <xf numFmtId="166" fontId="0" fillId="0" borderId="0" xfId="0" applyNumberFormat="1"/>
    <xf numFmtId="0" fontId="9" fillId="0" borderId="0" xfId="0" applyFont="1" applyAlignment="1">
      <alignment horizontal="left"/>
    </xf>
    <xf numFmtId="0" fontId="0" fillId="0" borderId="9" xfId="0" applyBorder="1"/>
    <xf numFmtId="0" fontId="0" fillId="0" borderId="10" xfId="0" applyBorder="1"/>
    <xf numFmtId="44" fontId="0" fillId="0" borderId="9" xfId="0" applyNumberFormat="1"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0" fontId="8" fillId="0" borderId="0" xfId="0" applyFont="1" applyAlignment="1">
      <alignment horizontal="right"/>
    </xf>
    <xf numFmtId="10" fontId="0" fillId="0" borderId="0" xfId="0" applyNumberFormat="1"/>
    <xf numFmtId="165" fontId="14" fillId="7" borderId="1" xfId="13" applyNumberFormat="1"/>
    <xf numFmtId="167" fontId="5" fillId="5" borderId="1" xfId="6" applyNumberFormat="1"/>
    <xf numFmtId="167" fontId="14" fillId="7" borderId="1" xfId="13" applyNumberFormat="1"/>
    <xf numFmtId="165" fontId="13" fillId="7" borderId="17" xfId="12" applyNumberFormat="1"/>
    <xf numFmtId="165" fontId="5" fillId="5" borderId="15" xfId="11" applyNumberFormat="1" applyFont="1" applyFill="1" applyBorder="1"/>
    <xf numFmtId="165" fontId="6" fillId="6" borderId="2" xfId="7" applyNumberFormat="1"/>
    <xf numFmtId="165" fontId="0" fillId="0" borderId="9" xfId="0" applyNumberFormat="1" applyBorder="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44" fontId="6" fillId="6" borderId="2" xfId="7" applyNumberFormat="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6" xfId="0" applyBorder="1"/>
    <xf numFmtId="0" fontId="0" fillId="0" borderId="6" xfId="0" applyBorder="1"/>
    <xf numFmtId="0" fontId="0" fillId="0" borderId="0" xfId="0"/>
    <xf numFmtId="165" fontId="0" fillId="0" borderId="0" xfId="0" applyNumberFormat="1"/>
    <xf numFmtId="0" fontId="8" fillId="0" borderId="0" xfId="0" applyFont="1" applyAlignment="1">
      <alignment horizontal="center"/>
    </xf>
    <xf numFmtId="165" fontId="14" fillId="7" borderId="31" xfId="13" applyNumberFormat="1" applyBorder="1"/>
    <xf numFmtId="44" fontId="6" fillId="6" borderId="32" xfId="7" applyNumberFormat="1" applyBorder="1"/>
    <xf numFmtId="44" fontId="6" fillId="6" borderId="33"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44" fontId="0" fillId="0" borderId="34" xfId="0" applyNumberFormat="1" applyBorder="1"/>
    <xf numFmtId="44" fontId="0" fillId="0" borderId="35"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69" fontId="0" fillId="0" borderId="9" xfId="0" applyNumberFormat="1" applyBorder="1"/>
    <xf numFmtId="170" fontId="5" fillId="5" borderId="23" xfId="6" applyNumberFormat="1" applyBorder="1"/>
    <xf numFmtId="41" fontId="5" fillId="5" borderId="13" xfId="6" applyNumberFormat="1" applyBorder="1"/>
    <xf numFmtId="41" fontId="5" fillId="5" borderId="1" xfId="6" applyNumberFormat="1" applyBorder="1"/>
    <xf numFmtId="165" fontId="4" fillId="4" borderId="37" xfId="11" applyNumberFormat="1" applyFont="1" applyFill="1" applyBorder="1"/>
    <xf numFmtId="3" fontId="4" fillId="4" borderId="37" xfId="5" applyNumberFormat="1" applyBorder="1"/>
    <xf numFmtId="165" fontId="4" fillId="4" borderId="36" xfId="5" applyNumberFormat="1" applyBorder="1"/>
    <xf numFmtId="165" fontId="4" fillId="4" borderId="37" xfId="5" applyNumberFormat="1" applyBorder="1"/>
    <xf numFmtId="41" fontId="4" fillId="4" borderId="37" xfId="5" applyNumberFormat="1" applyBorder="1"/>
    <xf numFmtId="165" fontId="4" fillId="4" borderId="38" xfId="5" applyNumberFormat="1" applyBorder="1"/>
    <xf numFmtId="165" fontId="4" fillId="4" borderId="38"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42" fontId="5" fillId="5" borderId="1" xfId="6" applyNumberFormat="1"/>
    <xf numFmtId="0" fontId="30" fillId="0" borderId="3" xfId="0" applyFont="1" applyBorder="1" applyAlignment="1">
      <alignment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Border="1" applyAlignment="1">
      <alignment vertical="center" wrapText="1"/>
    </xf>
    <xf numFmtId="0" fontId="7" fillId="0" borderId="9" xfId="8" applyBorder="1"/>
    <xf numFmtId="171" fontId="0" fillId="0" borderId="10" xfId="0" applyNumberFormat="1" applyBorder="1"/>
    <xf numFmtId="0" fontId="31" fillId="0" borderId="0" xfId="0" applyFont="1" applyFill="1" applyBorder="1" applyAlignment="1">
      <alignment vertical="center" wrapText="1"/>
    </xf>
    <xf numFmtId="0" fontId="30" fillId="0" borderId="0" xfId="0" applyFont="1" applyFill="1" applyBorder="1" applyAlignment="1">
      <alignment vertical="center"/>
    </xf>
    <xf numFmtId="164" fontId="0" fillId="0" borderId="39" xfId="0" applyNumberFormat="1" applyBorder="1"/>
    <xf numFmtId="44" fontId="6" fillId="6" borderId="40" xfId="7" applyNumberFormat="1" applyBorder="1"/>
    <xf numFmtId="165" fontId="5" fillId="0" borderId="13" xfId="6" applyNumberFormat="1" applyFill="1" applyBorder="1"/>
    <xf numFmtId="165" fontId="0" fillId="0" borderId="9" xfId="0" applyNumberFormat="1" applyFill="1" applyBorder="1"/>
    <xf numFmtId="0" fontId="0" fillId="0" borderId="9" xfId="0" applyFill="1" applyBorder="1"/>
    <xf numFmtId="165" fontId="14" fillId="0" borderId="13" xfId="13" applyNumberFormat="1" applyFill="1" applyBorder="1"/>
    <xf numFmtId="165" fontId="5" fillId="0" borderId="15" xfId="11" applyNumberFormat="1" applyFont="1" applyFill="1" applyBorder="1"/>
    <xf numFmtId="171" fontId="0" fillId="0" borderId="9" xfId="0" applyNumberFormat="1" applyFill="1" applyBorder="1"/>
    <xf numFmtId="164" fontId="0" fillId="0" borderId="7" xfId="0" applyNumberFormat="1" applyFill="1" applyBorder="1"/>
    <xf numFmtId="171" fontId="0" fillId="0" borderId="9" xfId="2" applyNumberFormat="1" applyFont="1" applyFill="1" applyBorder="1"/>
    <xf numFmtId="44" fontId="6" fillId="0" borderId="33" xfId="7" applyNumberForma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165" fontId="5" fillId="37" borderId="16" xfId="11" applyNumberFormat="1" applyFont="1" applyFill="1" applyBorder="1"/>
    <xf numFmtId="165" fontId="5" fillId="37" borderId="41" xfId="11" applyNumberFormat="1" applyFont="1" applyFill="1" applyBorder="1"/>
    <xf numFmtId="167" fontId="6" fillId="0" borderId="33" xfId="1" applyNumberFormat="1" applyFont="1" applyFill="1" applyBorder="1"/>
    <xf numFmtId="0" fontId="0" fillId="0" borderId="3" xfId="0" applyBorder="1" applyAlignment="1">
      <alignment horizontal="center" wrapText="1"/>
    </xf>
    <xf numFmtId="165" fontId="14" fillId="7" borderId="19" xfId="13" applyNumberFormat="1" applyBorder="1"/>
    <xf numFmtId="0" fontId="0" fillId="0" borderId="45" xfId="0" applyBorder="1"/>
    <xf numFmtId="165" fontId="5" fillId="5" borderId="46" xfId="11" applyNumberFormat="1" applyFont="1" applyFill="1" applyBorder="1"/>
    <xf numFmtId="165" fontId="14" fillId="7" borderId="23" xfId="13" applyNumberFormat="1" applyBorder="1"/>
    <xf numFmtId="44" fontId="6" fillId="6" borderId="47" xfId="7" applyNumberFormat="1" applyBorder="1"/>
    <xf numFmtId="41" fontId="5" fillId="37" borderId="22" xfId="6" applyNumberFormat="1" applyFill="1" applyBorder="1"/>
    <xf numFmtId="42" fontId="0" fillId="0" borderId="0" xfId="0" applyNumberFormat="1"/>
    <xf numFmtId="42" fontId="0" fillId="0" borderId="0" xfId="0" applyNumberFormat="1" applyAlignment="1">
      <alignment horizontal="right"/>
    </xf>
    <xf numFmtId="42" fontId="10" fillId="0" borderId="6" xfId="0" applyNumberFormat="1" applyFont="1" applyBorder="1" applyAlignment="1">
      <alignment horizontal="right"/>
    </xf>
    <xf numFmtId="42" fontId="11" fillId="0" borderId="6" xfId="0" applyNumberFormat="1" applyFont="1" applyBorder="1" applyAlignment="1">
      <alignment horizontal="right"/>
    </xf>
    <xf numFmtId="0" fontId="30" fillId="0" borderId="4" xfId="0" applyFont="1" applyBorder="1" applyAlignment="1">
      <alignment horizontal="center" vertical="center" wrapText="1"/>
    </xf>
    <xf numFmtId="42" fontId="30" fillId="0" borderId="4" xfId="0" applyNumberFormat="1" applyFont="1" applyBorder="1" applyAlignment="1">
      <alignment horizontal="center"/>
    </xf>
    <xf numFmtId="170" fontId="10" fillId="0" borderId="4" xfId="0" applyNumberFormat="1" applyFont="1" applyFill="1" applyBorder="1" applyAlignment="1">
      <alignment vertical="center"/>
    </xf>
    <xf numFmtId="42" fontId="5" fillId="37" borderId="1" xfId="6" applyNumberFormat="1" applyFill="1" applyBorder="1"/>
    <xf numFmtId="42" fontId="5" fillId="37" borderId="41" xfId="6" applyNumberFormat="1" applyFill="1" applyBorder="1"/>
    <xf numFmtId="41" fontId="14" fillId="7" borderId="1" xfId="13" applyNumberFormat="1"/>
    <xf numFmtId="41" fontId="6" fillId="6" borderId="2" xfId="7" applyNumberFormat="1"/>
    <xf numFmtId="165" fontId="4" fillId="4" borderId="48" xfId="11" applyNumberFormat="1" applyFont="1" applyFill="1" applyBorder="1"/>
    <xf numFmtId="3" fontId="4" fillId="4" borderId="48" xfId="5" applyNumberFormat="1" applyBorder="1"/>
    <xf numFmtId="165" fontId="4" fillId="4" borderId="50" xfId="5" applyNumberFormat="1" applyBorder="1"/>
    <xf numFmtId="165" fontId="4" fillId="4" borderId="48" xfId="5" applyNumberFormat="1" applyBorder="1"/>
    <xf numFmtId="41" fontId="4" fillId="4" borderId="48" xfId="5" applyNumberFormat="1" applyBorder="1"/>
    <xf numFmtId="165" fontId="4" fillId="4" borderId="50" xfId="11" applyNumberFormat="1" applyFont="1" applyFill="1" applyBorder="1"/>
    <xf numFmtId="0" fontId="8" fillId="0" borderId="0" xfId="0" applyFont="1" applyAlignment="1">
      <alignment horizontal="left" vertical="center" wrapText="1"/>
    </xf>
    <xf numFmtId="44" fontId="6" fillId="6" borderId="51" xfId="7" applyNumberFormat="1" applyBorder="1"/>
    <xf numFmtId="165" fontId="5" fillId="0" borderId="11" xfId="6" applyNumberFormat="1" applyFill="1" applyBorder="1"/>
    <xf numFmtId="43" fontId="5" fillId="0" borderId="12" xfId="1" applyFont="1" applyFill="1" applyBorder="1"/>
    <xf numFmtId="43" fontId="5" fillId="0" borderId="0" xfId="1" applyFont="1" applyFill="1" applyBorder="1"/>
    <xf numFmtId="0" fontId="0" fillId="0" borderId="0" xfId="0" applyFill="1" applyBorder="1"/>
    <xf numFmtId="0" fontId="8" fillId="0" borderId="0" xfId="0" applyFont="1" applyFill="1" applyAlignment="1">
      <alignment horizontal="center" wrapText="1"/>
    </xf>
    <xf numFmtId="0" fontId="0" fillId="39" borderId="19" xfId="0" applyFill="1" applyBorder="1" applyAlignment="1">
      <alignment horizontal="center" wrapText="1"/>
    </xf>
    <xf numFmtId="43" fontId="8" fillId="0" borderId="0" xfId="1" applyNumberFormat="1" applyFont="1" applyAlignment="1">
      <alignment horizontal="center"/>
    </xf>
    <xf numFmtId="42" fontId="8" fillId="0" borderId="0" xfId="1" applyNumberFormat="1" applyFont="1" applyAlignment="1">
      <alignment horizontal="center"/>
    </xf>
    <xf numFmtId="172" fontId="0" fillId="0" borderId="0" xfId="0" applyNumberFormat="1"/>
    <xf numFmtId="165" fontId="4" fillId="4" borderId="52" xfId="5" applyNumberFormat="1" applyBorder="1"/>
    <xf numFmtId="41" fontId="4" fillId="4" borderId="53" xfId="5" applyNumberFormat="1" applyBorder="1"/>
    <xf numFmtId="165" fontId="4" fillId="4" borderId="53" xfId="5" applyNumberFormat="1" applyBorder="1"/>
    <xf numFmtId="165" fontId="4" fillId="4" borderId="54" xfId="11" applyNumberFormat="1" applyFont="1" applyFill="1" applyBorder="1"/>
    <xf numFmtId="165" fontId="14" fillId="7" borderId="49" xfId="13" applyNumberFormat="1" applyBorder="1"/>
    <xf numFmtId="44" fontId="6" fillId="6" borderId="55" xfId="7" applyNumberFormat="1" applyBorder="1"/>
    <xf numFmtId="44" fontId="6" fillId="6" borderId="56" xfId="7" applyNumberFormat="1" applyBorder="1"/>
    <xf numFmtId="165" fontId="5" fillId="5" borderId="14" xfId="6" applyNumberFormat="1" applyBorder="1"/>
    <xf numFmtId="0" fontId="7" fillId="0" borderId="10" xfId="8" applyBorder="1"/>
    <xf numFmtId="44" fontId="0" fillId="0" borderId="10" xfId="0" applyNumberFormat="1" applyFill="1" applyBorder="1"/>
    <xf numFmtId="41" fontId="5" fillId="5" borderId="14" xfId="6" applyNumberFormat="1" applyBorder="1"/>
    <xf numFmtId="165" fontId="5" fillId="0" borderId="10" xfId="6" applyNumberFormat="1" applyFill="1" applyBorder="1"/>
    <xf numFmtId="165" fontId="5" fillId="5" borderId="57" xfId="11" applyNumberFormat="1" applyFont="1" applyFill="1" applyBorder="1"/>
    <xf numFmtId="165" fontId="5" fillId="0" borderId="10" xfId="11" applyNumberFormat="1" applyFont="1" applyFill="1" applyBorder="1"/>
    <xf numFmtId="10" fontId="5" fillId="0" borderId="10" xfId="2" applyNumberFormat="1" applyFont="1" applyFill="1" applyBorder="1"/>
    <xf numFmtId="165" fontId="4" fillId="4" borderId="53" xfId="11" applyNumberFormat="1" applyFont="1" applyFill="1" applyBorder="1"/>
    <xf numFmtId="3" fontId="4" fillId="4" borderId="53" xfId="5" applyNumberFormat="1" applyBorder="1"/>
    <xf numFmtId="165" fontId="4" fillId="4" borderId="54" xfId="5" applyNumberFormat="1" applyBorder="1"/>
    <xf numFmtId="42" fontId="5" fillId="5" borderId="14" xfId="1" applyNumberFormat="1" applyFont="1" applyFill="1" applyBorder="1"/>
    <xf numFmtId="165" fontId="5" fillId="5" borderId="21" xfId="11" applyNumberFormat="1" applyFont="1" applyFill="1" applyBorder="1"/>
    <xf numFmtId="41" fontId="5" fillId="5" borderId="31" xfId="6" applyNumberFormat="1" applyBorder="1"/>
    <xf numFmtId="0" fontId="8" fillId="0" borderId="0" xfId="0" applyFont="1" applyAlignment="1">
      <alignment horizontal="left" vertical="center" wrapText="1"/>
    </xf>
    <xf numFmtId="172" fontId="0" fillId="0" borderId="0" xfId="0" applyNumberFormat="1" applyFill="1"/>
    <xf numFmtId="172" fontId="30" fillId="0" borderId="4" xfId="0" applyNumberFormat="1" applyFont="1" applyFill="1" applyBorder="1" applyAlignment="1">
      <alignment horizontal="center"/>
    </xf>
    <xf numFmtId="41" fontId="5" fillId="5" borderId="58" xfId="6" applyNumberFormat="1" applyBorder="1"/>
    <xf numFmtId="42" fontId="5" fillId="5" borderId="13" xfId="6" applyNumberFormat="1" applyBorder="1"/>
    <xf numFmtId="41" fontId="5" fillId="5" borderId="59" xfId="6" applyNumberFormat="1" applyBorder="1"/>
    <xf numFmtId="43" fontId="0" fillId="0" borderId="0" xfId="1" applyFont="1"/>
    <xf numFmtId="171" fontId="0" fillId="0" borderId="0" xfId="0" applyNumberFormat="1"/>
    <xf numFmtId="0" fontId="8" fillId="0" borderId="0" xfId="0" applyFont="1" applyFill="1" applyAlignment="1">
      <alignment horizontal="left" vertical="center" wrapText="1"/>
    </xf>
    <xf numFmtId="165" fontId="5" fillId="0" borderId="58" xfId="6" applyNumberFormat="1" applyFill="1" applyBorder="1"/>
    <xf numFmtId="41" fontId="5" fillId="0" borderId="58" xfId="6" applyNumberFormat="1" applyFill="1" applyBorder="1"/>
    <xf numFmtId="165" fontId="5" fillId="0" borderId="60" xfId="11" applyNumberFormat="1" applyFont="1" applyFill="1" applyBorder="1"/>
    <xf numFmtId="165" fontId="5" fillId="0" borderId="61" xfId="6" applyNumberFormat="1" applyFill="1" applyBorder="1"/>
    <xf numFmtId="0" fontId="0" fillId="0" borderId="62" xfId="0" applyFill="1" applyBorder="1"/>
    <xf numFmtId="44" fontId="0" fillId="0" borderId="62" xfId="0" applyNumberFormat="1" applyFill="1" applyBorder="1"/>
    <xf numFmtId="41" fontId="5" fillId="0" borderId="61" xfId="6" applyNumberFormat="1" applyFill="1" applyBorder="1"/>
    <xf numFmtId="165" fontId="5" fillId="0" borderId="62" xfId="6" applyNumberFormat="1" applyFill="1" applyBorder="1"/>
    <xf numFmtId="165" fontId="5" fillId="0" borderId="63" xfId="11" applyNumberFormat="1" applyFont="1" applyFill="1" applyBorder="1"/>
    <xf numFmtId="165" fontId="14" fillId="0" borderId="58" xfId="13" applyNumberFormat="1" applyFill="1" applyBorder="1"/>
    <xf numFmtId="44" fontId="6" fillId="0" borderId="65" xfId="7" applyNumberFormat="1" applyFill="1" applyBorder="1"/>
    <xf numFmtId="165" fontId="5" fillId="0" borderId="66" xfId="11" applyNumberFormat="1" applyFont="1" applyFill="1" applyBorder="1"/>
    <xf numFmtId="10" fontId="5" fillId="0" borderId="62" xfId="2" applyNumberFormat="1" applyFont="1" applyFill="1" applyBorder="1"/>
    <xf numFmtId="165" fontId="14" fillId="0" borderId="61" xfId="13" applyNumberFormat="1" applyFill="1" applyBorder="1"/>
    <xf numFmtId="171" fontId="0" fillId="0" borderId="62" xfId="0" applyNumberFormat="1" applyFill="1" applyBorder="1"/>
    <xf numFmtId="171" fontId="0" fillId="0" borderId="62" xfId="2" applyNumberFormat="1" applyFont="1" applyFill="1" applyBorder="1"/>
    <xf numFmtId="44" fontId="6" fillId="0" borderId="67" xfId="7" applyNumberFormat="1" applyFill="1" applyBorder="1"/>
    <xf numFmtId="0" fontId="0" fillId="0" borderId="62" xfId="0" applyBorder="1"/>
    <xf numFmtId="165" fontId="5" fillId="0" borderId="68" xfId="6" applyNumberFormat="1" applyFill="1" applyBorder="1"/>
    <xf numFmtId="0" fontId="0" fillId="39" borderId="64" xfId="0" applyFill="1" applyBorder="1" applyAlignment="1">
      <alignment horizontal="center" wrapText="1"/>
    </xf>
    <xf numFmtId="164" fontId="0" fillId="0" borderId="69" xfId="0" applyNumberFormat="1" applyFill="1" applyBorder="1"/>
    <xf numFmtId="173" fontId="0" fillId="0" borderId="0" xfId="0" applyNumberFormat="1"/>
    <xf numFmtId="171" fontId="0" fillId="0" borderId="0" xfId="2" applyNumberFormat="1" applyFont="1"/>
    <xf numFmtId="43" fontId="37" fillId="0" borderId="0" xfId="1" applyFont="1"/>
    <xf numFmtId="44" fontId="13" fillId="7" borderId="17" xfId="12" applyNumberFormat="1"/>
    <xf numFmtId="44" fontId="14" fillId="7" borderId="1" xfId="13" applyNumberFormat="1"/>
    <xf numFmtId="44" fontId="6" fillId="6" borderId="2" xfId="1" applyNumberFormat="1" applyFont="1" applyFill="1" applyBorder="1"/>
    <xf numFmtId="0" fontId="7" fillId="0" borderId="0" xfId="8" applyFill="1" applyBorder="1" applyAlignment="1">
      <alignment horizontal="right"/>
    </xf>
    <xf numFmtId="43" fontId="6" fillId="0" borderId="0" xfId="1" applyFont="1" applyFill="1" applyBorder="1"/>
    <xf numFmtId="165" fontId="13" fillId="7" borderId="71" xfId="12" applyNumberFormat="1" applyBorder="1"/>
    <xf numFmtId="42" fontId="14" fillId="7" borderId="70" xfId="13" applyNumberFormat="1" applyBorder="1"/>
    <xf numFmtId="10" fontId="5" fillId="5" borderId="1" xfId="2" applyNumberFormat="1" applyFont="1" applyFill="1" applyBorder="1"/>
    <xf numFmtId="10" fontId="14" fillId="7" borderId="1" xfId="2" applyNumberFormat="1" applyFont="1" applyFill="1" applyBorder="1"/>
    <xf numFmtId="44" fontId="8" fillId="0" borderId="0" xfId="0" applyNumberFormat="1" applyFont="1" applyAlignment="1">
      <alignment wrapText="1"/>
    </xf>
    <xf numFmtId="165" fontId="6" fillId="0" borderId="0" xfId="1" applyNumberFormat="1" applyFont="1" applyFill="1" applyBorder="1"/>
    <xf numFmtId="165" fontId="6" fillId="0" borderId="0" xfId="7" applyNumberFormat="1" applyFill="1" applyBorder="1"/>
    <xf numFmtId="41" fontId="6" fillId="0" borderId="0" xfId="7" applyNumberFormat="1" applyFill="1" applyBorder="1"/>
    <xf numFmtId="165" fontId="13" fillId="7" borderId="70" xfId="12" applyNumberFormat="1" applyBorder="1"/>
    <xf numFmtId="165" fontId="14" fillId="7" borderId="70" xfId="13" applyNumberFormat="1" applyBorder="1"/>
    <xf numFmtId="0" fontId="8" fillId="0" borderId="70" xfId="0" applyFont="1" applyBorder="1" applyAlignment="1">
      <alignment horizontal="center"/>
    </xf>
    <xf numFmtId="0" fontId="8" fillId="0" borderId="0" xfId="0" applyFont="1" applyAlignment="1">
      <alignment horizontal="left" vertical="center" wrapText="1"/>
    </xf>
    <xf numFmtId="175" fontId="10" fillId="0" borderId="6" xfId="1" applyNumberFormat="1" applyFont="1" applyFill="1" applyBorder="1" applyAlignment="1">
      <alignment vertical="center"/>
    </xf>
    <xf numFmtId="175" fontId="10" fillId="0" borderId="6" xfId="1" applyNumberFormat="1" applyFont="1" applyBorder="1" applyAlignment="1">
      <alignment horizontal="right" vertical="center"/>
    </xf>
    <xf numFmtId="175" fontId="11" fillId="0" borderId="6" xfId="1" applyNumberFormat="1" applyFont="1" applyBorder="1" applyAlignment="1">
      <alignment horizontal="right" vertical="center"/>
    </xf>
    <xf numFmtId="175" fontId="0" fillId="0" borderId="0" xfId="0" applyNumberFormat="1"/>
    <xf numFmtId="172" fontId="38" fillId="0" borderId="0" xfId="0" applyNumberFormat="1" applyFont="1"/>
    <xf numFmtId="172" fontId="38" fillId="0" borderId="0" xfId="0" applyNumberFormat="1" applyFont="1" applyFill="1"/>
    <xf numFmtId="172" fontId="39" fillId="0" borderId="4" xfId="0" applyNumberFormat="1" applyFont="1" applyFill="1" applyBorder="1" applyAlignment="1">
      <alignment horizontal="center"/>
    </xf>
    <xf numFmtId="172" fontId="39" fillId="0" borderId="4" xfId="0" applyNumberFormat="1" applyFont="1" applyBorder="1" applyAlignment="1">
      <alignment horizontal="center"/>
    </xf>
    <xf numFmtId="165" fontId="13" fillId="7" borderId="74" xfId="12" applyNumberFormat="1" applyBorder="1"/>
    <xf numFmtId="165" fontId="13" fillId="7" borderId="75" xfId="12" applyNumberFormat="1" applyBorder="1"/>
    <xf numFmtId="165" fontId="13" fillId="7" borderId="76" xfId="12" applyNumberFormat="1" applyBorder="1"/>
    <xf numFmtId="42" fontId="14" fillId="7" borderId="77" xfId="13" applyNumberFormat="1" applyBorder="1"/>
    <xf numFmtId="42" fontId="14" fillId="7" borderId="78" xfId="13" applyNumberFormat="1" applyBorder="1"/>
    <xf numFmtId="42" fontId="14" fillId="7" borderId="0" xfId="13" applyNumberFormat="1" applyBorder="1"/>
    <xf numFmtId="42" fontId="5" fillId="5" borderId="14" xfId="6" applyNumberFormat="1" applyBorder="1"/>
    <xf numFmtId="170" fontId="36" fillId="0" borderId="5" xfId="0" applyNumberFormat="1" applyFont="1" applyFill="1" applyBorder="1" applyAlignment="1">
      <alignment vertical="center"/>
    </xf>
    <xf numFmtId="0" fontId="8" fillId="0" borderId="0" xfId="0" applyFont="1" applyAlignment="1">
      <alignment horizontal="left"/>
    </xf>
    <xf numFmtId="42" fontId="14" fillId="0" borderId="0" xfId="13" applyNumberFormat="1" applyFill="1" applyBorder="1"/>
    <xf numFmtId="42" fontId="33" fillId="7" borderId="70" xfId="13" applyNumberFormat="1" applyFont="1" applyBorder="1"/>
    <xf numFmtId="170" fontId="0" fillId="0" borderId="0" xfId="0" applyNumberFormat="1" applyFill="1" applyBorder="1"/>
    <xf numFmtId="174" fontId="0" fillId="0" borderId="0" xfId="1" applyNumberFormat="1" applyFont="1" applyFill="1" applyBorder="1"/>
    <xf numFmtId="0" fontId="34" fillId="0" borderId="0" xfId="0" applyFont="1" applyFill="1" applyBorder="1"/>
    <xf numFmtId="0" fontId="35" fillId="0" borderId="0" xfId="0" applyFont="1" applyFill="1" applyBorder="1"/>
    <xf numFmtId="168" fontId="0" fillId="0" borderId="0" xfId="2" applyNumberFormat="1" applyFont="1" applyFill="1" applyBorder="1"/>
    <xf numFmtId="0" fontId="35" fillId="0" borderId="0" xfId="0" applyFont="1" applyFill="1" applyBorder="1" applyAlignment="1">
      <alignment horizontal="left" indent="1"/>
    </xf>
    <xf numFmtId="168" fontId="0" fillId="0" borderId="0" xfId="0" applyNumberFormat="1" applyFill="1" applyBorder="1"/>
    <xf numFmtId="177" fontId="0" fillId="0" borderId="0" xfId="2" applyNumberFormat="1" applyFont="1"/>
    <xf numFmtId="0" fontId="8" fillId="0" borderId="79" xfId="0" applyFont="1" applyBorder="1" applyAlignment="1">
      <alignment horizontal="center" wrapText="1"/>
    </xf>
    <xf numFmtId="167" fontId="14" fillId="7" borderId="81" xfId="13" applyNumberFormat="1" applyBorder="1"/>
    <xf numFmtId="43" fontId="0" fillId="0" borderId="0" xfId="0" applyNumberFormat="1"/>
    <xf numFmtId="43" fontId="8" fillId="0" borderId="0" xfId="1" applyFont="1" applyAlignment="1">
      <alignment horizontal="center" wrapText="1"/>
    </xf>
    <xf numFmtId="0" fontId="8" fillId="0" borderId="0" xfId="0" applyFont="1" applyAlignment="1">
      <alignment wrapText="1"/>
    </xf>
    <xf numFmtId="165" fontId="0" fillId="0" borderId="0" xfId="0" applyNumberFormat="1" applyFill="1" applyBorder="1"/>
    <xf numFmtId="165" fontId="5" fillId="0" borderId="23" xfId="6" applyNumberFormat="1" applyFill="1" applyBorder="1"/>
    <xf numFmtId="0" fontId="7" fillId="0" borderId="0" xfId="8" applyFill="1" applyBorder="1"/>
    <xf numFmtId="41" fontId="5" fillId="0" borderId="23" xfId="6" applyNumberFormat="1" applyFill="1" applyBorder="1"/>
    <xf numFmtId="165" fontId="5" fillId="0" borderId="46" xfId="11" applyNumberFormat="1" applyFont="1" applyFill="1" applyBorder="1"/>
    <xf numFmtId="171" fontId="0" fillId="0" borderId="0" xfId="0" applyNumberFormat="1" applyFill="1" applyBorder="1"/>
    <xf numFmtId="165" fontId="14" fillId="7" borderId="82" xfId="13" applyNumberFormat="1" applyBorder="1"/>
    <xf numFmtId="167" fontId="6" fillId="0" borderId="56" xfId="1" applyNumberFormat="1" applyFont="1" applyFill="1" applyBorder="1"/>
    <xf numFmtId="44" fontId="6" fillId="0" borderId="56" xfId="7" applyNumberFormat="1" applyFill="1" applyBorder="1"/>
    <xf numFmtId="0" fontId="0" fillId="39" borderId="3" xfId="0" applyFill="1" applyBorder="1" applyAlignment="1">
      <alignment horizontal="center" wrapText="1"/>
    </xf>
    <xf numFmtId="170" fontId="36" fillId="0" borderId="6" xfId="0" applyNumberFormat="1" applyFont="1" applyFill="1" applyBorder="1" applyAlignment="1">
      <alignment vertical="center"/>
    </xf>
    <xf numFmtId="170" fontId="38" fillId="0" borderId="0" xfId="0" applyNumberFormat="1" applyFont="1" applyFill="1" applyAlignment="1"/>
    <xf numFmtId="0" fontId="38" fillId="0" borderId="0" xfId="0" applyFont="1"/>
    <xf numFmtId="178" fontId="13" fillId="7" borderId="17" xfId="12" applyNumberFormat="1"/>
    <xf numFmtId="165" fontId="7" fillId="0" borderId="9" xfId="8" applyNumberFormat="1" applyBorder="1"/>
    <xf numFmtId="165" fontId="5" fillId="0" borderId="9" xfId="2" applyNumberFormat="1" applyFont="1" applyFill="1" applyBorder="1"/>
    <xf numFmtId="165" fontId="6" fillId="6" borderId="51" xfId="7" applyNumberFormat="1" applyBorder="1"/>
    <xf numFmtId="0" fontId="8" fillId="0" borderId="0" xfId="0" applyFont="1" applyAlignment="1">
      <alignment horizontal="left" vertical="center" wrapText="1"/>
    </xf>
    <xf numFmtId="170" fontId="36" fillId="0" borderId="4" xfId="0" applyNumberFormat="1" applyFont="1" applyFill="1" applyBorder="1" applyAlignment="1">
      <alignment vertical="center"/>
    </xf>
    <xf numFmtId="0" fontId="8" fillId="0" borderId="70" xfId="0" applyFont="1" applyBorder="1" applyAlignment="1">
      <alignment horizontal="center" wrapText="1"/>
    </xf>
    <xf numFmtId="44" fontId="33" fillId="0" borderId="0" xfId="1" applyNumberFormat="1" applyFont="1" applyAlignment="1">
      <alignment horizontal="right"/>
    </xf>
    <xf numFmtId="0" fontId="8" fillId="0" borderId="0" xfId="0" applyFont="1" applyFill="1" applyAlignment="1">
      <alignment wrapText="1"/>
    </xf>
    <xf numFmtId="0" fontId="8" fillId="0" borderId="0" xfId="0" applyFont="1" applyAlignment="1">
      <alignment horizontal="left"/>
    </xf>
    <xf numFmtId="0" fontId="8" fillId="0" borderId="0" xfId="0" applyFont="1" applyFill="1" applyAlignment="1"/>
    <xf numFmtId="0" fontId="8" fillId="0" borderId="0" xfId="0" applyFont="1" applyAlignment="1"/>
    <xf numFmtId="0" fontId="8" fillId="0" borderId="0" xfId="0" applyFont="1" applyAlignment="1">
      <alignment horizontal="left" vertical="center" wrapText="1"/>
    </xf>
    <xf numFmtId="0" fontId="8" fillId="0" borderId="0" xfId="0" applyFont="1" applyAlignment="1">
      <alignment horizontal="left"/>
    </xf>
    <xf numFmtId="0" fontId="8" fillId="0" borderId="0" xfId="0" applyFont="1" applyAlignment="1">
      <alignment horizontal="left"/>
    </xf>
    <xf numFmtId="44" fontId="8" fillId="0" borderId="0" xfId="0" applyNumberFormat="1" applyFont="1" applyFill="1" applyAlignment="1">
      <alignment horizontal="center" wrapText="1"/>
    </xf>
    <xf numFmtId="0" fontId="8" fillId="0" borderId="0" xfId="0" applyFont="1" applyAlignment="1">
      <alignment horizontal="left"/>
    </xf>
    <xf numFmtId="0" fontId="0" fillId="0" borderId="0" xfId="0" applyAlignment="1">
      <alignment wrapText="1"/>
    </xf>
    <xf numFmtId="0" fontId="8" fillId="0" borderId="70" xfId="0" applyFont="1" applyBorder="1"/>
    <xf numFmtId="0" fontId="8" fillId="0" borderId="70" xfId="0" applyFont="1" applyBorder="1" applyAlignment="1">
      <alignment wrapText="1"/>
    </xf>
    <xf numFmtId="0" fontId="8" fillId="0" borderId="70" xfId="0" applyFont="1" applyBorder="1" applyAlignment="1">
      <alignment vertical="top"/>
    </xf>
    <xf numFmtId="0" fontId="0" fillId="0" borderId="0" xfId="0" applyAlignment="1">
      <alignment vertical="top"/>
    </xf>
    <xf numFmtId="0" fontId="8" fillId="0" borderId="0" xfId="0" applyFont="1" applyAlignment="1">
      <alignment vertical="top"/>
    </xf>
    <xf numFmtId="0" fontId="0" fillId="0" borderId="0" xfId="0" applyAlignment="1">
      <alignment vertical="top" wrapText="1"/>
    </xf>
    <xf numFmtId="41" fontId="42" fillId="0" borderId="6" xfId="0" applyNumberFormat="1" applyFont="1" applyBorder="1" applyAlignment="1">
      <alignment vertical="center"/>
    </xf>
    <xf numFmtId="42" fontId="42" fillId="0" borderId="6" xfId="0" applyNumberFormat="1" applyFont="1" applyBorder="1" applyAlignment="1">
      <alignment horizontal="right"/>
    </xf>
    <xf numFmtId="176" fontId="43" fillId="0" borderId="0" xfId="1" applyNumberFormat="1" applyFont="1"/>
    <xf numFmtId="0" fontId="44" fillId="0" borderId="0" xfId="0" applyFont="1" applyFill="1" applyBorder="1" applyAlignment="1">
      <alignment horizontal="center" vertical="center" wrapText="1"/>
    </xf>
    <xf numFmtId="172" fontId="45" fillId="0" borderId="6" xfId="0" applyNumberFormat="1" applyFont="1" applyFill="1" applyBorder="1" applyAlignment="1">
      <alignment horizontal="right"/>
    </xf>
    <xf numFmtId="172" fontId="45" fillId="0" borderId="6" xfId="0" quotePrefix="1" applyNumberFormat="1" applyFont="1" applyFill="1" applyBorder="1" applyAlignment="1">
      <alignment horizontal="right"/>
    </xf>
    <xf numFmtId="172" fontId="45" fillId="0" borderId="6" xfId="0" applyNumberFormat="1" applyFont="1" applyBorder="1" applyAlignment="1">
      <alignment horizontal="right"/>
    </xf>
    <xf numFmtId="172" fontId="42" fillId="0" borderId="6" xfId="0" applyNumberFormat="1" applyFont="1" applyBorder="1" applyAlignment="1">
      <alignment horizontal="right"/>
    </xf>
    <xf numFmtId="172" fontId="42" fillId="0" borderId="6" xfId="0" applyNumberFormat="1" applyFont="1" applyFill="1" applyBorder="1" applyAlignment="1">
      <alignment horizontal="right"/>
    </xf>
    <xf numFmtId="172" fontId="42" fillId="0" borderId="6" xfId="0" quotePrefix="1" applyNumberFormat="1" applyFont="1" applyFill="1" applyBorder="1" applyAlignment="1">
      <alignment horizontal="right"/>
    </xf>
    <xf numFmtId="179" fontId="42" fillId="0" borderId="6" xfId="0" applyNumberFormat="1" applyFont="1" applyBorder="1" applyAlignment="1">
      <alignment horizontal="right"/>
    </xf>
    <xf numFmtId="175" fontId="42" fillId="0" borderId="6" xfId="1" applyNumberFormat="1" applyFont="1" applyBorder="1" applyAlignment="1">
      <alignment horizontal="right" vertical="center"/>
    </xf>
    <xf numFmtId="175" fontId="43" fillId="0" borderId="0" xfId="0" applyNumberFormat="1" applyFont="1"/>
    <xf numFmtId="0" fontId="44" fillId="0" borderId="0" xfId="0" applyFont="1" applyFill="1" applyBorder="1" applyAlignment="1">
      <alignment vertical="center" wrapText="1"/>
    </xf>
    <xf numFmtId="41" fontId="5" fillId="36" borderId="80" xfId="6" applyNumberFormat="1" applyFill="1" applyBorder="1"/>
    <xf numFmtId="165" fontId="47" fillId="0" borderId="13" xfId="6" applyNumberFormat="1" applyFont="1" applyFill="1" applyBorder="1"/>
    <xf numFmtId="165" fontId="47" fillId="0" borderId="9" xfId="0" applyNumberFormat="1" applyFont="1" applyFill="1" applyBorder="1"/>
    <xf numFmtId="0" fontId="47" fillId="0" borderId="9" xfId="0" applyFont="1" applyFill="1" applyBorder="1"/>
    <xf numFmtId="165" fontId="48" fillId="7" borderId="13" xfId="13" applyNumberFormat="1" applyFont="1" applyBorder="1"/>
    <xf numFmtId="0" fontId="49" fillId="0" borderId="9" xfId="8" applyFont="1" applyFill="1" applyBorder="1"/>
    <xf numFmtId="41" fontId="47" fillId="0" borderId="13" xfId="6" applyNumberFormat="1" applyFont="1" applyFill="1" applyBorder="1"/>
    <xf numFmtId="44" fontId="47" fillId="0" borderId="9" xfId="0" applyNumberFormat="1" applyFont="1" applyFill="1" applyBorder="1"/>
    <xf numFmtId="165" fontId="47" fillId="0" borderId="15" xfId="11" applyNumberFormat="1" applyFont="1" applyFill="1" applyBorder="1"/>
    <xf numFmtId="165" fontId="48" fillId="7" borderId="43" xfId="13" applyNumberFormat="1" applyFont="1" applyBorder="1"/>
    <xf numFmtId="165" fontId="48" fillId="7" borderId="44" xfId="13" applyNumberFormat="1" applyFont="1" applyBorder="1"/>
    <xf numFmtId="165" fontId="48" fillId="7" borderId="42" xfId="13" applyNumberFormat="1" applyFont="1" applyBorder="1"/>
    <xf numFmtId="10" fontId="47" fillId="5" borderId="23" xfId="6" applyNumberFormat="1" applyFont="1" applyBorder="1"/>
    <xf numFmtId="164" fontId="47" fillId="0" borderId="12" xfId="0" applyNumberFormat="1" applyFont="1" applyBorder="1"/>
    <xf numFmtId="43" fontId="43" fillId="0" borderId="0" xfId="1" applyFont="1"/>
    <xf numFmtId="165" fontId="48" fillId="7" borderId="73" xfId="13" applyNumberFormat="1" applyFont="1" applyBorder="1"/>
    <xf numFmtId="165" fontId="48" fillId="7" borderId="72" xfId="13" applyNumberFormat="1" applyFont="1" applyBorder="1"/>
    <xf numFmtId="165" fontId="48" fillId="0" borderId="58" xfId="13" applyNumberFormat="1" applyFont="1" applyFill="1" applyBorder="1"/>
    <xf numFmtId="165" fontId="47" fillId="0" borderId="58" xfId="6" applyNumberFormat="1" applyFont="1" applyFill="1" applyBorder="1"/>
    <xf numFmtId="41" fontId="47" fillId="0" borderId="58" xfId="6" applyNumberFormat="1" applyFont="1" applyFill="1" applyBorder="1"/>
    <xf numFmtId="165" fontId="47" fillId="0" borderId="9" xfId="6" applyNumberFormat="1" applyFont="1" applyFill="1" applyBorder="1"/>
    <xf numFmtId="165" fontId="47" fillId="0" borderId="60" xfId="11" applyNumberFormat="1" applyFont="1" applyFill="1" applyBorder="1"/>
    <xf numFmtId="171" fontId="46" fillId="0" borderId="0" xfId="2" applyNumberFormat="1" applyFont="1" applyBorder="1"/>
    <xf numFmtId="171" fontId="46" fillId="0" borderId="9" xfId="2" applyNumberFormat="1" applyFont="1" applyBorder="1"/>
    <xf numFmtId="171" fontId="46" fillId="0" borderId="10" xfId="0" applyNumberFormat="1" applyFont="1" applyBorder="1"/>
    <xf numFmtId="171" fontId="46" fillId="0" borderId="0" xfId="2" applyNumberFormat="1" applyFont="1" applyFill="1" applyBorder="1"/>
    <xf numFmtId="171" fontId="46" fillId="0" borderId="9" xfId="2" applyNumberFormat="1" applyFont="1" applyFill="1" applyBorder="1"/>
    <xf numFmtId="171" fontId="46" fillId="0" borderId="10" xfId="0" applyNumberFormat="1" applyFont="1" applyFill="1" applyBorder="1"/>
    <xf numFmtId="165" fontId="48" fillId="0" borderId="13" xfId="13" applyNumberFormat="1" applyFont="1" applyFill="1" applyBorder="1"/>
    <xf numFmtId="0" fontId="8" fillId="0" borderId="0" xfId="0" applyFont="1" applyFill="1" applyAlignment="1">
      <alignment horizontal="left"/>
    </xf>
    <xf numFmtId="0" fontId="8" fillId="0" borderId="0" xfId="0" applyFont="1" applyAlignment="1">
      <alignment horizontal="left"/>
    </xf>
    <xf numFmtId="0" fontId="7" fillId="0" borderId="9" xfId="8" applyFill="1" applyBorder="1"/>
    <xf numFmtId="0" fontId="0" fillId="0" borderId="10" xfId="0" applyFill="1" applyBorder="1"/>
    <xf numFmtId="10" fontId="47" fillId="5" borderId="1" xfId="2" applyNumberFormat="1" applyFont="1" applyFill="1" applyBorder="1"/>
    <xf numFmtId="170" fontId="47" fillId="5" borderId="23" xfId="6" applyNumberFormat="1" applyFont="1" applyBorder="1"/>
    <xf numFmtId="0" fontId="7" fillId="0" borderId="10" xfId="8" applyFill="1" applyBorder="1"/>
    <xf numFmtId="171" fontId="47" fillId="0" borderId="0" xfId="2" applyNumberFormat="1" applyFont="1" applyBorder="1"/>
    <xf numFmtId="171" fontId="47" fillId="0" borderId="9" xfId="2" applyNumberFormat="1" applyFont="1" applyBorder="1"/>
    <xf numFmtId="171" fontId="47" fillId="0" borderId="10" xfId="0" applyNumberFormat="1" applyFont="1" applyBorder="1"/>
    <xf numFmtId="167" fontId="0" fillId="0" borderId="0" xfId="0" applyNumberFormat="1"/>
    <xf numFmtId="44" fontId="7" fillId="0" borderId="10" xfId="8" applyNumberFormat="1" applyFill="1" applyBorder="1"/>
    <xf numFmtId="41" fontId="0" fillId="0" borderId="0" xfId="0" applyNumberFormat="1" applyFill="1" applyBorder="1"/>
    <xf numFmtId="43" fontId="8" fillId="0" borderId="0" xfId="1" applyFont="1" applyFill="1" applyAlignment="1">
      <alignment horizontal="center"/>
    </xf>
    <xf numFmtId="165" fontId="13" fillId="40" borderId="75" xfId="12" applyNumberFormat="1" applyFill="1" applyBorder="1"/>
    <xf numFmtId="165" fontId="5" fillId="37" borderId="1" xfId="6" applyNumberFormat="1" applyFill="1"/>
    <xf numFmtId="165" fontId="51" fillId="7" borderId="43" xfId="13" applyNumberFormat="1" applyFont="1" applyBorder="1"/>
    <xf numFmtId="165" fontId="51" fillId="7" borderId="72" xfId="13" applyNumberFormat="1" applyFont="1" applyBorder="1"/>
    <xf numFmtId="165" fontId="51" fillId="7" borderId="44" xfId="13" applyNumberFormat="1" applyFont="1" applyBorder="1"/>
    <xf numFmtId="165" fontId="51" fillId="0" borderId="13" xfId="13" applyNumberFormat="1" applyFont="1" applyFill="1" applyBorder="1"/>
    <xf numFmtId="180" fontId="38" fillId="0" borderId="0" xfId="0" applyNumberFormat="1" applyFont="1"/>
    <xf numFmtId="180" fontId="0" fillId="0" borderId="0" xfId="0" applyNumberFormat="1"/>
    <xf numFmtId="0" fontId="8" fillId="0" borderId="0" xfId="0" applyFont="1" applyAlignment="1">
      <alignment horizontal="left" vertical="center" wrapText="1"/>
    </xf>
    <xf numFmtId="0" fontId="8" fillId="0" borderId="0" xfId="0" applyFont="1" applyAlignment="1">
      <alignment horizontal="left"/>
    </xf>
    <xf numFmtId="167" fontId="0" fillId="0" borderId="0" xfId="1" applyNumberFormat="1" applyFont="1"/>
    <xf numFmtId="0" fontId="8" fillId="0" borderId="0" xfId="0" applyFont="1" applyFill="1" applyAlignment="1">
      <alignment horizontal="left" vertical="center" wrapText="1"/>
    </xf>
    <xf numFmtId="3" fontId="0" fillId="0" borderId="0" xfId="0" applyNumberFormat="1"/>
    <xf numFmtId="171" fontId="47" fillId="0" borderId="0" xfId="2" applyNumberFormat="1" applyFont="1" applyFill="1" applyBorder="1"/>
    <xf numFmtId="171" fontId="47" fillId="0" borderId="9" xfId="2" applyNumberFormat="1" applyFont="1" applyFill="1" applyBorder="1"/>
    <xf numFmtId="171" fontId="47" fillId="0" borderId="10" xfId="0" applyNumberFormat="1" applyFont="1" applyFill="1" applyBorder="1"/>
    <xf numFmtId="44" fontId="0" fillId="0" borderId="0" xfId="0" applyNumberFormat="1" applyFill="1"/>
    <xf numFmtId="172" fontId="52" fillId="0" borderId="6" xfId="0" applyNumberFormat="1" applyFont="1" applyBorder="1" applyAlignment="1">
      <alignment horizontal="right"/>
    </xf>
    <xf numFmtId="172" fontId="52" fillId="0" borderId="6" xfId="0" applyNumberFormat="1" applyFont="1" applyFill="1" applyBorder="1" applyAlignment="1">
      <alignment horizontal="right"/>
    </xf>
    <xf numFmtId="0" fontId="0" fillId="0" borderId="70" xfId="0" applyFill="1" applyBorder="1" applyAlignment="1">
      <alignment vertical="top" wrapText="1"/>
    </xf>
    <xf numFmtId="170" fontId="52" fillId="0" borderId="5" xfId="0" applyNumberFormat="1" applyFont="1" applyFill="1" applyBorder="1" applyAlignment="1">
      <alignment vertical="center"/>
    </xf>
    <xf numFmtId="0" fontId="8" fillId="0" borderId="0" xfId="0" quotePrefix="1" applyFont="1" applyFill="1"/>
    <xf numFmtId="0" fontId="8" fillId="0" borderId="0" xfId="0" applyFont="1" applyFill="1" applyAlignment="1">
      <alignment horizontal="left" wrapText="1"/>
    </xf>
    <xf numFmtId="0" fontId="9" fillId="0" borderId="0" xfId="0" applyFont="1" applyAlignment="1">
      <alignment horizontal="center" wrapText="1"/>
    </xf>
    <xf numFmtId="0" fontId="8" fillId="0" borderId="0" xfId="0" applyFont="1" applyFill="1" applyAlignment="1">
      <alignment horizontal="left" vertical="center" wrapText="1"/>
    </xf>
    <xf numFmtId="0" fontId="8" fillId="41" borderId="0" xfId="0" applyFont="1" applyFill="1" applyAlignment="1">
      <alignment horizontal="left" vertical="center" wrapText="1"/>
    </xf>
    <xf numFmtId="0" fontId="32" fillId="3" borderId="19" xfId="4" applyFont="1" applyBorder="1" applyAlignment="1">
      <alignment horizontal="center"/>
    </xf>
    <xf numFmtId="0" fontId="32" fillId="3" borderId="20" xfId="4" applyFont="1" applyBorder="1" applyAlignment="1">
      <alignment horizontal="center"/>
    </xf>
    <xf numFmtId="0" fontId="32" fillId="3" borderId="4" xfId="4" applyFont="1" applyBorder="1" applyAlignment="1">
      <alignment horizontal="center"/>
    </xf>
    <xf numFmtId="0" fontId="8" fillId="38" borderId="20" xfId="0" applyFont="1" applyFill="1" applyBorder="1" applyAlignment="1">
      <alignment horizontal="center"/>
    </xf>
    <xf numFmtId="0" fontId="8" fillId="38" borderId="4" xfId="0" applyFont="1" applyFill="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8" fillId="0" borderId="4" xfId="0" applyFont="1" applyBorder="1" applyAlignment="1">
      <alignment horizontal="center"/>
    </xf>
    <xf numFmtId="0" fontId="8" fillId="0" borderId="0" xfId="0" applyFont="1" applyAlignment="1">
      <alignment horizontal="left" wrapText="1"/>
    </xf>
    <xf numFmtId="0" fontId="8" fillId="0" borderId="0" xfId="0" applyFont="1" applyFill="1" applyAlignment="1">
      <alignment horizontal="left"/>
    </xf>
    <xf numFmtId="0" fontId="33" fillId="0" borderId="19" xfId="8" applyFont="1" applyBorder="1" applyAlignment="1">
      <alignment horizontal="center"/>
    </xf>
    <xf numFmtId="0" fontId="33" fillId="0" borderId="20" xfId="8" applyFont="1" applyBorder="1" applyAlignment="1">
      <alignment horizontal="center"/>
    </xf>
    <xf numFmtId="0" fontId="33" fillId="0" borderId="4" xfId="8" applyFont="1" applyBorder="1" applyAlignment="1">
      <alignment horizontal="center"/>
    </xf>
    <xf numFmtId="0" fontId="8" fillId="38" borderId="19" xfId="0" applyFont="1" applyFill="1" applyBorder="1" applyAlignment="1">
      <alignment horizontal="center"/>
    </xf>
    <xf numFmtId="0" fontId="8" fillId="0" borderId="0" xfId="0" applyFont="1" applyFill="1" applyAlignment="1">
      <alignment horizontal="left" vertical="top" wrapText="1"/>
    </xf>
    <xf numFmtId="0" fontId="8" fillId="0" borderId="0" xfId="0" applyFont="1" applyAlignment="1">
      <alignment horizontal="left" vertical="center" wrapText="1"/>
    </xf>
  </cellXfs>
  <cellStyles count="302">
    <cellStyle name="20% - Accent1" xfId="24" builtinId="30" customBuiltin="1"/>
    <cellStyle name="20% - Accent1 2" xfId="54" xr:uid="{00000000-0005-0000-0000-000001000000}"/>
    <cellStyle name="20% - Accent2" xfId="28" builtinId="34" customBuiltin="1"/>
    <cellStyle name="20% - Accent2 2" xfId="56" xr:uid="{00000000-0005-0000-0000-000003000000}"/>
    <cellStyle name="20% - Accent3" xfId="32" builtinId="38" customBuiltin="1"/>
    <cellStyle name="20% - Accent3 2" xfId="58" xr:uid="{00000000-0005-0000-0000-000005000000}"/>
    <cellStyle name="20% - Accent4" xfId="36" builtinId="42" customBuiltin="1"/>
    <cellStyle name="20% - Accent4 2" xfId="60" xr:uid="{00000000-0005-0000-0000-000007000000}"/>
    <cellStyle name="20% - Accent5" xfId="40" builtinId="46" customBuiltin="1"/>
    <cellStyle name="20% - Accent5 2" xfId="62" xr:uid="{00000000-0005-0000-0000-000009000000}"/>
    <cellStyle name="20% - Accent6" xfId="44" builtinId="50" customBuiltin="1"/>
    <cellStyle name="20% - Accent6 2" xfId="64" xr:uid="{00000000-0005-0000-0000-00000B000000}"/>
    <cellStyle name="40% - Accent1" xfId="25" builtinId="31" customBuiltin="1"/>
    <cellStyle name="40% - Accent1 2" xfId="55" xr:uid="{00000000-0005-0000-0000-00000D000000}"/>
    <cellStyle name="40% - Accent2" xfId="29" builtinId="35" customBuiltin="1"/>
    <cellStyle name="40% - Accent2 2" xfId="57" xr:uid="{00000000-0005-0000-0000-00000F000000}"/>
    <cellStyle name="40% - Accent3" xfId="33" builtinId="39" customBuiltin="1"/>
    <cellStyle name="40% - Accent3 2" xfId="59" xr:uid="{00000000-0005-0000-0000-000011000000}"/>
    <cellStyle name="40% - Accent4" xfId="37" builtinId="43" customBuiltin="1"/>
    <cellStyle name="40% - Accent4 2" xfId="61" xr:uid="{00000000-0005-0000-0000-000013000000}"/>
    <cellStyle name="40% - Accent5" xfId="41" builtinId="47" customBuiltin="1"/>
    <cellStyle name="40% - Accent5 2" xfId="63" xr:uid="{00000000-0005-0000-0000-000015000000}"/>
    <cellStyle name="40% - Accent6" xfId="45" builtinId="51" customBuiltin="1"/>
    <cellStyle name="40% - Accent6 2" xfId="65"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2" xfId="68" xr:uid="{00000000-0005-0000-0000-000028000000}"/>
    <cellStyle name="Comma 2 2" xfId="282" xr:uid="{00000000-0005-0000-0000-000029000000}"/>
    <cellStyle name="Comma 3" xfId="66" xr:uid="{00000000-0005-0000-0000-00002A000000}"/>
    <cellStyle name="Comma 3 2" xfId="9" xr:uid="{00000000-0005-0000-0000-00002B000000}"/>
    <cellStyle name="Comma 4" xfId="192" xr:uid="{00000000-0005-0000-0000-00002C000000}"/>
    <cellStyle name="Comma 5" xfId="52" xr:uid="{00000000-0005-0000-0000-00002D000000}"/>
    <cellStyle name="Currency" xfId="11" builtinId="4"/>
    <cellStyle name="Currency [0] 2" xfId="114" xr:uid="{00000000-0005-0000-0000-00002F000000}"/>
    <cellStyle name="Currency [0] 2 2" xfId="203" xr:uid="{00000000-0005-0000-0000-000030000000}"/>
    <cellStyle name="Currency 10" xfId="193" xr:uid="{00000000-0005-0000-0000-000031000000}"/>
    <cellStyle name="Currency 11" xfId="112" xr:uid="{00000000-0005-0000-0000-000032000000}"/>
    <cellStyle name="Currency 12" xfId="197" xr:uid="{00000000-0005-0000-0000-000033000000}"/>
    <cellStyle name="Currency 13" xfId="50" xr:uid="{00000000-0005-0000-0000-000034000000}"/>
    <cellStyle name="Currency 13 2" xfId="288" xr:uid="{00000000-0005-0000-0000-000035000000}"/>
    <cellStyle name="Currency 14" xfId="285" xr:uid="{00000000-0005-0000-0000-000036000000}"/>
    <cellStyle name="Currency 15" xfId="289" xr:uid="{00000000-0005-0000-0000-000037000000}"/>
    <cellStyle name="Currency 16" xfId="291" xr:uid="{00000000-0005-0000-0000-000038000000}"/>
    <cellStyle name="Currency 17" xfId="292" xr:uid="{00000000-0005-0000-0000-000039000000}"/>
    <cellStyle name="Currency 18" xfId="293" xr:uid="{00000000-0005-0000-0000-00003A000000}"/>
    <cellStyle name="Currency 19" xfId="294" xr:uid="{00000000-0005-0000-0000-00003B000000}"/>
    <cellStyle name="Currency 2" xfId="69" xr:uid="{00000000-0005-0000-0000-00003C000000}"/>
    <cellStyle name="Currency 2 2" xfId="111" xr:uid="{00000000-0005-0000-0000-00003D000000}"/>
    <cellStyle name="Currency 2 2 2" xfId="202" xr:uid="{00000000-0005-0000-0000-00003E000000}"/>
    <cellStyle name="Currency 2 3" xfId="280" xr:uid="{00000000-0005-0000-0000-00003F000000}"/>
    <cellStyle name="Currency 20" xfId="295" xr:uid="{00000000-0005-0000-0000-000040000000}"/>
    <cellStyle name="Currency 21" xfId="296" xr:uid="{00000000-0005-0000-0000-000041000000}"/>
    <cellStyle name="Currency 22" xfId="297" xr:uid="{00000000-0005-0000-0000-000042000000}"/>
    <cellStyle name="Currency 3" xfId="67" xr:uid="{00000000-0005-0000-0000-000043000000}"/>
    <cellStyle name="Currency 3 2" xfId="279" xr:uid="{00000000-0005-0000-0000-000044000000}"/>
    <cellStyle name="Currency 4" xfId="115" xr:uid="{00000000-0005-0000-0000-000045000000}"/>
    <cellStyle name="Currency 4 2" xfId="204" xr:uid="{00000000-0005-0000-0000-000046000000}"/>
    <cellStyle name="Currency 4 3" xfId="281" xr:uid="{00000000-0005-0000-0000-000047000000}"/>
    <cellStyle name="Currency 5" xfId="116" xr:uid="{00000000-0005-0000-0000-000048000000}"/>
    <cellStyle name="Currency 5 2" xfId="205" xr:uid="{00000000-0005-0000-0000-000049000000}"/>
    <cellStyle name="Currency 6" xfId="117" xr:uid="{00000000-0005-0000-0000-00004A000000}"/>
    <cellStyle name="Currency 6 2" xfId="206" xr:uid="{00000000-0005-0000-0000-00004B000000}"/>
    <cellStyle name="Currency 7" xfId="118" xr:uid="{00000000-0005-0000-0000-00004C000000}"/>
    <cellStyle name="Currency 7 2" xfId="207" xr:uid="{00000000-0005-0000-0000-00004D000000}"/>
    <cellStyle name="Currency 8" xfId="194" xr:uid="{00000000-0005-0000-0000-00004E000000}"/>
    <cellStyle name="Currency 9" xfId="195" xr:uid="{00000000-0005-0000-0000-00004F000000}"/>
    <cellStyle name="Data Field" xfId="119" xr:uid="{00000000-0005-0000-0000-000050000000}"/>
    <cellStyle name="Data Field 2" xfId="208" xr:uid="{00000000-0005-0000-0000-000051000000}"/>
    <cellStyle name="Data Name" xfId="120" xr:uid="{00000000-0005-0000-0000-000052000000}"/>
    <cellStyle name="Data Name 2" xfId="209" xr:uid="{00000000-0005-0000-0000-000053000000}"/>
    <cellStyle name="Explanatory Text" xfId="8" builtinId="53" customBuiltin="1"/>
    <cellStyle name="Followed Hyperlink" xfId="287"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6" builtinId="8" customBuiltin="1"/>
    <cellStyle name="Hyperlink 2" xfId="121" xr:uid="{00000000-0005-0000-0000-00005C000000}"/>
    <cellStyle name="Hyperlink 3" xfId="122" xr:uid="{00000000-0005-0000-0000-00005D000000}"/>
    <cellStyle name="Hyperlink 4" xfId="300" xr:uid="{00000000-0005-0000-0000-00005E000000}"/>
    <cellStyle name="Hyperlink 5" xfId="298" xr:uid="{00000000-0005-0000-0000-00005F000000}"/>
    <cellStyle name="Input" xfId="6" builtinId="20" customBuiltin="1"/>
    <cellStyle name="Linked Cell" xfId="15" builtinId="24" customBuiltin="1"/>
    <cellStyle name="Neutral" xfId="5" builtinId="28" customBuiltin="1"/>
    <cellStyle name="Normal" xfId="0" builtinId="0"/>
    <cellStyle name="Normal 10" xfId="123" xr:uid="{00000000-0005-0000-0000-000064000000}"/>
    <cellStyle name="Normal 10 2" xfId="124" xr:uid="{00000000-0005-0000-0000-000065000000}"/>
    <cellStyle name="Normal 10 2 2" xfId="211" xr:uid="{00000000-0005-0000-0000-000066000000}"/>
    <cellStyle name="Normal 10 3" xfId="210" xr:uid="{00000000-0005-0000-0000-000067000000}"/>
    <cellStyle name="Normal 11" xfId="125" xr:uid="{00000000-0005-0000-0000-000068000000}"/>
    <cellStyle name="Normal 11 2" xfId="212" xr:uid="{00000000-0005-0000-0000-000069000000}"/>
    <cellStyle name="Normal 12" xfId="126" xr:uid="{00000000-0005-0000-0000-00006A000000}"/>
    <cellStyle name="Normal 12 2" xfId="213" xr:uid="{00000000-0005-0000-0000-00006B000000}"/>
    <cellStyle name="Normal 13" xfId="127" xr:uid="{00000000-0005-0000-0000-00006C000000}"/>
    <cellStyle name="Normal 13 2" xfId="214" xr:uid="{00000000-0005-0000-0000-00006D000000}"/>
    <cellStyle name="Normal 14" xfId="128" xr:uid="{00000000-0005-0000-0000-00006E000000}"/>
    <cellStyle name="Normal 14 2" xfId="215" xr:uid="{00000000-0005-0000-0000-00006F000000}"/>
    <cellStyle name="Normal 15" xfId="129" xr:uid="{00000000-0005-0000-0000-000070000000}"/>
    <cellStyle name="Normal 16" xfId="130" xr:uid="{00000000-0005-0000-0000-000071000000}"/>
    <cellStyle name="Normal 16 2" xfId="216" xr:uid="{00000000-0005-0000-0000-000072000000}"/>
    <cellStyle name="Normal 17" xfId="48" xr:uid="{00000000-0005-0000-0000-000073000000}"/>
    <cellStyle name="Normal 18" xfId="131" xr:uid="{00000000-0005-0000-0000-000074000000}"/>
    <cellStyle name="Normal 18 2" xfId="217" xr:uid="{00000000-0005-0000-0000-000075000000}"/>
    <cellStyle name="Normal 19" xfId="132" xr:uid="{00000000-0005-0000-0000-000076000000}"/>
    <cellStyle name="Normal 19 2" xfId="218" xr:uid="{00000000-0005-0000-0000-000077000000}"/>
    <cellStyle name="Normal 2" xfId="51" xr:uid="{00000000-0005-0000-0000-000078000000}"/>
    <cellStyle name="Normal 2 2" xfId="71" xr:uid="{00000000-0005-0000-0000-000079000000}"/>
    <cellStyle name="Normal 2 2 2" xfId="72" xr:uid="{00000000-0005-0000-0000-00007A000000}"/>
    <cellStyle name="Normal 2 2 3" xfId="73" xr:uid="{00000000-0005-0000-0000-00007B000000}"/>
    <cellStyle name="Normal 2 2 4" xfId="74" xr:uid="{00000000-0005-0000-0000-00007C000000}"/>
    <cellStyle name="Normal 2 2 5" xfId="75" xr:uid="{00000000-0005-0000-0000-00007D000000}"/>
    <cellStyle name="Normal 2 2 6" xfId="76" xr:uid="{00000000-0005-0000-0000-00007E000000}"/>
    <cellStyle name="Normal 2 2 7" xfId="77" xr:uid="{00000000-0005-0000-0000-00007F000000}"/>
    <cellStyle name="Normal 2 2 8" xfId="78" xr:uid="{00000000-0005-0000-0000-000080000000}"/>
    <cellStyle name="Normal 2 2 9" xfId="79" xr:uid="{00000000-0005-0000-0000-000081000000}"/>
    <cellStyle name="Normal 2 3" xfId="80" xr:uid="{00000000-0005-0000-0000-000082000000}"/>
    <cellStyle name="Normal 2 4" xfId="81" xr:uid="{00000000-0005-0000-0000-000083000000}"/>
    <cellStyle name="Normal 2 4 2" xfId="82" xr:uid="{00000000-0005-0000-0000-000084000000}"/>
    <cellStyle name="Normal 2 5" xfId="110" xr:uid="{00000000-0005-0000-0000-000085000000}"/>
    <cellStyle name="Normal 2 5 2" xfId="201" xr:uid="{00000000-0005-0000-0000-000086000000}"/>
    <cellStyle name="Normal 2 6" xfId="47" xr:uid="{00000000-0005-0000-0000-000087000000}"/>
    <cellStyle name="Normal 2 6 2" xfId="70" xr:uid="{00000000-0005-0000-0000-000088000000}"/>
    <cellStyle name="Normal 2 7" xfId="299" xr:uid="{00000000-0005-0000-0000-000089000000}"/>
    <cellStyle name="Normal 26" xfId="106" xr:uid="{00000000-0005-0000-0000-00008A000000}"/>
    <cellStyle name="Normal 26 2" xfId="199" xr:uid="{00000000-0005-0000-0000-00008B000000}"/>
    <cellStyle name="Normal 27" xfId="107" xr:uid="{00000000-0005-0000-0000-00008C000000}"/>
    <cellStyle name="Normal 27 2" xfId="200" xr:uid="{00000000-0005-0000-0000-00008D000000}"/>
    <cellStyle name="Normal 28" xfId="133" xr:uid="{00000000-0005-0000-0000-00008E000000}"/>
    <cellStyle name="Normal 28 2" xfId="219" xr:uid="{00000000-0005-0000-0000-00008F000000}"/>
    <cellStyle name="Normal 3" xfId="83" xr:uid="{00000000-0005-0000-0000-000090000000}"/>
    <cellStyle name="Normal 3 2" xfId="84" xr:uid="{00000000-0005-0000-0000-000091000000}"/>
    <cellStyle name="Normal 3 2 2" xfId="85" xr:uid="{00000000-0005-0000-0000-000092000000}"/>
    <cellStyle name="Normal 3 2 3" xfId="86" xr:uid="{00000000-0005-0000-0000-000093000000}"/>
    <cellStyle name="Normal 3 2 4" xfId="87" xr:uid="{00000000-0005-0000-0000-000094000000}"/>
    <cellStyle name="Normal 3 2 5" xfId="88" xr:uid="{00000000-0005-0000-0000-000095000000}"/>
    <cellStyle name="Normal 3 2 6" xfId="89" xr:uid="{00000000-0005-0000-0000-000096000000}"/>
    <cellStyle name="Normal 3 2 7" xfId="90" xr:uid="{00000000-0005-0000-0000-000097000000}"/>
    <cellStyle name="Normal 3 2 8" xfId="91" xr:uid="{00000000-0005-0000-0000-000098000000}"/>
    <cellStyle name="Normal 3 2 9" xfId="92" xr:uid="{00000000-0005-0000-0000-000099000000}"/>
    <cellStyle name="Normal 3 3" xfId="108" xr:uid="{00000000-0005-0000-0000-00009A000000}"/>
    <cellStyle name="Normal 3 40" xfId="109" xr:uid="{00000000-0005-0000-0000-00009B000000}"/>
    <cellStyle name="Normal 33" xfId="277" xr:uid="{00000000-0005-0000-0000-00009C000000}"/>
    <cellStyle name="Normal 35" xfId="301" xr:uid="{00000000-0005-0000-0000-00009D000000}"/>
    <cellStyle name="Normal 36" xfId="134" xr:uid="{00000000-0005-0000-0000-00009E000000}"/>
    <cellStyle name="Normal 36 2" xfId="220" xr:uid="{00000000-0005-0000-0000-00009F000000}"/>
    <cellStyle name="Normal 37" xfId="135" xr:uid="{00000000-0005-0000-0000-0000A0000000}"/>
    <cellStyle name="Normal 37 2" xfId="221" xr:uid="{00000000-0005-0000-0000-0000A1000000}"/>
    <cellStyle name="Normal 38" xfId="136" xr:uid="{00000000-0005-0000-0000-0000A2000000}"/>
    <cellStyle name="Normal 38 2" xfId="222" xr:uid="{00000000-0005-0000-0000-0000A3000000}"/>
    <cellStyle name="Normal 39" xfId="137" xr:uid="{00000000-0005-0000-0000-0000A4000000}"/>
    <cellStyle name="Normal 39 2" xfId="223" xr:uid="{00000000-0005-0000-0000-0000A5000000}"/>
    <cellStyle name="Normal 4" xfId="10" xr:uid="{00000000-0005-0000-0000-0000A6000000}"/>
    <cellStyle name="Normal 4 2" xfId="94" xr:uid="{00000000-0005-0000-0000-0000A7000000}"/>
    <cellStyle name="Normal 4 3" xfId="93" xr:uid="{00000000-0005-0000-0000-0000A8000000}"/>
    <cellStyle name="Normal 4 4" xfId="278" xr:uid="{00000000-0005-0000-0000-0000A9000000}"/>
    <cellStyle name="Normal 40" xfId="138" xr:uid="{00000000-0005-0000-0000-0000AA000000}"/>
    <cellStyle name="Normal 40 2" xfId="224" xr:uid="{00000000-0005-0000-0000-0000AB000000}"/>
    <cellStyle name="Normal 41" xfId="139" xr:uid="{00000000-0005-0000-0000-0000AC000000}"/>
    <cellStyle name="Normal 41 2" xfId="225" xr:uid="{00000000-0005-0000-0000-0000AD000000}"/>
    <cellStyle name="Normal 42" xfId="140" xr:uid="{00000000-0005-0000-0000-0000AE000000}"/>
    <cellStyle name="Normal 42 2" xfId="226" xr:uid="{00000000-0005-0000-0000-0000AF000000}"/>
    <cellStyle name="Normal 43" xfId="141" xr:uid="{00000000-0005-0000-0000-0000B0000000}"/>
    <cellStyle name="Normal 43 2" xfId="227" xr:uid="{00000000-0005-0000-0000-0000B1000000}"/>
    <cellStyle name="Normal 44" xfId="142" xr:uid="{00000000-0005-0000-0000-0000B2000000}"/>
    <cellStyle name="Normal 44 2" xfId="228" xr:uid="{00000000-0005-0000-0000-0000B3000000}"/>
    <cellStyle name="Normal 45" xfId="143" xr:uid="{00000000-0005-0000-0000-0000B4000000}"/>
    <cellStyle name="Normal 45 2" xfId="229" xr:uid="{00000000-0005-0000-0000-0000B5000000}"/>
    <cellStyle name="Normal 46" xfId="144" xr:uid="{00000000-0005-0000-0000-0000B6000000}"/>
    <cellStyle name="Normal 46 2" xfId="230" xr:uid="{00000000-0005-0000-0000-0000B7000000}"/>
    <cellStyle name="Normal 47" xfId="145" xr:uid="{00000000-0005-0000-0000-0000B8000000}"/>
    <cellStyle name="Normal 47 2" xfId="231" xr:uid="{00000000-0005-0000-0000-0000B9000000}"/>
    <cellStyle name="Normal 48" xfId="146" xr:uid="{00000000-0005-0000-0000-0000BA000000}"/>
    <cellStyle name="Normal 48 2" xfId="232" xr:uid="{00000000-0005-0000-0000-0000BB000000}"/>
    <cellStyle name="Normal 49" xfId="147" xr:uid="{00000000-0005-0000-0000-0000BC000000}"/>
    <cellStyle name="Normal 49 2" xfId="233" xr:uid="{00000000-0005-0000-0000-0000BD000000}"/>
    <cellStyle name="Normal 5" xfId="95" xr:uid="{00000000-0005-0000-0000-0000BE000000}"/>
    <cellStyle name="Normal 5 2" xfId="96" xr:uid="{00000000-0005-0000-0000-0000BF000000}"/>
    <cellStyle name="Normal 5 3" xfId="97" xr:uid="{00000000-0005-0000-0000-0000C0000000}"/>
    <cellStyle name="Normal 5 4" xfId="98" xr:uid="{00000000-0005-0000-0000-0000C1000000}"/>
    <cellStyle name="Normal 50" xfId="148" xr:uid="{00000000-0005-0000-0000-0000C2000000}"/>
    <cellStyle name="Normal 50 2" xfId="234" xr:uid="{00000000-0005-0000-0000-0000C3000000}"/>
    <cellStyle name="Normal 51" xfId="149" xr:uid="{00000000-0005-0000-0000-0000C4000000}"/>
    <cellStyle name="Normal 51 2" xfId="235" xr:uid="{00000000-0005-0000-0000-0000C5000000}"/>
    <cellStyle name="Normal 52" xfId="150" xr:uid="{00000000-0005-0000-0000-0000C6000000}"/>
    <cellStyle name="Normal 52 2" xfId="236" xr:uid="{00000000-0005-0000-0000-0000C7000000}"/>
    <cellStyle name="Normal 53" xfId="151" xr:uid="{00000000-0005-0000-0000-0000C8000000}"/>
    <cellStyle name="Normal 53 2" xfId="237" xr:uid="{00000000-0005-0000-0000-0000C9000000}"/>
    <cellStyle name="Normal 54" xfId="152" xr:uid="{00000000-0005-0000-0000-0000CA000000}"/>
    <cellStyle name="Normal 54 2" xfId="238" xr:uid="{00000000-0005-0000-0000-0000CB000000}"/>
    <cellStyle name="Normal 55" xfId="153" xr:uid="{00000000-0005-0000-0000-0000CC000000}"/>
    <cellStyle name="Normal 55 2" xfId="239" xr:uid="{00000000-0005-0000-0000-0000CD000000}"/>
    <cellStyle name="Normal 56" xfId="154" xr:uid="{00000000-0005-0000-0000-0000CE000000}"/>
    <cellStyle name="Normal 56 2" xfId="240" xr:uid="{00000000-0005-0000-0000-0000CF000000}"/>
    <cellStyle name="Normal 57" xfId="155" xr:uid="{00000000-0005-0000-0000-0000D0000000}"/>
    <cellStyle name="Normal 57 2" xfId="241" xr:uid="{00000000-0005-0000-0000-0000D1000000}"/>
    <cellStyle name="Normal 58" xfId="156" xr:uid="{00000000-0005-0000-0000-0000D2000000}"/>
    <cellStyle name="Normal 58 2" xfId="242" xr:uid="{00000000-0005-0000-0000-0000D3000000}"/>
    <cellStyle name="Normal 59" xfId="157" xr:uid="{00000000-0005-0000-0000-0000D4000000}"/>
    <cellStyle name="Normal 59 2" xfId="243" xr:uid="{00000000-0005-0000-0000-0000D5000000}"/>
    <cellStyle name="Normal 6" xfId="99" xr:uid="{00000000-0005-0000-0000-0000D6000000}"/>
    <cellStyle name="Normal 6 2" xfId="100" xr:uid="{00000000-0005-0000-0000-0000D7000000}"/>
    <cellStyle name="Normal 6 3" xfId="101" xr:uid="{00000000-0005-0000-0000-0000D8000000}"/>
    <cellStyle name="Normal 60" xfId="158" xr:uid="{00000000-0005-0000-0000-0000D9000000}"/>
    <cellStyle name="Normal 60 2" xfId="244" xr:uid="{00000000-0005-0000-0000-0000DA000000}"/>
    <cellStyle name="Normal 61" xfId="159" xr:uid="{00000000-0005-0000-0000-0000DB000000}"/>
    <cellStyle name="Normal 61 2" xfId="245" xr:uid="{00000000-0005-0000-0000-0000DC000000}"/>
    <cellStyle name="Normal 62" xfId="160" xr:uid="{00000000-0005-0000-0000-0000DD000000}"/>
    <cellStyle name="Normal 62 2" xfId="246" xr:uid="{00000000-0005-0000-0000-0000DE000000}"/>
    <cellStyle name="Normal 63" xfId="161" xr:uid="{00000000-0005-0000-0000-0000DF000000}"/>
    <cellStyle name="Normal 63 2" xfId="247" xr:uid="{00000000-0005-0000-0000-0000E0000000}"/>
    <cellStyle name="Normal 64" xfId="162" xr:uid="{00000000-0005-0000-0000-0000E1000000}"/>
    <cellStyle name="Normal 64 2" xfId="248" xr:uid="{00000000-0005-0000-0000-0000E2000000}"/>
    <cellStyle name="Normal 65" xfId="163" xr:uid="{00000000-0005-0000-0000-0000E3000000}"/>
    <cellStyle name="Normal 65 2" xfId="249" xr:uid="{00000000-0005-0000-0000-0000E4000000}"/>
    <cellStyle name="Normal 66" xfId="164" xr:uid="{00000000-0005-0000-0000-0000E5000000}"/>
    <cellStyle name="Normal 66 2" xfId="250" xr:uid="{00000000-0005-0000-0000-0000E6000000}"/>
    <cellStyle name="Normal 67" xfId="165" xr:uid="{00000000-0005-0000-0000-0000E7000000}"/>
    <cellStyle name="Normal 67 2" xfId="251" xr:uid="{00000000-0005-0000-0000-0000E8000000}"/>
    <cellStyle name="Normal 69" xfId="166" xr:uid="{00000000-0005-0000-0000-0000E9000000}"/>
    <cellStyle name="Normal 69 2" xfId="252" xr:uid="{00000000-0005-0000-0000-0000EA000000}"/>
    <cellStyle name="Normal 7" xfId="102" xr:uid="{00000000-0005-0000-0000-0000EB000000}"/>
    <cellStyle name="Normal 70" xfId="167" xr:uid="{00000000-0005-0000-0000-0000EC000000}"/>
    <cellStyle name="Normal 70 2" xfId="253" xr:uid="{00000000-0005-0000-0000-0000ED000000}"/>
    <cellStyle name="Normal 71" xfId="168" xr:uid="{00000000-0005-0000-0000-0000EE000000}"/>
    <cellStyle name="Normal 71 2" xfId="254" xr:uid="{00000000-0005-0000-0000-0000EF000000}"/>
    <cellStyle name="Normal 72" xfId="169" xr:uid="{00000000-0005-0000-0000-0000F0000000}"/>
    <cellStyle name="Normal 72 2" xfId="255" xr:uid="{00000000-0005-0000-0000-0000F1000000}"/>
    <cellStyle name="Normal 73" xfId="170" xr:uid="{00000000-0005-0000-0000-0000F2000000}"/>
    <cellStyle name="Normal 73 2" xfId="256" xr:uid="{00000000-0005-0000-0000-0000F3000000}"/>
    <cellStyle name="Normal 74" xfId="171" xr:uid="{00000000-0005-0000-0000-0000F4000000}"/>
    <cellStyle name="Normal 74 2" xfId="257" xr:uid="{00000000-0005-0000-0000-0000F5000000}"/>
    <cellStyle name="Normal 75" xfId="172" xr:uid="{00000000-0005-0000-0000-0000F6000000}"/>
    <cellStyle name="Normal 75 2" xfId="258" xr:uid="{00000000-0005-0000-0000-0000F7000000}"/>
    <cellStyle name="Normal 76" xfId="173" xr:uid="{00000000-0005-0000-0000-0000F8000000}"/>
    <cellStyle name="Normal 76 2" xfId="259" xr:uid="{00000000-0005-0000-0000-0000F9000000}"/>
    <cellStyle name="Normal 77" xfId="174" xr:uid="{00000000-0005-0000-0000-0000FA000000}"/>
    <cellStyle name="Normal 77 2" xfId="260" xr:uid="{00000000-0005-0000-0000-0000FB000000}"/>
    <cellStyle name="Normal 78" xfId="175" xr:uid="{00000000-0005-0000-0000-0000FC000000}"/>
    <cellStyle name="Normal 78 2" xfId="261" xr:uid="{00000000-0005-0000-0000-0000FD000000}"/>
    <cellStyle name="Normal 79" xfId="176" xr:uid="{00000000-0005-0000-0000-0000FE000000}"/>
    <cellStyle name="Normal 79 2" xfId="262" xr:uid="{00000000-0005-0000-0000-0000FF000000}"/>
    <cellStyle name="Normal 8" xfId="103" xr:uid="{00000000-0005-0000-0000-000000010000}"/>
    <cellStyle name="Normal 80" xfId="177" xr:uid="{00000000-0005-0000-0000-000001010000}"/>
    <cellStyle name="Normal 80 2" xfId="263" xr:uid="{00000000-0005-0000-0000-000002010000}"/>
    <cellStyle name="Normal 81" xfId="178" xr:uid="{00000000-0005-0000-0000-000003010000}"/>
    <cellStyle name="Normal 81 2" xfId="264" xr:uid="{00000000-0005-0000-0000-000004010000}"/>
    <cellStyle name="Normal 82" xfId="179" xr:uid="{00000000-0005-0000-0000-000005010000}"/>
    <cellStyle name="Normal 82 2" xfId="265" xr:uid="{00000000-0005-0000-0000-000006010000}"/>
    <cellStyle name="Normal 83" xfId="180" xr:uid="{00000000-0005-0000-0000-000007010000}"/>
    <cellStyle name="Normal 83 2" xfId="266" xr:uid="{00000000-0005-0000-0000-000008010000}"/>
    <cellStyle name="Normal 84" xfId="181" xr:uid="{00000000-0005-0000-0000-000009010000}"/>
    <cellStyle name="Normal 84 2" xfId="267" xr:uid="{00000000-0005-0000-0000-00000A010000}"/>
    <cellStyle name="Normal 85" xfId="182" xr:uid="{00000000-0005-0000-0000-00000B010000}"/>
    <cellStyle name="Normal 85 2" xfId="268" xr:uid="{00000000-0005-0000-0000-00000C010000}"/>
    <cellStyle name="Normal 86" xfId="183" xr:uid="{00000000-0005-0000-0000-00000D010000}"/>
    <cellStyle name="Normal 86 2" xfId="269" xr:uid="{00000000-0005-0000-0000-00000E010000}"/>
    <cellStyle name="Normal 87" xfId="184" xr:uid="{00000000-0005-0000-0000-00000F010000}"/>
    <cellStyle name="Normal 87 2" xfId="270" xr:uid="{00000000-0005-0000-0000-000010010000}"/>
    <cellStyle name="Normal 9" xfId="104" xr:uid="{00000000-0005-0000-0000-000011010000}"/>
    <cellStyle name="Normal 9 2" xfId="105" xr:uid="{00000000-0005-0000-0000-000012010000}"/>
    <cellStyle name="Normal 9 2 2" xfId="198" xr:uid="{00000000-0005-0000-0000-000013010000}"/>
    <cellStyle name="Note" xfId="14" builtinId="10" customBuiltin="1"/>
    <cellStyle name="Note 2" xfId="53" xr:uid="{00000000-0005-0000-0000-000015010000}"/>
    <cellStyle name="Output" xfId="12" builtinId="21" customBuiltin="1"/>
    <cellStyle name="Percent" xfId="2" builtinId="5"/>
    <cellStyle name="Percent 10" xfId="113" xr:uid="{00000000-0005-0000-0000-000018010000}"/>
    <cellStyle name="Percent 11" xfId="49" xr:uid="{00000000-0005-0000-0000-000019010000}"/>
    <cellStyle name="Percent 11 2" xfId="290" xr:uid="{00000000-0005-0000-0000-00001A010000}"/>
    <cellStyle name="Percent 2" xfId="185" xr:uid="{00000000-0005-0000-0000-00001B010000}"/>
    <cellStyle name="Percent 2 2" xfId="271" xr:uid="{00000000-0005-0000-0000-00001C010000}"/>
    <cellStyle name="Percent 3" xfId="186" xr:uid="{00000000-0005-0000-0000-00001D010000}"/>
    <cellStyle name="Percent 3 2" xfId="272" xr:uid="{00000000-0005-0000-0000-00001E010000}"/>
    <cellStyle name="Percent 3 3" xfId="283" xr:uid="{00000000-0005-0000-0000-00001F010000}"/>
    <cellStyle name="Percent 4" xfId="187" xr:uid="{00000000-0005-0000-0000-000020010000}"/>
    <cellStyle name="Percent 4 2" xfId="273" xr:uid="{00000000-0005-0000-0000-000021010000}"/>
    <cellStyle name="Percent 4 3" xfId="284" xr:uid="{00000000-0005-0000-0000-000022010000}"/>
    <cellStyle name="Percent 5" xfId="188" xr:uid="{00000000-0005-0000-0000-000023010000}"/>
    <cellStyle name="Percent 5 2" xfId="274" xr:uid="{00000000-0005-0000-0000-000024010000}"/>
    <cellStyle name="Percent 6" xfId="189" xr:uid="{00000000-0005-0000-0000-000025010000}"/>
    <cellStyle name="Percent 6 2" xfId="275" xr:uid="{00000000-0005-0000-0000-000026010000}"/>
    <cellStyle name="Percent 7" xfId="190" xr:uid="{00000000-0005-0000-0000-000027010000}"/>
    <cellStyle name="Percent 8" xfId="191" xr:uid="{00000000-0005-0000-0000-000028010000}"/>
    <cellStyle name="Percent 8 2" xfId="276" xr:uid="{00000000-0005-0000-0000-000029010000}"/>
    <cellStyle name="Percent 9" xfId="196" xr:uid="{00000000-0005-0000-0000-00002A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colors>
    <mruColors>
      <color rgb="FFFF00FF"/>
      <color rgb="FF0000FF"/>
      <color rgb="FF008000"/>
      <color rgb="FFFFFF99"/>
      <color rgb="FF6600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externalLink" Target="externalLinks/externalLink20.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externalLink" Target="externalLinks/externalLink18.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externalLink" Target="externalLinks/externalLink19.xml"/><Relationship Id="rId46" Type="http://schemas.openxmlformats.org/officeDocument/2006/relationships/customXml" Target="../customXml/item3.xml"/><Relationship Id="rId20" Type="http://schemas.openxmlformats.org/officeDocument/2006/relationships/externalLink" Target="externalLinks/externalLink1.xml"/><Relationship Id="rId41"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CorpAcctg\MEEIA\Missouri%20West%20MEEIA%20DSIM%20Rider\20240601%20Filing\Billed%20kWh%20Budget%20MO%20West%202023%20and%20later.xlsx" TargetMode="External"/><Relationship Id="rId1" Type="http://schemas.openxmlformats.org/officeDocument/2006/relationships/externalLinkPath" Target="https://caseworks.evergy.com/379/DataRequests/29873/Library/Red%20Lines/Billed%20kWh%20Budget%20MO%20West%202023%20and%20later.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E:\CorpAcctg\MEEIA\Missouri%20West%20MEEIA%20DSIM%20Rider\20240601%20Filing\04%202024%20MO%20West%20Spend%20Allocations%20Worksheet%20FINAL.xlsx" TargetMode="External"/><Relationship Id="rId1" Type="http://schemas.openxmlformats.org/officeDocument/2006/relationships/externalLinkPath" Target="https://caseworks.evergy.com/379/DataRequests/29873/Library/Red%20Lines/04%202024%20MO%20West%20Spend%20Allocations%20Worksheet%20FINAL.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E:\CorpAcctg\MEEIA\Missouri%20West%20MEEIA%20DSIM%20Rider\20240601%20Filing\Missouri%20West%20ST%20Borrowing%20Rates%20Nov23-Apr24.xlsx" TargetMode="External"/><Relationship Id="rId1" Type="http://schemas.openxmlformats.org/officeDocument/2006/relationships/externalLinkPath" Target="https://caseworks.evergy.com/379/DataRequests/29873/Library/Red%20Lines/Missouri%20West%20ST%20Borrowing%20Rates%20Nov23-Apr24.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E:\CorpAcctg\MEEIA\Metro%20MEEIA%20DSIM%20RIDER\20240601%20Filing\MEEIA%20Cycle%204%20Planning%20Costs%20thru%2012%202023%20Spend%20Allocations%20Worksheet.xlsx" TargetMode="External"/><Relationship Id="rId1" Type="http://schemas.openxmlformats.org/officeDocument/2006/relationships/externalLinkPath" Target="https://caseworks.evergy.com/CorpAcctg/MEEIA/Metro%20MEEIA%20DSIM%20RIDER/20240601%20Filing/MEEIA%20Cycle%204%20Planning%20Costs%20thru%2012%202023%20Spend%20Allocations%20Worksheet.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E:\CorpAcctg\MEEIA\Missouri%20West%20MEEIA%20DSIM%20Rider\20240601%20Filing\Missouri%20West%20Cycle%203%20Monthly%20TD%20Calc%20042024%2005212024-%20for%20forecast.xlsx" TargetMode="External"/><Relationship Id="rId1" Type="http://schemas.openxmlformats.org/officeDocument/2006/relationships/externalLinkPath" Target="https://caseworks.evergy.com/379/DataRequests/29873/Library/Red%20Lines/Missouri%20West%20Cycle%203%20Monthly%20TD%20Calc%20042024%2005212024-%20for%20forecast.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E:\CorpAcctg\MEEIA\Missouri%20West%20MEEIA%20DSIM%20Rider\20240601%20Filing\Missouri%20West%20EO%20Calculated%20Cycle%203%20PY1.xlsx" TargetMode="External"/><Relationship Id="rId1" Type="http://schemas.openxmlformats.org/officeDocument/2006/relationships/externalLinkPath" Target="https://caseworks.evergy.com/379/DataRequests/29873/Library/Red%20Lines/Missouri%20West%20EO%20Calculated%20Cycle%203%20PY1.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E:\CorpAcctg\MEEIA\Missouri%20West%20MEEIA%20DSIM%20Rider\20240601%20Filing\Missouri%20West%20Cycle%203%20PY1%20EO%20TD%20Adj%20Calc.xlsx" TargetMode="External"/><Relationship Id="rId1" Type="http://schemas.openxmlformats.org/officeDocument/2006/relationships/externalLinkPath" Target="https://caseworks.evergy.com/379/DataRequests/29873/Library/Red%20Lines/Missouri%20West%20Cycle%203%20PY1%20EO%20TD%20Adj%20Calc.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E:\CorpAcctg\MEEIA\Missouri%20West%20MEEIA%20DSIM%20Rider\20240601%20Filing\Missouri%20West%20EO%20Calculated%20Cycle%203%20PY2.xlsx" TargetMode="External"/><Relationship Id="rId1" Type="http://schemas.openxmlformats.org/officeDocument/2006/relationships/externalLinkPath" Target="https://caseworks.evergy.com/379/DataRequests/29873/Library/Red%20Lines/Missouri%20West%20EO%20Calculated%20Cycle%203%20PY2.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file:///E:\CorpAcctg\MEEIA\Missouri%20West%20MEEIA%20DSIM%20Rider\20240601%20Filing\Missouri%20West%20Cycle%203%20PY2%20EO%20TD%20Adj%20Calc.xlsx" TargetMode="External"/><Relationship Id="rId1" Type="http://schemas.openxmlformats.org/officeDocument/2006/relationships/externalLinkPath" Target="https://caseworks.evergy.com/379/DataRequests/29873/Library/Red%20Lines/Missouri%20West%20Cycle%203%20PY2%20EO%20TD%20Adj%20Calc.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E:\CorpAcctg\MEEIA\Missouri%20West%20MEEIA%20DSIM%20Rider\20240601%20Filing\Missouri%20West%20EO%20Calculated%20Cycle%203%20PY3.xlsx" TargetMode="External"/><Relationship Id="rId1" Type="http://schemas.openxmlformats.org/officeDocument/2006/relationships/externalLinkPath" Target="https://caseworks.evergy.com/379/DataRequests/29873/Library/Red%20Lines/Missouri%20West%20EO%20Calculated%20Cycle%203%20PY3.xlsx"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file:///E:\CorpAcctg\MEEIA\Missouri%20West%20MEEIA%20DSIM%20Rider\20240601%20Filing\Missouri%20West%20Cycle%203%20PY3%20EO%20TD%20Adj%20Calc.xlsx" TargetMode="External"/><Relationship Id="rId1" Type="http://schemas.openxmlformats.org/officeDocument/2006/relationships/externalLinkPath" Target="https://caseworks.evergy.com/379/DataRequests/29873/Library/Red%20Lines/Missouri%20West%20Cycle%203%20PY3%20EO%20TD%20Adj%20Calc.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CorpAcctg\MEEIA\Missouri%20West%20MEEIA%20DSIM%20Rider\20240601%20Filing\MO%20West%20Program%20Costs%20by%20Customer%20Class%202024%20Ext%20072024-062025.xlsx" TargetMode="External"/><Relationship Id="rId1" Type="http://schemas.openxmlformats.org/officeDocument/2006/relationships/externalLinkPath" Target="https://caseworks.evergy.com/379/DataRequests/29873/Library/Red%20Lines/MO%20West%20Program%20Costs%20by%20Customer%20Class%202024%20Ext%20072024-062025.xlsx"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file:///E:\CorpAcctg\MEEIA\Missouri%20West%20MEEIA%20DSIM%20Rider\20240601%20Filing\Missouri%20West%20EO%20Calculated%20Cycle%203%20PY4.xlsx" TargetMode="External"/><Relationship Id="rId1" Type="http://schemas.openxmlformats.org/officeDocument/2006/relationships/externalLinkPath" Target="https://caseworks.evergy.com/379/DataRequests/29873/Library/Red%20Lines/Missouri%20West%20EO%20Calculated%20Cycle%203%20PY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E:\CorpAcctg\MEEIA\Missouri%20West%20MEEIA%20DSIM%20Rider\20240601%20Filing\Missouri%20West%20Cycle%202%20Monthly%20TD%20Calc%20122022%2001092023.xlsx" TargetMode="External"/><Relationship Id="rId1" Type="http://schemas.openxmlformats.org/officeDocument/2006/relationships/externalLinkPath" Target="https://caseworks.evergy.com/379/DataRequests/29873/Library/Red%20Lines/Missouri%20West%20Cycle%202%20Monthly%20TD%20Calc%20122022%200109202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E:\CorpAcctg\MEEIA\Missouri%20West%20MEEIA%20DSIM%20Rider\20240601%20Filing\Missouri%20West%20MEEIA%202024%20Revenue%20Analysis.xlsx" TargetMode="External"/><Relationship Id="rId1" Type="http://schemas.openxmlformats.org/officeDocument/2006/relationships/externalLinkPath" Target="https://caseworks.evergy.com/379/DataRequests/29873/Library/Red%20Lines/Missouri%20West%20MEEIA%202024%20Revenue%20Analysis.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E:\CorpAcctg\MEEIA\Missouri%20West%20MEEIA%20DSIM%20Rider\20240601%20Filing\11%202023%20MO%20West%20Spend%20Allocations%20Worksheet%20final.xlsx" TargetMode="External"/><Relationship Id="rId1" Type="http://schemas.openxmlformats.org/officeDocument/2006/relationships/externalLinkPath" Target="https://caseworks.evergy.com/379/DataRequests/29873/Library/Red%20Lines/11%202023%20MO%20West%20Spend%20Allocations%20Worksheet%20final.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E:\CorpAcctg\MEEIA\Missouri%20West%20MEEIA%20DSIM%20Rider\20240601%20Filing\12%202023%20MO%20West%20Spend%20Allocations%20Worksheet%20final.xlsx" TargetMode="External"/><Relationship Id="rId1" Type="http://schemas.openxmlformats.org/officeDocument/2006/relationships/externalLinkPath" Target="https://caseworks.evergy.com/379/DataRequests/29873/Library/Red%20Lines/12%202023%20MO%20West%20Spend%20Allocations%20Worksheet%20final.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E:\CorpAcctg\MEEIA\Missouri%20West%20MEEIA%20DSIM%20Rider\20240601%20Filing\01%202024%20MO%20West%20Spend%20Allocations%20Worksheet%20FINAL.xlsx" TargetMode="External"/><Relationship Id="rId1" Type="http://schemas.openxmlformats.org/officeDocument/2006/relationships/externalLinkPath" Target="https://caseworks.evergy.com/379/DataRequests/29873/Library/Red%20Lines/01%202024%20MO%20West%20Spend%20Allocations%20Worksheet%20FINAL.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E:\CorpAcctg\MEEIA\Missouri%20West%20MEEIA%20DSIM%20Rider\20240601%20Filing\02%202024%20MO%20West%20Spend%20Allocations%20Worksheet%20FINAL-%2004222024%20corr.xlsx" TargetMode="External"/><Relationship Id="rId1" Type="http://schemas.openxmlformats.org/officeDocument/2006/relationships/externalLinkPath" Target="https://caseworks.evergy.com/379/DataRequests/29873/Library/Red%20Lines/02%202024%20MO%20West%20Spend%20Allocations%20Worksheet%20FINAL-%2004222024%20corr.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E:\CorpAcctg\MEEIA\Missouri%20West%20MEEIA%20DSIM%20Rider\20240601%20Filing\03%202024%20MO%20West%20Spend%20Allocations%20Worksheet%20FINAL.xlsx" TargetMode="External"/><Relationship Id="rId1" Type="http://schemas.openxmlformats.org/officeDocument/2006/relationships/externalLinkPath" Target="https://caseworks.evergy.com/379/DataRequests/29873/Library/Red%20Lines/03%202024%20MO%20West%20Spend%20Allocations%20Worksheet%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MO Billed kWh Sales"/>
    </sheetNames>
    <sheetDataSet>
      <sheetData sheetId="0">
        <row r="26">
          <cell r="R26">
            <v>216308145</v>
          </cell>
          <cell r="S26">
            <v>270030758</v>
          </cell>
          <cell r="T26">
            <v>377967900</v>
          </cell>
        </row>
        <row r="27">
          <cell r="R27">
            <v>101301226</v>
          </cell>
          <cell r="S27">
            <v>112145960</v>
          </cell>
          <cell r="T27">
            <v>126321279</v>
          </cell>
        </row>
        <row r="28">
          <cell r="R28">
            <v>87274470</v>
          </cell>
          <cell r="S28">
            <v>96617579</v>
          </cell>
          <cell r="T28">
            <v>108830101</v>
          </cell>
        </row>
        <row r="29">
          <cell r="R29">
            <v>58847268</v>
          </cell>
          <cell r="S29">
            <v>65147121</v>
          </cell>
          <cell r="T29">
            <v>73381758</v>
          </cell>
        </row>
        <row r="35">
          <cell r="H35">
            <v>1922939592</v>
          </cell>
          <cell r="I35">
            <v>1769763777</v>
          </cell>
        </row>
        <row r="36">
          <cell r="H36">
            <v>691256153</v>
          </cell>
          <cell r="I36">
            <v>694376883</v>
          </cell>
        </row>
        <row r="37">
          <cell r="H37">
            <v>586371825</v>
          </cell>
          <cell r="I37">
            <v>589019046</v>
          </cell>
        </row>
        <row r="38">
          <cell r="H38">
            <v>387438423</v>
          </cell>
          <cell r="I38">
            <v>389187544</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 - SI Project"/>
      <sheetName val="SI0000 Alloc"/>
      <sheetName val="SI Project Data"/>
      <sheetName val="Input"/>
      <sheetName val="Program Descriptions"/>
    </sheetNames>
    <sheetDataSet>
      <sheetData sheetId="0">
        <row r="34">
          <cell r="N34">
            <v>466413.01</v>
          </cell>
          <cell r="O34">
            <v>-784450.86</v>
          </cell>
          <cell r="Q34">
            <v>-553770.99</v>
          </cell>
          <cell r="R34">
            <v>153930.74000000034</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 West ST Rate Apr 2024"/>
      <sheetName val="MO West ST Rate Mar 2024"/>
      <sheetName val="MO West ST Rate Feb 2024"/>
      <sheetName val="MO West ST Rate Jan 2024"/>
      <sheetName val="MO West ST Rate Dec 2023"/>
      <sheetName val="MO West ST Rate Nov 2023"/>
    </sheetNames>
    <sheetDataSet>
      <sheetData sheetId="0">
        <row r="43">
          <cell r="E43">
            <v>5.45277E-3</v>
          </cell>
        </row>
      </sheetData>
      <sheetData sheetId="1">
        <row r="43">
          <cell r="E43">
            <v>5.4582900000000002E-3</v>
          </cell>
        </row>
      </sheetData>
      <sheetData sheetId="2">
        <row r="41">
          <cell r="E41">
            <v>5.4552200000000002E-3</v>
          </cell>
        </row>
      </sheetData>
      <sheetData sheetId="3">
        <row r="43">
          <cell r="E43">
            <v>5.4684599999999996E-3</v>
          </cell>
        </row>
      </sheetData>
      <sheetData sheetId="4">
        <row r="43">
          <cell r="E43">
            <v>5.4837899999999997E-3</v>
          </cell>
        </row>
      </sheetData>
      <sheetData sheetId="5">
        <row r="42">
          <cell r="E42">
            <v>5.5686099999999999E-3</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urisdiction Allocations"/>
      <sheetName val="182442 CTD 042024 05162024"/>
      <sheetName val="Background"/>
    </sheetNames>
    <sheetDataSet>
      <sheetData sheetId="0">
        <row r="50">
          <cell r="M50">
            <v>39391.689999999995</v>
          </cell>
          <cell r="N50">
            <v>9106.83</v>
          </cell>
          <cell r="P50">
            <v>11754.939999999999</v>
          </cell>
          <cell r="Q50">
            <v>14253.19</v>
          </cell>
        </row>
      </sheetData>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
      <sheetName val="Program Descriptions"/>
      <sheetName val="Monthly TD Calc-PY1-3"/>
      <sheetName val="Monthly TD Calc-PY4"/>
      <sheetName val="Monthly TD Calc-PY5"/>
      <sheetName val="Summary Monthly TD Calc"/>
    </sheetNames>
    <sheetDataSet>
      <sheetData sheetId="0"/>
      <sheetData sheetId="1"/>
      <sheetData sheetId="2">
        <row r="461">
          <cell r="AY461">
            <v>2012248.3964361474</v>
          </cell>
          <cell r="AZ461">
            <v>2410226.1168071781</v>
          </cell>
          <cell r="BA461">
            <v>2414675.7526064552</v>
          </cell>
          <cell r="BB461">
            <v>2184801.7956174109</v>
          </cell>
          <cell r="BC461">
            <v>2144524.8931233617</v>
          </cell>
          <cell r="BD461">
            <v>2069443.9651027597</v>
          </cell>
          <cell r="BE461">
            <v>2173454.985567349</v>
          </cell>
          <cell r="BF461">
            <v>1980523.0445656709</v>
          </cell>
          <cell r="BG461">
            <v>2392930.2242455194</v>
          </cell>
          <cell r="BH461">
            <v>2313264.531076978</v>
          </cell>
          <cell r="BI461">
            <v>1943151.6591307654</v>
          </cell>
          <cell r="BJ461">
            <v>2085085.0060205322</v>
          </cell>
          <cell r="BK461">
            <v>2012169.6047695121</v>
          </cell>
          <cell r="BL461">
            <v>2410063.4501397954</v>
          </cell>
          <cell r="BM461">
            <v>2414513.0859398539</v>
          </cell>
          <cell r="BN461">
            <v>2184639.1289508096</v>
          </cell>
          <cell r="BO461">
            <v>2144362.22645676</v>
          </cell>
          <cell r="BP461">
            <v>2069296.5484361518</v>
          </cell>
          <cell r="BQ461">
            <v>2173307.5689007412</v>
          </cell>
          <cell r="BR461">
            <v>1980375.6278990631</v>
          </cell>
        </row>
        <row r="462">
          <cell r="AY462">
            <v>613142.87158443511</v>
          </cell>
          <cell r="AZ462">
            <v>615319.00307336962</v>
          </cell>
          <cell r="BA462">
            <v>647676.67905234429</v>
          </cell>
          <cell r="BB462">
            <v>585786.26019470685</v>
          </cell>
          <cell r="BC462">
            <v>649260.70291914803</v>
          </cell>
          <cell r="BD462">
            <v>617923.54474668019</v>
          </cell>
          <cell r="BE462">
            <v>649760.24231928587</v>
          </cell>
          <cell r="BF462">
            <v>622380.17711688043</v>
          </cell>
          <cell r="BG462">
            <v>700273.24175569334</v>
          </cell>
          <cell r="BH462">
            <v>704809.8433535418</v>
          </cell>
          <cell r="BI462">
            <v>606348.77656628343</v>
          </cell>
          <cell r="BJ462">
            <v>648618.56305138383</v>
          </cell>
          <cell r="BK462">
            <v>613142.87158443511</v>
          </cell>
          <cell r="BL462">
            <v>615319.00307336962</v>
          </cell>
          <cell r="BM462">
            <v>647676.67905234429</v>
          </cell>
          <cell r="BN462">
            <v>585786.26019470685</v>
          </cell>
          <cell r="BO462">
            <v>649260.70291914803</v>
          </cell>
          <cell r="BP462">
            <v>617923.54474668019</v>
          </cell>
          <cell r="BQ462">
            <v>649760.24231928587</v>
          </cell>
          <cell r="BR462">
            <v>622380.17711688043</v>
          </cell>
        </row>
        <row r="464">
          <cell r="AY464">
            <v>1447354.2837782537</v>
          </cell>
          <cell r="AZ464">
            <v>1452362.6826975925</v>
          </cell>
          <cell r="BA464">
            <v>1522133.7957304115</v>
          </cell>
          <cell r="BB464">
            <v>1376080.3579980216</v>
          </cell>
          <cell r="BC464">
            <v>1523850.8149771788</v>
          </cell>
          <cell r="BD464">
            <v>1455609.6456717332</v>
          </cell>
          <cell r="BE464">
            <v>1525475.2882410916</v>
          </cell>
          <cell r="BF464">
            <v>1463032.5831013045</v>
          </cell>
          <cell r="BG464">
            <v>1503137.9818783691</v>
          </cell>
          <cell r="BH464">
            <v>1531042.0027609803</v>
          </cell>
          <cell r="BI464">
            <v>1429272.4034714941</v>
          </cell>
          <cell r="BJ464">
            <v>1528850.7068644809</v>
          </cell>
          <cell r="BK464">
            <v>1447354.2837782537</v>
          </cell>
          <cell r="BL464">
            <v>1452362.6826975925</v>
          </cell>
          <cell r="BM464">
            <v>1522133.7957304115</v>
          </cell>
          <cell r="BN464">
            <v>1376080.3579980216</v>
          </cell>
          <cell r="BO464">
            <v>1523850.8149771788</v>
          </cell>
          <cell r="BP464">
            <v>1455609.6456717332</v>
          </cell>
          <cell r="BQ464">
            <v>1525475.2882410916</v>
          </cell>
          <cell r="BR464">
            <v>1463032.5831013045</v>
          </cell>
        </row>
        <row r="465">
          <cell r="AY465">
            <v>355629.13631455408</v>
          </cell>
          <cell r="AZ465">
            <v>356855.23712817801</v>
          </cell>
          <cell r="BA465">
            <v>375789.54077788809</v>
          </cell>
          <cell r="BB465">
            <v>339889.54457697162</v>
          </cell>
          <cell r="BC465">
            <v>376799.38171369774</v>
          </cell>
          <cell r="BD465">
            <v>358472.9607431395</v>
          </cell>
          <cell r="BE465">
            <v>377080.90406469663</v>
          </cell>
          <cell r="BF465">
            <v>361249.07501055492</v>
          </cell>
          <cell r="BG465">
            <v>370962.2661298358</v>
          </cell>
          <cell r="BH465">
            <v>378037.11684431648</v>
          </cell>
          <cell r="BI465">
            <v>351830.88641037478</v>
          </cell>
          <cell r="BJ465">
            <v>376260.2332811791</v>
          </cell>
          <cell r="BK465">
            <v>355629.13631455408</v>
          </cell>
          <cell r="BL465">
            <v>356855.23712817801</v>
          </cell>
          <cell r="BM465">
            <v>375789.54077788809</v>
          </cell>
          <cell r="BN465">
            <v>339889.54457697162</v>
          </cell>
          <cell r="BO465">
            <v>376799.38171369774</v>
          </cell>
          <cell r="BP465">
            <v>358472.9607431395</v>
          </cell>
          <cell r="BQ465">
            <v>377080.90406469663</v>
          </cell>
          <cell r="BR465">
            <v>361249.07501055492</v>
          </cell>
        </row>
        <row r="563">
          <cell r="AY563">
            <v>70081.060000000012</v>
          </cell>
          <cell r="AZ563">
            <v>75519.260000000009</v>
          </cell>
          <cell r="BA563">
            <v>66032.420000000013</v>
          </cell>
          <cell r="BB563">
            <v>61137.549999999996</v>
          </cell>
          <cell r="BC563">
            <v>65984.22</v>
          </cell>
          <cell r="BD563">
            <v>66402.159999999989</v>
          </cell>
          <cell r="BE563">
            <v>71378.8</v>
          </cell>
          <cell r="BF563">
            <v>117499.41</v>
          </cell>
          <cell r="BG563">
            <v>152160.85</v>
          </cell>
          <cell r="BH563">
            <v>146392.49000000002</v>
          </cell>
          <cell r="BI563">
            <v>116169.78000000001</v>
          </cell>
          <cell r="BJ563">
            <v>67382.880000000005</v>
          </cell>
          <cell r="BK563">
            <v>68189.56</v>
          </cell>
          <cell r="BL563">
            <v>73392.89</v>
          </cell>
          <cell r="BM563">
            <v>66025.440000000002</v>
          </cell>
          <cell r="BN563">
            <v>61130.42</v>
          </cell>
          <cell r="BO563">
            <v>65976.430000000008</v>
          </cell>
          <cell r="BP563">
            <v>66394.799999999988</v>
          </cell>
          <cell r="BQ563">
            <v>71371.27</v>
          </cell>
          <cell r="BR563">
            <v>117486.08</v>
          </cell>
        </row>
        <row r="564">
          <cell r="AY564">
            <v>20511.87</v>
          </cell>
          <cell r="AZ564">
            <v>20019.66</v>
          </cell>
          <cell r="BA564">
            <v>23110.27</v>
          </cell>
          <cell r="BB564">
            <v>20433.170000000002</v>
          </cell>
          <cell r="BC564">
            <v>23464.6</v>
          </cell>
          <cell r="BD564">
            <v>23853.15</v>
          </cell>
          <cell r="BE564">
            <v>25654.039999999997</v>
          </cell>
          <cell r="BF564">
            <v>37961.770000000004</v>
          </cell>
          <cell r="BG564">
            <v>41863.880000000005</v>
          </cell>
          <cell r="BH564">
            <v>41835.589999999997</v>
          </cell>
          <cell r="BI564">
            <v>35800.449999999997</v>
          </cell>
          <cell r="BJ564">
            <v>25426.11</v>
          </cell>
          <cell r="BK564">
            <v>23841.22</v>
          </cell>
          <cell r="BL564">
            <v>23275.9</v>
          </cell>
          <cell r="BM564">
            <v>23110.27</v>
          </cell>
          <cell r="BN564">
            <v>20433.170000000002</v>
          </cell>
          <cell r="BO564">
            <v>23464.6</v>
          </cell>
          <cell r="BP564">
            <v>23853.15</v>
          </cell>
          <cell r="BQ564">
            <v>25654.039999999997</v>
          </cell>
          <cell r="BR564">
            <v>37961.770000000004</v>
          </cell>
        </row>
        <row r="566">
          <cell r="AY566">
            <v>28015.390000000003</v>
          </cell>
          <cell r="AZ566">
            <v>26073.919999999998</v>
          </cell>
          <cell r="BA566">
            <v>26989.829999999998</v>
          </cell>
          <cell r="BB566">
            <v>24800.02</v>
          </cell>
          <cell r="BC566">
            <v>29347.300000000003</v>
          </cell>
          <cell r="BD566">
            <v>29745.47</v>
          </cell>
          <cell r="BE566">
            <v>33268.410000000003</v>
          </cell>
          <cell r="BF566">
            <v>37257.799999999996</v>
          </cell>
          <cell r="BG566">
            <v>35497.670000000006</v>
          </cell>
          <cell r="BH566">
            <v>35694.379999999997</v>
          </cell>
          <cell r="BI566">
            <v>33187.230000000003</v>
          </cell>
          <cell r="BJ566">
            <v>29362.959999999999</v>
          </cell>
          <cell r="BK566">
            <v>29505.56</v>
          </cell>
          <cell r="BL566">
            <v>27463.05</v>
          </cell>
          <cell r="BM566">
            <v>26989.829999999998</v>
          </cell>
          <cell r="BN566">
            <v>24800.02</v>
          </cell>
          <cell r="BO566">
            <v>29347.300000000003</v>
          </cell>
          <cell r="BP566">
            <v>29745.47</v>
          </cell>
          <cell r="BQ566">
            <v>33268.410000000003</v>
          </cell>
          <cell r="BR566">
            <v>37257.799999999996</v>
          </cell>
        </row>
        <row r="567">
          <cell r="AY567">
            <v>1279.1399999999999</v>
          </cell>
          <cell r="AZ567">
            <v>1298.47</v>
          </cell>
          <cell r="BA567">
            <v>1476.4899999999998</v>
          </cell>
          <cell r="BB567">
            <v>1342.3300000000002</v>
          </cell>
          <cell r="BC567">
            <v>1454.98</v>
          </cell>
          <cell r="BD567">
            <v>1404.51</v>
          </cell>
          <cell r="BE567">
            <v>1622.7</v>
          </cell>
          <cell r="BF567">
            <v>2948.6200000000003</v>
          </cell>
          <cell r="BG567">
            <v>2951.8099999999995</v>
          </cell>
          <cell r="BH567">
            <v>3017.0699999999997</v>
          </cell>
          <cell r="BI567">
            <v>2866.9300000000003</v>
          </cell>
          <cell r="BJ567">
            <v>1453.38</v>
          </cell>
          <cell r="BK567">
            <v>1470.8200000000002</v>
          </cell>
          <cell r="BL567">
            <v>1499.42</v>
          </cell>
          <cell r="BM567">
            <v>1476.4899999999998</v>
          </cell>
          <cell r="BN567">
            <v>1342.3300000000002</v>
          </cell>
          <cell r="BO567">
            <v>1454.98</v>
          </cell>
          <cell r="BP567">
            <v>1404.51</v>
          </cell>
          <cell r="BQ567">
            <v>1622.7</v>
          </cell>
          <cell r="BR567">
            <v>2948.6200000000003</v>
          </cell>
        </row>
      </sheetData>
      <sheetData sheetId="3">
        <row r="469">
          <cell r="AY469">
            <v>578117.34823820239</v>
          </cell>
          <cell r="AZ469">
            <v>651604.77955439582</v>
          </cell>
          <cell r="BA469">
            <v>726640.06575337402</v>
          </cell>
          <cell r="BB469">
            <v>647000.11360809032</v>
          </cell>
          <cell r="BC469">
            <v>772953.57561782491</v>
          </cell>
          <cell r="BD469">
            <v>737406.24590102071</v>
          </cell>
          <cell r="BE469">
            <v>811856.30684245029</v>
          </cell>
          <cell r="BF469">
            <v>1075120.3609614987</v>
          </cell>
          <cell r="BG469">
            <v>1684850.901131415</v>
          </cell>
          <cell r="BH469">
            <v>1553453.6710637847</v>
          </cell>
          <cell r="BI469">
            <v>886586.98745561717</v>
          </cell>
          <cell r="BJ469">
            <v>783206.02893498936</v>
          </cell>
          <cell r="BK469">
            <v>745216.75811973284</v>
          </cell>
          <cell r="BL469">
            <v>716382.14676020178</v>
          </cell>
          <cell r="BM469">
            <v>726640.06575337402</v>
          </cell>
          <cell r="BN469">
            <v>647000.11360809032</v>
          </cell>
          <cell r="BO469">
            <v>772953.57561782491</v>
          </cell>
          <cell r="BP469">
            <v>737406.24590102071</v>
          </cell>
          <cell r="BQ469">
            <v>811856.30684245029</v>
          </cell>
          <cell r="BR469">
            <v>1075120.3609614987</v>
          </cell>
        </row>
        <row r="470">
          <cell r="AY470">
            <v>368746.11730000144</v>
          </cell>
          <cell r="AZ470">
            <v>445756.49714555679</v>
          </cell>
          <cell r="BA470">
            <v>526888.49338406441</v>
          </cell>
          <cell r="BB470">
            <v>475888.07432089641</v>
          </cell>
          <cell r="BC470">
            <v>536357.28941801155</v>
          </cell>
          <cell r="BD470">
            <v>513364.57159788453</v>
          </cell>
          <cell r="BE470">
            <v>537802.83318863541</v>
          </cell>
          <cell r="BF470">
            <v>541913.82896535075</v>
          </cell>
          <cell r="BG470">
            <v>560847.86476079747</v>
          </cell>
          <cell r="BH470">
            <v>567398.83929440565</v>
          </cell>
          <cell r="BI470">
            <v>527664.21175423951</v>
          </cell>
          <cell r="BJ470">
            <v>539873.8652916326</v>
          </cell>
          <cell r="BK470">
            <v>512900.11207125895</v>
          </cell>
          <cell r="BL470">
            <v>505168.4123551175</v>
          </cell>
          <cell r="BM470">
            <v>526888.49338406441</v>
          </cell>
          <cell r="BN470">
            <v>475888.07432089641</v>
          </cell>
          <cell r="BO470">
            <v>536357.28941801155</v>
          </cell>
          <cell r="BP470">
            <v>513364.57159788453</v>
          </cell>
          <cell r="BQ470">
            <v>537802.83318863541</v>
          </cell>
          <cell r="BR470">
            <v>541913.82896535075</v>
          </cell>
        </row>
        <row r="472">
          <cell r="AY472">
            <v>388253.95617433608</v>
          </cell>
          <cell r="AZ472">
            <v>505888.08297329769</v>
          </cell>
          <cell r="BA472">
            <v>651242.25773883902</v>
          </cell>
          <cell r="BB472">
            <v>587284.02956529916</v>
          </cell>
          <cell r="BC472">
            <v>660532.38823269226</v>
          </cell>
          <cell r="BD472">
            <v>631179.87915868883</v>
          </cell>
          <cell r="BE472">
            <v>662059.2659845443</v>
          </cell>
          <cell r="BF472">
            <v>659287.88033451722</v>
          </cell>
          <cell r="BG472">
            <v>677971.99013522349</v>
          </cell>
          <cell r="BH472">
            <v>687633.64321714803</v>
          </cell>
          <cell r="BI472">
            <v>641971.7403635527</v>
          </cell>
          <cell r="BJ472">
            <v>664104.93450644228</v>
          </cell>
          <cell r="BK472">
            <v>629726.50192204921</v>
          </cell>
          <cell r="BL472">
            <v>622899.26208293927</v>
          </cell>
          <cell r="BM472">
            <v>651242.25773883902</v>
          </cell>
          <cell r="BN472">
            <v>587284.02956529916</v>
          </cell>
          <cell r="BO472">
            <v>660532.38823269226</v>
          </cell>
          <cell r="BP472">
            <v>631179.87915868883</v>
          </cell>
          <cell r="BQ472">
            <v>662059.2659845443</v>
          </cell>
          <cell r="BR472">
            <v>659287.88033451722</v>
          </cell>
        </row>
        <row r="473">
          <cell r="AY473">
            <v>97976.919458777731</v>
          </cell>
          <cell r="AZ473">
            <v>156809.96306198157</v>
          </cell>
          <cell r="BA473">
            <v>226270.59985179867</v>
          </cell>
          <cell r="BB473">
            <v>203406.98416917364</v>
          </cell>
          <cell r="BC473">
            <v>232768.62800619105</v>
          </cell>
          <cell r="BD473">
            <v>222964.40894756524</v>
          </cell>
          <cell r="BE473">
            <v>233671.63428090699</v>
          </cell>
          <cell r="BF473">
            <v>242496.40065536229</v>
          </cell>
          <cell r="BG473">
            <v>249661.45093026262</v>
          </cell>
          <cell r="BH473">
            <v>252042.37614390426</v>
          </cell>
          <cell r="BI473">
            <v>235656.22933895455</v>
          </cell>
          <cell r="BJ473">
            <v>235136.1071844839</v>
          </cell>
          <cell r="BK473">
            <v>223546.92707903613</v>
          </cell>
          <cell r="BL473">
            <v>217559.54251815798</v>
          </cell>
          <cell r="BM473">
            <v>226270.59985179867</v>
          </cell>
          <cell r="BN473">
            <v>203406.98416917364</v>
          </cell>
          <cell r="BO473">
            <v>232768.62800619105</v>
          </cell>
          <cell r="BP473">
            <v>222964.40894756524</v>
          </cell>
          <cell r="BQ473">
            <v>233671.63428090699</v>
          </cell>
          <cell r="BR473">
            <v>242496.40065536229</v>
          </cell>
        </row>
        <row r="575">
          <cell r="AY575">
            <v>25420.45</v>
          </cell>
          <cell r="AZ575">
            <v>26012.95</v>
          </cell>
          <cell r="BA575">
            <v>26041.45</v>
          </cell>
          <cell r="BB575">
            <v>23684.340000000004</v>
          </cell>
          <cell r="BC575">
            <v>30921.89</v>
          </cell>
          <cell r="BD575">
            <v>30755.910000000003</v>
          </cell>
          <cell r="BE575">
            <v>34613.57</v>
          </cell>
          <cell r="BF575">
            <v>81145.41</v>
          </cell>
          <cell r="BG575">
            <v>129177.02000000002</v>
          </cell>
          <cell r="BH575">
            <v>119375.21999999999</v>
          </cell>
          <cell r="BI575">
            <v>68159.429999999993</v>
          </cell>
          <cell r="BJ575">
            <v>32849.26</v>
          </cell>
          <cell r="BK575">
            <v>32767.990000000005</v>
          </cell>
          <cell r="BL575">
            <v>28598.97</v>
          </cell>
          <cell r="BM575">
            <v>26041.45</v>
          </cell>
          <cell r="BN575">
            <v>23684.340000000004</v>
          </cell>
          <cell r="BO575">
            <v>30921.89</v>
          </cell>
          <cell r="BP575">
            <v>30755.910000000003</v>
          </cell>
          <cell r="BQ575">
            <v>34613.57</v>
          </cell>
          <cell r="BR575">
            <v>81145.41</v>
          </cell>
        </row>
        <row r="576">
          <cell r="AY576">
            <v>13685.240000000002</v>
          </cell>
          <cell r="AZ576">
            <v>15761.59</v>
          </cell>
          <cell r="BA576">
            <v>17365.710000000003</v>
          </cell>
          <cell r="BB576">
            <v>15473.75</v>
          </cell>
          <cell r="BC576">
            <v>18348.419999999998</v>
          </cell>
          <cell r="BD576">
            <v>18656.080000000002</v>
          </cell>
          <cell r="BE576">
            <v>19983.010000000002</v>
          </cell>
          <cell r="BF576">
            <v>32622.14</v>
          </cell>
          <cell r="BG576">
            <v>33311.32</v>
          </cell>
          <cell r="BH576">
            <v>33530.22</v>
          </cell>
          <cell r="BI576">
            <v>31231.769999999997</v>
          </cell>
          <cell r="BJ576">
            <v>19884.349999999999</v>
          </cell>
          <cell r="BK576">
            <v>19010.78</v>
          </cell>
          <cell r="BL576">
            <v>17859.52</v>
          </cell>
          <cell r="BM576">
            <v>17365.710000000003</v>
          </cell>
          <cell r="BN576">
            <v>15473.75</v>
          </cell>
          <cell r="BO576">
            <v>18348.419999999998</v>
          </cell>
          <cell r="BP576">
            <v>18656.080000000002</v>
          </cell>
          <cell r="BQ576">
            <v>19983.010000000002</v>
          </cell>
          <cell r="BR576">
            <v>32622.14</v>
          </cell>
        </row>
        <row r="578">
          <cell r="AY578">
            <v>9685.4599999999991</v>
          </cell>
          <cell r="AZ578">
            <v>11275.3</v>
          </cell>
          <cell r="BA578">
            <v>13193.63</v>
          </cell>
          <cell r="BB578">
            <v>12083.050000000001</v>
          </cell>
          <cell r="BC578">
            <v>14790.42</v>
          </cell>
          <cell r="BD578">
            <v>14949.91</v>
          </cell>
          <cell r="BE578">
            <v>16509.91</v>
          </cell>
          <cell r="BF578">
            <v>23102.5</v>
          </cell>
          <cell r="BG578">
            <v>22970.870000000003</v>
          </cell>
          <cell r="BH578">
            <v>23022.829999999998</v>
          </cell>
          <cell r="BI578">
            <v>21501.39</v>
          </cell>
          <cell r="BJ578">
            <v>15119.240000000002</v>
          </cell>
          <cell r="BK578">
            <v>15190.96</v>
          </cell>
          <cell r="BL578">
            <v>13682.650000000001</v>
          </cell>
          <cell r="BM578">
            <v>13193.63</v>
          </cell>
          <cell r="BN578">
            <v>12083.050000000001</v>
          </cell>
          <cell r="BO578">
            <v>14790.42</v>
          </cell>
          <cell r="BP578">
            <v>14949.91</v>
          </cell>
          <cell r="BQ578">
            <v>16509.91</v>
          </cell>
          <cell r="BR578">
            <v>23102.5</v>
          </cell>
        </row>
        <row r="579">
          <cell r="AY579">
            <v>2767.27</v>
          </cell>
          <cell r="AZ579">
            <v>2964.34</v>
          </cell>
          <cell r="BA579">
            <v>3218.3999999999996</v>
          </cell>
          <cell r="BB579">
            <v>2920.67</v>
          </cell>
          <cell r="BC579">
            <v>3767.96</v>
          </cell>
          <cell r="BD579">
            <v>3779.91</v>
          </cell>
          <cell r="BE579">
            <v>4074.66</v>
          </cell>
          <cell r="BF579">
            <v>8378.01</v>
          </cell>
          <cell r="BG579">
            <v>8742.2999999999993</v>
          </cell>
          <cell r="BH579">
            <v>8749.630000000001</v>
          </cell>
          <cell r="BI579">
            <v>8241.7900000000009</v>
          </cell>
          <cell r="BJ579">
            <v>4024.33</v>
          </cell>
          <cell r="BK579">
            <v>4053.11</v>
          </cell>
          <cell r="BL579">
            <v>3481.58</v>
          </cell>
          <cell r="BM579">
            <v>3218.3999999999996</v>
          </cell>
          <cell r="BN579">
            <v>2920.67</v>
          </cell>
          <cell r="BO579">
            <v>3767.96</v>
          </cell>
          <cell r="BP579">
            <v>3779.91</v>
          </cell>
          <cell r="BQ579">
            <v>4074.66</v>
          </cell>
          <cell r="BR579">
            <v>8378.01</v>
          </cell>
        </row>
      </sheetData>
      <sheetData sheetId="4">
        <row r="569">
          <cell r="AY569">
            <v>0</v>
          </cell>
          <cell r="AZ569">
            <v>0</v>
          </cell>
          <cell r="BA569">
            <v>30.811589525494945</v>
          </cell>
          <cell r="BB569">
            <v>104.71051074256904</v>
          </cell>
          <cell r="BC569">
            <v>18341.985582089492</v>
          </cell>
          <cell r="BD569">
            <v>55683.848282414321</v>
          </cell>
          <cell r="BE569">
            <v>122871.99277830217</v>
          </cell>
          <cell r="BF569">
            <v>281186.88867623947</v>
          </cell>
          <cell r="BG569">
            <v>591126.05373340391</v>
          </cell>
          <cell r="BH569">
            <v>725946.17492823955</v>
          </cell>
          <cell r="BI569">
            <v>521784.99816988898</v>
          </cell>
          <cell r="BJ569">
            <v>540658.53892877616</v>
          </cell>
          <cell r="BK569">
            <v>577889.99096950679</v>
          </cell>
          <cell r="BL569">
            <v>639274.06944262632</v>
          </cell>
          <cell r="BM569">
            <v>684540.35759707203</v>
          </cell>
          <cell r="BN569">
            <v>610695.70248725975</v>
          </cell>
          <cell r="BO569">
            <v>714660.85607083596</v>
          </cell>
          <cell r="BP569">
            <v>677352.25799666857</v>
          </cell>
          <cell r="BQ569">
            <v>763345.08511504054</v>
          </cell>
          <cell r="BR569">
            <v>1043704.4699665672</v>
          </cell>
        </row>
        <row r="570">
          <cell r="AY570">
            <v>0</v>
          </cell>
          <cell r="AZ570">
            <v>0</v>
          </cell>
          <cell r="BA570">
            <v>83154.996678570518</v>
          </cell>
          <cell r="BB570">
            <v>150442.01059613028</v>
          </cell>
          <cell r="BC570">
            <v>181712.44049117021</v>
          </cell>
          <cell r="BD570">
            <v>200610.70642227764</v>
          </cell>
          <cell r="BE570">
            <v>254584.88508817833</v>
          </cell>
          <cell r="BF570">
            <v>289657.25485727331</v>
          </cell>
          <cell r="BG570">
            <v>334314.05401576497</v>
          </cell>
          <cell r="BH570">
            <v>383372.5928325454</v>
          </cell>
          <cell r="BI570">
            <v>400839.47319779225</v>
          </cell>
          <cell r="BJ570">
            <v>476847.96104325575</v>
          </cell>
          <cell r="BK570">
            <v>504973.77571954101</v>
          </cell>
          <cell r="BL570">
            <v>571603.56043553702</v>
          </cell>
          <cell r="BM570">
            <v>640476.0225117564</v>
          </cell>
          <cell r="BN570">
            <v>578892.88105507568</v>
          </cell>
          <cell r="BO570">
            <v>643370.22223632305</v>
          </cell>
          <cell r="BP570">
            <v>613223.71257698257</v>
          </cell>
          <cell r="BQ570">
            <v>644097.46934531513</v>
          </cell>
          <cell r="BR570">
            <v>621951.04306107305</v>
          </cell>
        </row>
        <row r="572">
          <cell r="AY572">
            <v>0</v>
          </cell>
          <cell r="AZ572">
            <v>0</v>
          </cell>
          <cell r="BA572">
            <v>116970.9546657176</v>
          </cell>
          <cell r="BB572">
            <v>211591.21757004142</v>
          </cell>
          <cell r="BC572">
            <v>240472.39926641004</v>
          </cell>
          <cell r="BD572">
            <v>237470.72413127765</v>
          </cell>
          <cell r="BE572">
            <v>280678.1175527703</v>
          </cell>
          <cell r="BF572">
            <v>312867.79876858136</v>
          </cell>
          <cell r="BG572">
            <v>356692.56900084019</v>
          </cell>
          <cell r="BH572">
            <v>404435.17168732785</v>
          </cell>
          <cell r="BI572">
            <v>418822.32851973933</v>
          </cell>
          <cell r="BJ572">
            <v>494156.07691171969</v>
          </cell>
          <cell r="BK572">
            <v>519231.17906064482</v>
          </cell>
          <cell r="BL572">
            <v>583302.13250544667</v>
          </cell>
          <cell r="BM572">
            <v>650992.18370063487</v>
          </cell>
          <cell r="BN572">
            <v>588398.27949346765</v>
          </cell>
          <cell r="BO572">
            <v>653784.12498346239</v>
          </cell>
          <cell r="BP572">
            <v>623289.08833566355</v>
          </cell>
          <cell r="BQ572">
            <v>654526.02975152514</v>
          </cell>
          <cell r="BR572">
            <v>631798.03100443946</v>
          </cell>
        </row>
        <row r="573">
          <cell r="AY573">
            <v>0</v>
          </cell>
          <cell r="AZ573">
            <v>0</v>
          </cell>
          <cell r="BA573">
            <v>99614.700420745925</v>
          </cell>
          <cell r="BB573">
            <v>180107.00095421713</v>
          </cell>
          <cell r="BC573">
            <v>199371.33974049284</v>
          </cell>
          <cell r="BD573">
            <v>217249.05141434178</v>
          </cell>
          <cell r="BE573">
            <v>276296.54339582071</v>
          </cell>
          <cell r="BF573">
            <v>297582.80935333995</v>
          </cell>
          <cell r="BG573">
            <v>331784.69257733418</v>
          </cell>
          <cell r="BH573">
            <v>368074.3610716979</v>
          </cell>
          <cell r="BI573">
            <v>374548.17553296196</v>
          </cell>
          <cell r="BJ573">
            <v>434423.22035619104</v>
          </cell>
          <cell r="BK573">
            <v>449415.62875183369</v>
          </cell>
          <cell r="BL573">
            <v>496708.06174049544</v>
          </cell>
          <cell r="BM573">
            <v>548796.89268334711</v>
          </cell>
          <cell r="BN573">
            <v>495944.62040570017</v>
          </cell>
          <cell r="BO573">
            <v>550706.05354116031</v>
          </cell>
          <cell r="BP573">
            <v>525919.34450800554</v>
          </cell>
          <cell r="BQ573">
            <v>551398.03734881058</v>
          </cell>
          <cell r="BR573">
            <v>532272.31942726672</v>
          </cell>
        </row>
        <row r="701">
          <cell r="AY701">
            <v>0</v>
          </cell>
          <cell r="AZ701">
            <v>0</v>
          </cell>
          <cell r="BA701">
            <v>1.06</v>
          </cell>
          <cell r="BB701">
            <v>3.67</v>
          </cell>
          <cell r="BC701">
            <v>464.79999999999995</v>
          </cell>
          <cell r="BD701">
            <v>1474.34</v>
          </cell>
          <cell r="BE701">
            <v>3368.2400000000002</v>
          </cell>
          <cell r="BF701">
            <v>13608.679999999998</v>
          </cell>
          <cell r="BG701">
            <v>31537.37</v>
          </cell>
          <cell r="BH701">
            <v>38805.469999999994</v>
          </cell>
          <cell r="BI701">
            <v>26140.700000000008</v>
          </cell>
          <cell r="BJ701">
            <v>14941.109999999999</v>
          </cell>
          <cell r="BK701">
            <v>16855.36</v>
          </cell>
          <cell r="BL701">
            <v>17128.329999999998</v>
          </cell>
          <cell r="BM701">
            <v>16462.79</v>
          </cell>
          <cell r="BN701">
            <v>15008.960000000003</v>
          </cell>
          <cell r="BO701">
            <v>19042.490000000002</v>
          </cell>
          <cell r="BP701">
            <v>18837.509999999998</v>
          </cell>
          <cell r="BQ701">
            <v>21608.469999999998</v>
          </cell>
          <cell r="BR701">
            <v>51445.01</v>
          </cell>
        </row>
        <row r="702">
          <cell r="AY702">
            <v>0</v>
          </cell>
          <cell r="AZ702">
            <v>0</v>
          </cell>
          <cell r="BA702">
            <v>2506.1499999999996</v>
          </cell>
          <cell r="BB702">
            <v>4430.6500000000005</v>
          </cell>
          <cell r="BC702">
            <v>5547.96</v>
          </cell>
          <cell r="BD702">
            <v>6551.5599999999995</v>
          </cell>
          <cell r="BE702">
            <v>8505.94</v>
          </cell>
          <cell r="BF702">
            <v>14933.34</v>
          </cell>
          <cell r="BG702">
            <v>16801.059999999998</v>
          </cell>
          <cell r="BH702">
            <v>19165.11</v>
          </cell>
          <cell r="BI702">
            <v>20060.96</v>
          </cell>
          <cell r="BJ702">
            <v>15769.26</v>
          </cell>
          <cell r="BK702">
            <v>16583.189999999999</v>
          </cell>
          <cell r="BL702">
            <v>18231.37</v>
          </cell>
          <cell r="BM702">
            <v>19240.200000000004</v>
          </cell>
          <cell r="BN702">
            <v>17019.400000000001</v>
          </cell>
          <cell r="BO702">
            <v>19616.77</v>
          </cell>
          <cell r="BP702">
            <v>19957.490000000002</v>
          </cell>
          <cell r="BQ702">
            <v>21439.68</v>
          </cell>
          <cell r="BR702">
            <v>32106.690000000002</v>
          </cell>
        </row>
        <row r="704">
          <cell r="AY704">
            <v>0</v>
          </cell>
          <cell r="AZ704">
            <v>0</v>
          </cell>
          <cell r="BA704">
            <v>1759.6000000000001</v>
          </cell>
          <cell r="BB704">
            <v>3235.3800000000006</v>
          </cell>
          <cell r="BC704">
            <v>3937.08</v>
          </cell>
          <cell r="BD704">
            <v>4139.5</v>
          </cell>
          <cell r="BE704">
            <v>5279.2</v>
          </cell>
          <cell r="BF704">
            <v>7026.9500000000007</v>
          </cell>
          <cell r="BG704">
            <v>7597.5599999999995</v>
          </cell>
          <cell r="BH704">
            <v>8643.3900000000012</v>
          </cell>
          <cell r="BI704">
            <v>9036.57</v>
          </cell>
          <cell r="BJ704">
            <v>8600.4399999999987</v>
          </cell>
          <cell r="BK704">
            <v>9638.0899999999983</v>
          </cell>
          <cell r="BL704">
            <v>10053.390000000001</v>
          </cell>
          <cell r="BM704">
            <v>10513.25</v>
          </cell>
          <cell r="BN704">
            <v>9657.27</v>
          </cell>
          <cell r="BO704">
            <v>11501.21</v>
          </cell>
          <cell r="BP704">
            <v>11627.71</v>
          </cell>
          <cell r="BQ704">
            <v>12998.68</v>
          </cell>
          <cell r="BR704">
            <v>15199.570000000002</v>
          </cell>
        </row>
        <row r="705">
          <cell r="AY705">
            <v>0</v>
          </cell>
          <cell r="AZ705">
            <v>0</v>
          </cell>
          <cell r="BA705">
            <v>217.98000000000002</v>
          </cell>
          <cell r="BB705">
            <v>396.21999999999997</v>
          </cell>
          <cell r="BC705">
            <v>418.07000000000005</v>
          </cell>
          <cell r="BD705">
            <v>451.9</v>
          </cell>
          <cell r="BE705">
            <v>667.71999999999991</v>
          </cell>
          <cell r="BF705">
            <v>1525.46</v>
          </cell>
          <cell r="BG705">
            <v>1818.29</v>
          </cell>
          <cell r="BH705">
            <v>2171.98</v>
          </cell>
          <cell r="BI705">
            <v>2382.16</v>
          </cell>
          <cell r="BJ705">
            <v>1365.0700000000002</v>
          </cell>
          <cell r="BK705">
            <v>1562.6200000000001</v>
          </cell>
          <cell r="BL705">
            <v>1742.69</v>
          </cell>
          <cell r="BM705">
            <v>1811.43</v>
          </cell>
          <cell r="BN705">
            <v>1645.75</v>
          </cell>
          <cell r="BO705">
            <v>1847.1999999999998</v>
          </cell>
          <cell r="BP705">
            <v>1802.1</v>
          </cell>
          <cell r="BQ705">
            <v>2047.0300000000002</v>
          </cell>
          <cell r="BR705">
            <v>3828.05</v>
          </cell>
        </row>
      </sheetData>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O Matrix @Meter"/>
      <sheetName val="PY1 Final EM&amp;V"/>
      <sheetName val="Tariff Table"/>
      <sheetName val="EMV Results"/>
    </sheetNames>
    <sheetDataSet>
      <sheetData sheetId="0">
        <row r="20">
          <cell r="R20">
            <v>1600473.2590000001</v>
          </cell>
          <cell r="V20">
            <v>310910.24</v>
          </cell>
          <cell r="X20">
            <v>318131.55000000005</v>
          </cell>
          <cell r="Y20">
            <v>264768.76</v>
          </cell>
        </row>
      </sheetData>
      <sheetData sheetId="1"/>
      <sheetData sheetId="2"/>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sheetData sheetId="1"/>
      <sheetData sheetId="2"/>
      <sheetData sheetId="3"/>
      <sheetData sheetId="4">
        <row r="571">
          <cell r="E571">
            <v>20417.009999999995</v>
          </cell>
          <cell r="F571">
            <v>26427.869999999995</v>
          </cell>
          <cell r="G571">
            <v>25762.399999999994</v>
          </cell>
          <cell r="H571">
            <v>25475.879999999976</v>
          </cell>
          <cell r="I571">
            <v>25719.17</v>
          </cell>
          <cell r="J571">
            <v>41841.229999999981</v>
          </cell>
          <cell r="K571">
            <v>43382.389999999985</v>
          </cell>
          <cell r="L571">
            <v>59447.949999999953</v>
          </cell>
          <cell r="M571">
            <v>63195.650000000081</v>
          </cell>
          <cell r="N571">
            <v>31780.369999999995</v>
          </cell>
          <cell r="O571">
            <v>32268.829999999958</v>
          </cell>
          <cell r="P571">
            <v>35300.74000000002</v>
          </cell>
          <cell r="Q571">
            <v>13388.950000000012</v>
          </cell>
          <cell r="R571">
            <v>12882.320000000007</v>
          </cell>
          <cell r="S571">
            <v>12528.659999999989</v>
          </cell>
          <cell r="T571">
            <v>12194.229999999996</v>
          </cell>
          <cell r="U571">
            <v>13551.040000000008</v>
          </cell>
          <cell r="V571">
            <v>15902.689999999973</v>
          </cell>
          <cell r="W571">
            <v>16082.380000000005</v>
          </cell>
          <cell r="X571">
            <v>16628.290000000008</v>
          </cell>
          <cell r="Y571">
            <v>18457.01999999999</v>
          </cell>
          <cell r="Z571">
            <v>12601.330000000002</v>
          </cell>
          <cell r="AA571">
            <v>12496.970000000001</v>
          </cell>
          <cell r="AB571">
            <v>14872.529999999984</v>
          </cell>
          <cell r="AC571">
            <v>9244.6600000000035</v>
          </cell>
          <cell r="AD571">
            <v>8897.4599999999919</v>
          </cell>
          <cell r="AE571">
            <v>8602.3499999999913</v>
          </cell>
          <cell r="AF571">
            <v>8378.8800000000047</v>
          </cell>
          <cell r="AG571">
            <v>9281.8500000000058</v>
          </cell>
          <cell r="AH571">
            <v>10569.740000000005</v>
          </cell>
          <cell r="AI571">
            <v>10545.420000000013</v>
          </cell>
          <cell r="AJ571">
            <v>11000.430000000022</v>
          </cell>
          <cell r="AK571">
            <v>12534.810000000012</v>
          </cell>
          <cell r="AL571">
            <v>8641.7700000000186</v>
          </cell>
          <cell r="AM571">
            <v>8576.5</v>
          </cell>
          <cell r="AN571">
            <v>10271.900000000009</v>
          </cell>
        </row>
        <row r="572">
          <cell r="E572">
            <v>0</v>
          </cell>
          <cell r="F572">
            <v>0</v>
          </cell>
          <cell r="G572">
            <v>39.70999999999998</v>
          </cell>
          <cell r="H572">
            <v>130.26000000000022</v>
          </cell>
          <cell r="I572">
            <v>216.1899999999996</v>
          </cell>
          <cell r="J572">
            <v>411.05999999999949</v>
          </cell>
          <cell r="K572">
            <v>1101.5800000000017</v>
          </cell>
          <cell r="L572">
            <v>1355.6599999999999</v>
          </cell>
          <cell r="M572">
            <v>1039.7599999999984</v>
          </cell>
          <cell r="N572">
            <v>902.48000000000138</v>
          </cell>
          <cell r="O572">
            <v>1030.7699999999968</v>
          </cell>
          <cell r="P572">
            <v>1303.760000000002</v>
          </cell>
          <cell r="Q572">
            <v>1672.4700000000012</v>
          </cell>
          <cell r="R572">
            <v>1521.3499999999985</v>
          </cell>
          <cell r="S572">
            <v>1697</v>
          </cell>
          <cell r="T572">
            <v>1761.9300000000003</v>
          </cell>
          <cell r="U572">
            <v>1875.8300000000017</v>
          </cell>
          <cell r="V572">
            <v>2826.2700000000041</v>
          </cell>
          <cell r="W572">
            <v>4160.1399999999994</v>
          </cell>
          <cell r="X572">
            <v>4064.8399999999965</v>
          </cell>
          <cell r="Y572">
            <v>2726.6600000000108</v>
          </cell>
          <cell r="Z572">
            <v>1853.9300000000039</v>
          </cell>
          <cell r="AA572">
            <v>1763.4200000000019</v>
          </cell>
          <cell r="AB572">
            <v>1604.5900000000001</v>
          </cell>
          <cell r="AC572">
            <v>1684.510000000002</v>
          </cell>
          <cell r="AD572">
            <v>1532.2800000000025</v>
          </cell>
          <cell r="AE572">
            <v>1709.1900000000023</v>
          </cell>
          <cell r="AF572">
            <v>1774.6799999999967</v>
          </cell>
          <cell r="AG572">
            <v>1889.3100000000013</v>
          </cell>
          <cell r="AH572">
            <v>2846.6500000000015</v>
          </cell>
          <cell r="AI572">
            <v>4180.7299999999959</v>
          </cell>
          <cell r="AJ572">
            <v>4085.8700000000099</v>
          </cell>
          <cell r="AK572">
            <v>2746.4300000000076</v>
          </cell>
          <cell r="AL572">
            <v>1867.3500000000058</v>
          </cell>
          <cell r="AM572">
            <v>1776.2199999999975</v>
          </cell>
          <cell r="AN572">
            <v>1616.2300000000032</v>
          </cell>
        </row>
        <row r="574">
          <cell r="E574">
            <v>0</v>
          </cell>
          <cell r="F574">
            <v>0</v>
          </cell>
          <cell r="G574">
            <v>21.79000000000002</v>
          </cell>
          <cell r="H574">
            <v>131.46000000000026</v>
          </cell>
          <cell r="I574">
            <v>265.22000000000025</v>
          </cell>
          <cell r="J574">
            <v>318.80000000000018</v>
          </cell>
          <cell r="K574">
            <v>379.60000000000036</v>
          </cell>
          <cell r="L574">
            <v>563.39999999999964</v>
          </cell>
          <cell r="M574">
            <v>690.21999999999935</v>
          </cell>
          <cell r="N574">
            <v>710.29000000000087</v>
          </cell>
          <cell r="O574">
            <v>747.90999999999985</v>
          </cell>
          <cell r="P574">
            <v>815.53999999999905</v>
          </cell>
          <cell r="Q574">
            <v>905.54000000000087</v>
          </cell>
          <cell r="R574">
            <v>866.09000000000196</v>
          </cell>
          <cell r="S574">
            <v>967.59999999999854</v>
          </cell>
          <cell r="T574">
            <v>911.14000000000124</v>
          </cell>
          <cell r="U574">
            <v>1009.9300000000003</v>
          </cell>
          <cell r="V574">
            <v>1135.0700000000033</v>
          </cell>
          <cell r="W574">
            <v>1122.9399999999987</v>
          </cell>
          <cell r="X574">
            <v>1158.5</v>
          </cell>
          <cell r="Y574">
            <v>1091.7099999999991</v>
          </cell>
          <cell r="Z574">
            <v>966.81999999999971</v>
          </cell>
          <cell r="AA574">
            <v>939.02000000000044</v>
          </cell>
          <cell r="AB574">
            <v>900.35999999999876</v>
          </cell>
          <cell r="AC574">
            <v>917.57000000000153</v>
          </cell>
          <cell r="AD574">
            <v>877.59000000000196</v>
          </cell>
          <cell r="AE574">
            <v>980.43000000000029</v>
          </cell>
          <cell r="AF574">
            <v>923.29000000000087</v>
          </cell>
          <cell r="AG574">
            <v>1023.3200000000033</v>
          </cell>
          <cell r="AH574">
            <v>1150.1200000000026</v>
          </cell>
          <cell r="AI574">
            <v>1137.8299999999981</v>
          </cell>
          <cell r="AJ574">
            <v>1173.8600000000006</v>
          </cell>
          <cell r="AK574">
            <v>1106.2599999999948</v>
          </cell>
          <cell r="AL574">
            <v>979.7300000000032</v>
          </cell>
          <cell r="AM574">
            <v>951.59999999999854</v>
          </cell>
          <cell r="AN574">
            <v>912.42000000000007</v>
          </cell>
        </row>
        <row r="575">
          <cell r="E575">
            <v>0</v>
          </cell>
          <cell r="F575">
            <v>0</v>
          </cell>
          <cell r="G575">
            <v>0</v>
          </cell>
          <cell r="H575">
            <v>-3.6100000000000136</v>
          </cell>
          <cell r="I575">
            <v>14.779999999999973</v>
          </cell>
          <cell r="J575">
            <v>52.480000000000018</v>
          </cell>
          <cell r="K575">
            <v>63.8900000000001</v>
          </cell>
          <cell r="L575">
            <v>78.479999999999791</v>
          </cell>
          <cell r="M575">
            <v>86.590000000000146</v>
          </cell>
          <cell r="N575">
            <v>95.920000000000982</v>
          </cell>
          <cell r="O575">
            <v>119.86999999999989</v>
          </cell>
          <cell r="P575">
            <v>143.69000000000051</v>
          </cell>
          <cell r="Q575">
            <v>160.54999999999927</v>
          </cell>
          <cell r="R575">
            <v>143.18000000000029</v>
          </cell>
          <cell r="S575">
            <v>160.16000000000076</v>
          </cell>
          <cell r="T575">
            <v>143.22000000000025</v>
          </cell>
          <cell r="U575">
            <v>158.33999999999924</v>
          </cell>
          <cell r="V575">
            <v>182.97000000000116</v>
          </cell>
          <cell r="W575">
            <v>186.25000000000182</v>
          </cell>
          <cell r="X575">
            <v>189.64000000000124</v>
          </cell>
          <cell r="Y575">
            <v>180.03000000000065</v>
          </cell>
          <cell r="Z575">
            <v>150.05999999999949</v>
          </cell>
          <cell r="AA575">
            <v>142.78000000000065</v>
          </cell>
          <cell r="AB575">
            <v>152.88000000000102</v>
          </cell>
          <cell r="AC575">
            <v>173.07999999999993</v>
          </cell>
          <cell r="AD575">
            <v>154.32999999999993</v>
          </cell>
          <cell r="AE575">
            <v>172.57000000000062</v>
          </cell>
          <cell r="AF575">
            <v>154.40000000000055</v>
          </cell>
          <cell r="AG575">
            <v>170.58999999999924</v>
          </cell>
          <cell r="AH575">
            <v>196.94000000000142</v>
          </cell>
          <cell r="AI575">
            <v>200.46000000000095</v>
          </cell>
          <cell r="AJ575">
            <v>204.11999999999898</v>
          </cell>
          <cell r="AK575">
            <v>193.90000000000055</v>
          </cell>
          <cell r="AL575">
            <v>161.76999999999953</v>
          </cell>
          <cell r="AM575">
            <v>153.97999999999956</v>
          </cell>
          <cell r="AN575">
            <v>164.91000000000167</v>
          </cell>
        </row>
      </sheetData>
      <sheetData sheetId="5">
        <row r="436">
          <cell r="E436">
            <v>0</v>
          </cell>
          <cell r="F436">
            <v>-548.9600000000064</v>
          </cell>
          <cell r="G436">
            <v>-1984.6900000000023</v>
          </cell>
          <cell r="H436">
            <v>-3620.7999999999884</v>
          </cell>
          <cell r="I436">
            <v>-6432.4400000000023</v>
          </cell>
          <cell r="J436">
            <v>-13309.329999999987</v>
          </cell>
          <cell r="K436">
            <v>-19322.069999999978</v>
          </cell>
          <cell r="L436">
            <v>-23382.190000000002</v>
          </cell>
          <cell r="M436">
            <v>-27168.590000000026</v>
          </cell>
          <cell r="N436">
            <v>-20964.75</v>
          </cell>
          <cell r="O436">
            <v>-24073.289999999979</v>
          </cell>
          <cell r="P436">
            <v>-31950.319999999978</v>
          </cell>
          <cell r="Q436">
            <v>-31073.87000000001</v>
          </cell>
          <cell r="R436">
            <v>-29844.37000000001</v>
          </cell>
          <cell r="S436">
            <v>-30065.810000000012</v>
          </cell>
          <cell r="T436">
            <v>-29138.509999999995</v>
          </cell>
          <cell r="U436">
            <v>-32975.600000000006</v>
          </cell>
          <cell r="V436">
            <v>-45276.329999999987</v>
          </cell>
          <cell r="W436">
            <v>-48702.25</v>
          </cell>
          <cell r="X436">
            <v>-48386.34</v>
          </cell>
          <cell r="Y436">
            <v>-47116.179999999993</v>
          </cell>
          <cell r="Z436">
            <v>-30455.539999999994</v>
          </cell>
          <cell r="AA436">
            <v>-30075.509999999995</v>
          </cell>
          <cell r="AB436">
            <v>-34457.949999999983</v>
          </cell>
          <cell r="AC436">
            <v>0</v>
          </cell>
          <cell r="AD436">
            <v>0</v>
          </cell>
          <cell r="AE436">
            <v>0</v>
          </cell>
          <cell r="AF436">
            <v>0</v>
          </cell>
          <cell r="AG436">
            <v>-1.0000000009313226E-2</v>
          </cell>
          <cell r="AH436">
            <v>0</v>
          </cell>
          <cell r="AI436">
            <v>0</v>
          </cell>
          <cell r="AJ436">
            <v>0</v>
          </cell>
          <cell r="AK436">
            <v>0</v>
          </cell>
          <cell r="AL436">
            <v>0</v>
          </cell>
          <cell r="AM436">
            <v>0</v>
          </cell>
          <cell r="AN436">
            <v>0</v>
          </cell>
        </row>
        <row r="437">
          <cell r="E437">
            <v>0</v>
          </cell>
          <cell r="F437">
            <v>0</v>
          </cell>
          <cell r="G437">
            <v>-9.9999999999909051E-3</v>
          </cell>
          <cell r="H437">
            <v>-138.95000000000027</v>
          </cell>
          <cell r="I437">
            <v>-301.80999999999949</v>
          </cell>
          <cell r="J437">
            <v>-468.01999999999862</v>
          </cell>
          <cell r="K437">
            <v>-483.04999999999927</v>
          </cell>
          <cell r="L437">
            <v>-504.46999999999753</v>
          </cell>
          <cell r="M437">
            <v>-504.92000000000189</v>
          </cell>
          <cell r="N437">
            <v>-365.14999999999964</v>
          </cell>
          <cell r="O437">
            <v>-350.93000000000029</v>
          </cell>
          <cell r="P437">
            <v>-339.45000000000073</v>
          </cell>
          <cell r="Q437">
            <v>-371.04000000000087</v>
          </cell>
          <cell r="R437">
            <v>-337.18999999999505</v>
          </cell>
          <cell r="S437">
            <v>-375.75</v>
          </cell>
          <cell r="T437">
            <v>-392.68999999999869</v>
          </cell>
          <cell r="U437">
            <v>-415.60000000000218</v>
          </cell>
          <cell r="V437">
            <v>-628.45999999999913</v>
          </cell>
          <cell r="W437">
            <v>-634.21999999999389</v>
          </cell>
          <cell r="X437">
            <v>-647.95999999999185</v>
          </cell>
          <cell r="Y437">
            <v>-609.12000000000262</v>
          </cell>
          <cell r="Z437">
            <v>-413.63999999999942</v>
          </cell>
          <cell r="AA437">
            <v>-394.46000000000276</v>
          </cell>
          <cell r="AB437">
            <v>-358.65999999999985</v>
          </cell>
          <cell r="AC437">
            <v>0</v>
          </cell>
          <cell r="AD437">
            <v>2.0000000004074536E-2</v>
          </cell>
          <cell r="AE437">
            <v>9.9999999983992893E-3</v>
          </cell>
          <cell r="AF437">
            <v>0</v>
          </cell>
          <cell r="AG437">
            <v>0</v>
          </cell>
          <cell r="AH437">
            <v>0</v>
          </cell>
          <cell r="AI437">
            <v>-9.9999999947613105E-3</v>
          </cell>
          <cell r="AJ437">
            <v>0</v>
          </cell>
          <cell r="AK437">
            <v>0</v>
          </cell>
          <cell r="AL437">
            <v>0</v>
          </cell>
          <cell r="AM437">
            <v>9.9999999983992893E-3</v>
          </cell>
          <cell r="AN437">
            <v>0</v>
          </cell>
        </row>
        <row r="439">
          <cell r="E439">
            <v>0</v>
          </cell>
          <cell r="F439">
            <v>0</v>
          </cell>
          <cell r="G439">
            <v>0</v>
          </cell>
          <cell r="H439">
            <v>-28.470000000000027</v>
          </cell>
          <cell r="I439">
            <v>-97.300000000000182</v>
          </cell>
          <cell r="J439">
            <v>-148.3100000000004</v>
          </cell>
          <cell r="K439">
            <v>-146.75999999999931</v>
          </cell>
          <cell r="L439">
            <v>-151.30999999999949</v>
          </cell>
          <cell r="M439">
            <v>-143.32999999999993</v>
          </cell>
          <cell r="N439">
            <v>-141.61999999999898</v>
          </cell>
          <cell r="O439">
            <v>-160.02000000000044</v>
          </cell>
          <cell r="P439">
            <v>-266.28999999999905</v>
          </cell>
          <cell r="Q439">
            <v>-370.76000000000022</v>
          </cell>
          <cell r="R439">
            <v>-354.30000000000109</v>
          </cell>
          <cell r="S439">
            <v>-395.27000000000044</v>
          </cell>
          <cell r="T439">
            <v>-374.63999999999942</v>
          </cell>
          <cell r="U439">
            <v>-412.68999999999869</v>
          </cell>
          <cell r="V439">
            <v>-464.04000000000087</v>
          </cell>
          <cell r="W439">
            <v>-459.25</v>
          </cell>
          <cell r="X439">
            <v>-473.41999999999825</v>
          </cell>
          <cell r="Y439">
            <v>-448.45000000000073</v>
          </cell>
          <cell r="Z439">
            <v>-397.92999999999665</v>
          </cell>
          <cell r="AA439">
            <v>-387.53999999999724</v>
          </cell>
          <cell r="AB439">
            <v>-371.46999999999753</v>
          </cell>
          <cell r="AC439">
            <v>0</v>
          </cell>
          <cell r="AD439">
            <v>-1.0000000000218279E-2</v>
          </cell>
          <cell r="AE439">
            <v>-1.0000000002037268E-2</v>
          </cell>
          <cell r="AF439">
            <v>0</v>
          </cell>
          <cell r="AG439">
            <v>0</v>
          </cell>
          <cell r="AH439">
            <v>-1.0000000002037268E-2</v>
          </cell>
          <cell r="AI439">
            <v>0</v>
          </cell>
          <cell r="AJ439">
            <v>1.0000000002037268E-2</v>
          </cell>
          <cell r="AK439">
            <v>-9.9999999983992893E-3</v>
          </cell>
          <cell r="AL439">
            <v>0</v>
          </cell>
          <cell r="AM439">
            <v>-9.9999999983992893E-3</v>
          </cell>
          <cell r="AN439">
            <v>-9.9999999983992893E-3</v>
          </cell>
        </row>
        <row r="440">
          <cell r="E440">
            <v>0</v>
          </cell>
          <cell r="F440">
            <v>0</v>
          </cell>
          <cell r="G440">
            <v>0</v>
          </cell>
          <cell r="H440">
            <v>-23.949999999999989</v>
          </cell>
          <cell r="I440">
            <v>-52.449999999999932</v>
          </cell>
          <cell r="J440">
            <v>-60.920000000000073</v>
          </cell>
          <cell r="K440">
            <v>-63.069999999999936</v>
          </cell>
          <cell r="L440">
            <v>-64.170000000000073</v>
          </cell>
          <cell r="M440">
            <v>-64.789999999999964</v>
          </cell>
          <cell r="N440">
            <v>-202.78999999999996</v>
          </cell>
          <cell r="O440">
            <v>-332.19000000000051</v>
          </cell>
          <cell r="P440">
            <v>-364.09000000000015</v>
          </cell>
          <cell r="Q440">
            <v>-386.06999999999971</v>
          </cell>
          <cell r="R440">
            <v>-343.43000000000029</v>
          </cell>
          <cell r="S440">
            <v>-382.55000000000109</v>
          </cell>
          <cell r="T440">
            <v>-344.73000000000047</v>
          </cell>
          <cell r="U440">
            <v>-377.5</v>
          </cell>
          <cell r="V440">
            <v>-430.94000000000051</v>
          </cell>
          <cell r="W440">
            <v>-438.64000000000124</v>
          </cell>
          <cell r="X440">
            <v>-446.36000000000058</v>
          </cell>
          <cell r="Y440">
            <v>-427.32999999999993</v>
          </cell>
          <cell r="Z440">
            <v>-361.26000000000022</v>
          </cell>
          <cell r="AA440">
            <v>-344.86000000000058</v>
          </cell>
          <cell r="AB440">
            <v>-370.92000000000007</v>
          </cell>
          <cell r="AC440">
            <v>0</v>
          </cell>
          <cell r="AD440">
            <v>-1.0000000000218279E-2</v>
          </cell>
          <cell r="AE440">
            <v>0</v>
          </cell>
          <cell r="AF440">
            <v>-1.0000000000218279E-2</v>
          </cell>
          <cell r="AG440">
            <v>0</v>
          </cell>
          <cell r="AH440">
            <v>0</v>
          </cell>
          <cell r="AI440">
            <v>0</v>
          </cell>
          <cell r="AJ440">
            <v>0</v>
          </cell>
          <cell r="AK440">
            <v>0</v>
          </cell>
          <cell r="AL440">
            <v>0</v>
          </cell>
          <cell r="AM440">
            <v>0</v>
          </cell>
          <cell r="AN440">
            <v>0</v>
          </cell>
        </row>
      </sheetData>
      <sheetData sheetId="6">
        <row r="55">
          <cell r="C55">
            <v>31.6</v>
          </cell>
          <cell r="D55">
            <v>88.55</v>
          </cell>
          <cell r="E55">
            <v>154.47</v>
          </cell>
          <cell r="F55">
            <v>215.77</v>
          </cell>
          <cell r="G55">
            <v>270.38</v>
          </cell>
          <cell r="H55">
            <v>333.85</v>
          </cell>
          <cell r="I55">
            <v>330.37</v>
          </cell>
          <cell r="J55">
            <v>395.69</v>
          </cell>
          <cell r="K55">
            <v>474.01</v>
          </cell>
          <cell r="L55">
            <v>529.29</v>
          </cell>
          <cell r="M55">
            <v>549.95000000000005</v>
          </cell>
          <cell r="N55">
            <v>745.19</v>
          </cell>
          <cell r="O55">
            <v>724.56</v>
          </cell>
          <cell r="P55">
            <v>546.58000000000004</v>
          </cell>
          <cell r="Q55">
            <v>209.29</v>
          </cell>
          <cell r="R55">
            <v>229.64</v>
          </cell>
          <cell r="S55">
            <v>220.93</v>
          </cell>
          <cell r="T55">
            <v>190.66</v>
          </cell>
          <cell r="U55">
            <v>161.38</v>
          </cell>
          <cell r="V55">
            <v>132.44999999999999</v>
          </cell>
          <cell r="W55">
            <v>97.48</v>
          </cell>
          <cell r="X55">
            <v>72.510000000000005</v>
          </cell>
          <cell r="Y55">
            <v>49.02</v>
          </cell>
          <cell r="Z55">
            <v>16.97</v>
          </cell>
          <cell r="AA55">
            <v>9.5399999999999991</v>
          </cell>
          <cell r="AB55">
            <v>34.32</v>
          </cell>
          <cell r="AC55">
            <v>60.47</v>
          </cell>
          <cell r="AD55">
            <v>13.42</v>
          </cell>
          <cell r="AE55">
            <v>20.51</v>
          </cell>
          <cell r="AF55">
            <v>30.64</v>
          </cell>
          <cell r="AG55">
            <v>49.59</v>
          </cell>
          <cell r="AH55">
            <v>70.73</v>
          </cell>
          <cell r="AI55">
            <v>96.69</v>
          </cell>
          <cell r="AJ55">
            <v>125.08</v>
          </cell>
          <cell r="AK55">
            <v>155.63999999999999</v>
          </cell>
          <cell r="AL55">
            <v>195.78</v>
          </cell>
        </row>
        <row r="56">
          <cell r="C56">
            <v>0</v>
          </cell>
          <cell r="D56">
            <v>0</v>
          </cell>
          <cell r="E56">
            <v>0.05</v>
          </cell>
          <cell r="F56">
            <v>0.09</v>
          </cell>
          <cell r="G56">
            <v>-0.03</v>
          </cell>
          <cell r="H56">
            <v>-0.22</v>
          </cell>
          <cell r="I56">
            <v>0.43</v>
          </cell>
          <cell r="J56">
            <v>2.0299999999999998</v>
          </cell>
          <cell r="K56">
            <v>3.53</v>
          </cell>
          <cell r="L56">
            <v>4.71</v>
          </cell>
          <cell r="M56">
            <v>6.03</v>
          </cell>
          <cell r="N56">
            <v>10.36</v>
          </cell>
          <cell r="O56">
            <v>13.62</v>
          </cell>
          <cell r="P56">
            <v>13.93</v>
          </cell>
          <cell r="Q56">
            <v>6.97</v>
          </cell>
          <cell r="R56">
            <v>9.75</v>
          </cell>
          <cell r="S56">
            <v>11.99</v>
          </cell>
          <cell r="T56">
            <v>14.09</v>
          </cell>
          <cell r="U56">
            <v>18.34</v>
          </cell>
          <cell r="V56">
            <v>24.75</v>
          </cell>
          <cell r="W56">
            <v>30.41</v>
          </cell>
          <cell r="X56">
            <v>36.83</v>
          </cell>
          <cell r="Y56">
            <v>43.59</v>
          </cell>
          <cell r="Z56">
            <v>49.85</v>
          </cell>
          <cell r="AA56">
            <v>72.97</v>
          </cell>
          <cell r="AB56">
            <v>78</v>
          </cell>
          <cell r="AC56">
            <v>85.7</v>
          </cell>
          <cell r="AD56">
            <v>14.44</v>
          </cell>
          <cell r="AE56">
            <v>18.03</v>
          </cell>
          <cell r="AF56">
            <v>22.94</v>
          </cell>
          <cell r="AG56">
            <v>33.47</v>
          </cell>
          <cell r="AH56">
            <v>44.57</v>
          </cell>
          <cell r="AI56">
            <v>56.21</v>
          </cell>
          <cell r="AJ56">
            <v>67.56</v>
          </cell>
          <cell r="AK56">
            <v>79.73</v>
          </cell>
          <cell r="AL56">
            <v>94.76</v>
          </cell>
        </row>
        <row r="58">
          <cell r="C58">
            <v>0</v>
          </cell>
          <cell r="D58">
            <v>0</v>
          </cell>
          <cell r="E58">
            <v>0.03</v>
          </cell>
          <cell r="F58">
            <v>0.19</v>
          </cell>
          <cell r="G58">
            <v>0.55000000000000004</v>
          </cell>
          <cell r="H58">
            <v>1</v>
          </cell>
          <cell r="I58">
            <v>1.26</v>
          </cell>
          <cell r="J58">
            <v>1.96</v>
          </cell>
          <cell r="K58">
            <v>3</v>
          </cell>
          <cell r="L58">
            <v>4.2300000000000004</v>
          </cell>
          <cell r="M58">
            <v>5.49</v>
          </cell>
          <cell r="N58">
            <v>8.91</v>
          </cell>
          <cell r="O58">
            <v>10.47</v>
          </cell>
          <cell r="P58">
            <v>9.6999999999999993</v>
          </cell>
          <cell r="Q58">
            <v>4.53</v>
          </cell>
          <cell r="R58">
            <v>5.99</v>
          </cell>
          <cell r="S58">
            <v>7</v>
          </cell>
          <cell r="T58">
            <v>7.72</v>
          </cell>
          <cell r="U58">
            <v>8.92</v>
          </cell>
          <cell r="V58">
            <v>10.66</v>
          </cell>
          <cell r="W58">
            <v>12.33</v>
          </cell>
          <cell r="X58">
            <v>14.77</v>
          </cell>
          <cell r="Y58">
            <v>17.47</v>
          </cell>
          <cell r="Z58">
            <v>20.010000000000002</v>
          </cell>
          <cell r="AA58">
            <v>29.66</v>
          </cell>
          <cell r="AB58">
            <v>32.36</v>
          </cell>
          <cell r="AC58">
            <v>36.29</v>
          </cell>
          <cell r="AD58">
            <v>6.21</v>
          </cell>
          <cell r="AE58">
            <v>7.85</v>
          </cell>
          <cell r="AF58">
            <v>10.02</v>
          </cell>
          <cell r="AG58">
            <v>14.29</v>
          </cell>
          <cell r="AH58">
            <v>18.420000000000002</v>
          </cell>
          <cell r="AI58">
            <v>22.91</v>
          </cell>
          <cell r="AJ58">
            <v>27.68</v>
          </cell>
          <cell r="AK58">
            <v>33</v>
          </cell>
          <cell r="AL58">
            <v>39.630000000000003</v>
          </cell>
        </row>
        <row r="59">
          <cell r="C59">
            <v>0</v>
          </cell>
          <cell r="D59">
            <v>0</v>
          </cell>
          <cell r="E59">
            <v>0</v>
          </cell>
          <cell r="F59">
            <v>-0.04</v>
          </cell>
          <cell r="G59">
            <v>-0.12</v>
          </cell>
          <cell r="H59">
            <v>-0.18</v>
          </cell>
          <cell r="I59">
            <v>-0.16</v>
          </cell>
          <cell r="J59">
            <v>-0.14000000000000001</v>
          </cell>
          <cell r="K59">
            <v>-0.1</v>
          </cell>
          <cell r="L59">
            <v>-0.2</v>
          </cell>
          <cell r="M59">
            <v>-0.54</v>
          </cell>
          <cell r="N59">
            <v>-1.34</v>
          </cell>
          <cell r="O59">
            <v>-1.99</v>
          </cell>
          <cell r="P59">
            <v>-2.11</v>
          </cell>
          <cell r="Q59">
            <v>-1.07</v>
          </cell>
          <cell r="R59">
            <v>-1.51</v>
          </cell>
          <cell r="S59">
            <v>-1.84</v>
          </cell>
          <cell r="T59">
            <v>-2.11</v>
          </cell>
          <cell r="U59">
            <v>-2.52</v>
          </cell>
          <cell r="V59">
            <v>-3.1</v>
          </cell>
          <cell r="W59">
            <v>-3.67</v>
          </cell>
          <cell r="X59">
            <v>-4.4800000000000004</v>
          </cell>
          <cell r="Y59">
            <v>-5.36</v>
          </cell>
          <cell r="Z59">
            <v>-6.23</v>
          </cell>
          <cell r="AA59">
            <v>-8.68</v>
          </cell>
          <cell r="AB59">
            <v>-8.31</v>
          </cell>
          <cell r="AC59">
            <v>-8.18</v>
          </cell>
          <cell r="AD59">
            <v>-1.23</v>
          </cell>
          <cell r="AE59">
            <v>-1.37</v>
          </cell>
          <cell r="AF59">
            <v>-1.52</v>
          </cell>
          <cell r="AG59">
            <v>-1.86</v>
          </cell>
          <cell r="AH59">
            <v>-2.04</v>
          </cell>
          <cell r="AI59">
            <v>-2.15</v>
          </cell>
          <cell r="AJ59">
            <v>-2.23</v>
          </cell>
          <cell r="AK59">
            <v>-2.2999999999999998</v>
          </cell>
          <cell r="AL59">
            <v>-2.36</v>
          </cell>
        </row>
      </sheetData>
      <sheetData sheetId="7"/>
      <sheetData sheetId="8"/>
      <sheetData sheetId="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O Matrix @Meter"/>
      <sheetName val="PY2 Final EM&amp;V"/>
      <sheetName val="Tariff Table"/>
      <sheetName val="EMV Results"/>
    </sheetNames>
    <sheetDataSet>
      <sheetData sheetId="0">
        <row r="20">
          <cell r="AL20">
            <v>2070956.0390000003</v>
          </cell>
          <cell r="AP20">
            <v>283722.18000000005</v>
          </cell>
          <cell r="AR20">
            <v>576681.62</v>
          </cell>
          <cell r="AS20">
            <v>212408.31999999998</v>
          </cell>
        </row>
      </sheetData>
      <sheetData sheetId="1"/>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sheetData sheetId="1"/>
      <sheetData sheetId="2"/>
      <sheetData sheetId="3"/>
      <sheetData sheetId="4">
        <row r="571">
          <cell r="Q571">
            <v>-2408.8799999999901</v>
          </cell>
          <cell r="R571">
            <v>-3144.3899999999994</v>
          </cell>
          <cell r="S571">
            <v>-3624.8499999999913</v>
          </cell>
          <cell r="T571">
            <v>-4133.4499999999825</v>
          </cell>
          <cell r="U571">
            <v>-4927.1300000000047</v>
          </cell>
          <cell r="V571">
            <v>-9414.859999999986</v>
          </cell>
          <cell r="W571">
            <v>-13776.20000000007</v>
          </cell>
          <cell r="X571">
            <v>-15688.630000000063</v>
          </cell>
          <cell r="Y571">
            <v>-13694.340000000026</v>
          </cell>
          <cell r="Z571">
            <v>-8529.5599999999686</v>
          </cell>
          <cell r="AA571">
            <v>-8619.4300000000803</v>
          </cell>
          <cell r="AB571">
            <v>-9770.2200000000303</v>
          </cell>
          <cell r="AC571">
            <v>-5600.5100000000093</v>
          </cell>
          <cell r="AD571">
            <v>-5358.5399999999936</v>
          </cell>
          <cell r="AE571">
            <v>-5788.1200000000099</v>
          </cell>
          <cell r="AF571">
            <v>-5570.9100000000035</v>
          </cell>
          <cell r="AG571">
            <v>-6492.6600000000035</v>
          </cell>
          <cell r="AH571">
            <v>-11105.249999999942</v>
          </cell>
          <cell r="AI571">
            <v>-15519.619999999995</v>
          </cell>
          <cell r="AJ571">
            <v>-14596.25999999998</v>
          </cell>
          <cell r="AK571">
            <v>-10082.270000000019</v>
          </cell>
          <cell r="AL571">
            <v>-5946.570000000007</v>
          </cell>
          <cell r="AM571">
            <v>-5830.9099999999889</v>
          </cell>
          <cell r="AN571">
            <v>-6187.6000000000058</v>
          </cell>
        </row>
        <row r="572">
          <cell r="Q572">
            <v>1.6299999999999955</v>
          </cell>
          <cell r="R572">
            <v>16.759999999999991</v>
          </cell>
          <cell r="S572">
            <v>46.529999999999973</v>
          </cell>
          <cell r="T572">
            <v>71.809999999999491</v>
          </cell>
          <cell r="U572">
            <v>107.01999999999862</v>
          </cell>
          <cell r="V572">
            <v>198.73999999999978</v>
          </cell>
          <cell r="W572">
            <v>461.02999999999702</v>
          </cell>
          <cell r="X572">
            <v>599.27000000000044</v>
          </cell>
          <cell r="Y572">
            <v>312.79999999999927</v>
          </cell>
          <cell r="Z572">
            <v>231.96999999999753</v>
          </cell>
          <cell r="AA572">
            <v>205.54999999999927</v>
          </cell>
          <cell r="AB572">
            <v>161.16999999999825</v>
          </cell>
          <cell r="AC572">
            <v>191.80999999999767</v>
          </cell>
          <cell r="AD572">
            <v>172.09000000000015</v>
          </cell>
          <cell r="AE572">
            <v>180.79999999999927</v>
          </cell>
          <cell r="AF572">
            <v>192.27999999999884</v>
          </cell>
          <cell r="AG572">
            <v>200.09000000000015</v>
          </cell>
          <cell r="AH572">
            <v>257.07999999999447</v>
          </cell>
          <cell r="AI572">
            <v>1125.7099999999991</v>
          </cell>
          <cell r="AJ572">
            <v>1030.3699999999953</v>
          </cell>
          <cell r="AK572">
            <v>245.56999999999971</v>
          </cell>
          <cell r="AL572">
            <v>197.08999999999651</v>
          </cell>
          <cell r="AM572">
            <v>184.08999999999651</v>
          </cell>
          <cell r="AN572">
            <v>173.14999999999782</v>
          </cell>
        </row>
        <row r="574">
          <cell r="Q574">
            <v>4.9999999999997158E-2</v>
          </cell>
          <cell r="R574">
            <v>-7.1299999999998818</v>
          </cell>
          <cell r="S574">
            <v>-13.030000000000655</v>
          </cell>
          <cell r="T574">
            <v>0.93000000000029104</v>
          </cell>
          <cell r="U574">
            <v>17.470000000000255</v>
          </cell>
          <cell r="V574">
            <v>-2.4700000000011642</v>
          </cell>
          <cell r="W574">
            <v>83.980000000001382</v>
          </cell>
          <cell r="X574">
            <v>195.82999999999447</v>
          </cell>
          <cell r="Y574">
            <v>93.070000000003347</v>
          </cell>
          <cell r="Z574">
            <v>41.729999999999563</v>
          </cell>
          <cell r="AA574">
            <v>-31.609999999996944</v>
          </cell>
          <cell r="AB574">
            <v>-244.1299999999901</v>
          </cell>
          <cell r="AC574">
            <v>-268.50999999999476</v>
          </cell>
          <cell r="AD574">
            <v>-255.41000000000349</v>
          </cell>
          <cell r="AE574">
            <v>-295.27000000001135</v>
          </cell>
          <cell r="AF574">
            <v>-285.25</v>
          </cell>
          <cell r="AG574">
            <v>-313.41999999999825</v>
          </cell>
          <cell r="AH574">
            <v>-431.2300000000032</v>
          </cell>
          <cell r="AI574">
            <v>-437.60999999999331</v>
          </cell>
          <cell r="AJ574">
            <v>-443.7899999999936</v>
          </cell>
          <cell r="AK574">
            <v>-420.31999999999971</v>
          </cell>
          <cell r="AL574">
            <v>-307.58000000000902</v>
          </cell>
          <cell r="AM574">
            <v>-301.67000000001281</v>
          </cell>
          <cell r="AN574">
            <v>-279.20999999999185</v>
          </cell>
        </row>
        <row r="575">
          <cell r="Q575">
            <v>0</v>
          </cell>
          <cell r="R575">
            <v>0.13999999999999968</v>
          </cell>
          <cell r="S575">
            <v>-1.0299999999999976</v>
          </cell>
          <cell r="T575">
            <v>-3.8400000000000034</v>
          </cell>
          <cell r="U575">
            <v>-17.829999999999927</v>
          </cell>
          <cell r="V575">
            <v>-45.049999999999955</v>
          </cell>
          <cell r="W575">
            <v>-51.879999999999882</v>
          </cell>
          <cell r="X575">
            <v>-72.019999999999982</v>
          </cell>
          <cell r="Y575">
            <v>-93.360000000000127</v>
          </cell>
          <cell r="Z575">
            <v>-69.070000000000164</v>
          </cell>
          <cell r="AA575">
            <v>-70.5600000000004</v>
          </cell>
          <cell r="AB575">
            <v>-66.819999999999709</v>
          </cell>
          <cell r="AC575">
            <v>-52.699999999999818</v>
          </cell>
          <cell r="AD575">
            <v>-49.630000000001019</v>
          </cell>
          <cell r="AE575">
            <v>-63.199999999999818</v>
          </cell>
          <cell r="AF575">
            <v>-61.780000000000655</v>
          </cell>
          <cell r="AG575">
            <v>-69.429999999999382</v>
          </cell>
          <cell r="AH575">
            <v>-134.48000000000047</v>
          </cell>
          <cell r="AI575">
            <v>-140.8100000000004</v>
          </cell>
          <cell r="AJ575">
            <v>-140.13000000000102</v>
          </cell>
          <cell r="AK575">
            <v>-130.97000000000025</v>
          </cell>
          <cell r="AL575">
            <v>-68.569999999999709</v>
          </cell>
          <cell r="AM575">
            <v>-67.409999999999854</v>
          </cell>
          <cell r="AN575">
            <v>-57.869999999998981</v>
          </cell>
        </row>
      </sheetData>
      <sheetData sheetId="5">
        <row r="436">
          <cell r="Q436">
            <v>-641.34000000001106</v>
          </cell>
          <cell r="R436">
            <v>-2901.9800000000105</v>
          </cell>
          <cell r="S436">
            <v>-5866.820000000007</v>
          </cell>
          <cell r="T436">
            <v>-7720.0300000000134</v>
          </cell>
          <cell r="U436">
            <v>-11625.00999999998</v>
          </cell>
          <cell r="V436">
            <v>-20929.540000000008</v>
          </cell>
          <cell r="W436">
            <v>-27117.840000000026</v>
          </cell>
          <cell r="X436">
            <v>-31034.819999999949</v>
          </cell>
          <cell r="Y436">
            <v>-33735.23000000004</v>
          </cell>
          <cell r="Z436">
            <v>-24111.200000000012</v>
          </cell>
          <cell r="AA436">
            <v>-26395.179999999993</v>
          </cell>
          <cell r="AB436">
            <v>-33283.26999999996</v>
          </cell>
          <cell r="AC436">
            <v>4184.2200000000012</v>
          </cell>
          <cell r="AD436">
            <v>4029.7399999999907</v>
          </cell>
          <cell r="AE436">
            <v>3844.75</v>
          </cell>
          <cell r="AF436">
            <v>3750.8899999999994</v>
          </cell>
          <cell r="AG436">
            <v>4126.3699999999953</v>
          </cell>
          <cell r="AH436">
            <v>4376.1999999999825</v>
          </cell>
          <cell r="AI436">
            <v>4220.7799999999988</v>
          </cell>
          <cell r="AJ436">
            <v>4502.6599999999744</v>
          </cell>
          <cell r="AK436">
            <v>5462.4899999999907</v>
          </cell>
          <cell r="AL436">
            <v>3851.5299999999988</v>
          </cell>
          <cell r="AM436">
            <v>3828.6600000000035</v>
          </cell>
          <cell r="AN436">
            <v>4652.0900000000111</v>
          </cell>
        </row>
        <row r="437">
          <cell r="Q437">
            <v>-15.120000000000005</v>
          </cell>
          <cell r="R437">
            <v>-98.520000000000095</v>
          </cell>
          <cell r="S437">
            <v>-309.26</v>
          </cell>
          <cell r="T437">
            <v>-515.55999999999995</v>
          </cell>
          <cell r="U437">
            <v>-720.84999999999945</v>
          </cell>
          <cell r="V437">
            <v>-1334.5500000000002</v>
          </cell>
          <cell r="W437">
            <v>-1769.0399999999991</v>
          </cell>
          <cell r="X437">
            <v>-2306.9800000000014</v>
          </cell>
          <cell r="Y437">
            <v>-2446.1499999999996</v>
          </cell>
          <cell r="Z437">
            <v>-1833.9199999999983</v>
          </cell>
          <cell r="AA437">
            <v>-1944.33</v>
          </cell>
          <cell r="AB437">
            <v>-2420.2099999999991</v>
          </cell>
          <cell r="AC437">
            <v>-2126.239999999998</v>
          </cell>
          <cell r="AD437">
            <v>-1934.0200000000004</v>
          </cell>
          <cell r="AE437">
            <v>-2156.7700000000004</v>
          </cell>
          <cell r="AF437">
            <v>-2239.5400000000009</v>
          </cell>
          <cell r="AG437">
            <v>-2384.0600000000013</v>
          </cell>
          <cell r="AH437">
            <v>-3589.9500000000007</v>
          </cell>
          <cell r="AI437">
            <v>-3619.6899999999951</v>
          </cell>
          <cell r="AJ437">
            <v>-3702.1699999999983</v>
          </cell>
          <cell r="AK437">
            <v>-3463.3000000000029</v>
          </cell>
          <cell r="AL437">
            <v>-2356.2199999999975</v>
          </cell>
          <cell r="AM437">
            <v>-2241.0199999999968</v>
          </cell>
          <cell r="AN437">
            <v>-2039.4599999999991</v>
          </cell>
        </row>
        <row r="439">
          <cell r="Q439">
            <v>-3.6199999999999974</v>
          </cell>
          <cell r="R439">
            <v>-139.03999999999996</v>
          </cell>
          <cell r="S439">
            <v>-329.15999999999985</v>
          </cell>
          <cell r="T439">
            <v>-509.73000000000047</v>
          </cell>
          <cell r="U439">
            <v>-780.57000000000062</v>
          </cell>
          <cell r="V439">
            <v>-1342.9899999999998</v>
          </cell>
          <cell r="W439">
            <v>-2306.1900000000023</v>
          </cell>
          <cell r="X439">
            <v>-3080.489999999998</v>
          </cell>
          <cell r="Y439">
            <v>-3427.7099999999991</v>
          </cell>
          <cell r="Z439">
            <v>-3507.8899999999994</v>
          </cell>
          <cell r="AA439">
            <v>-3799.9599999999991</v>
          </cell>
          <cell r="AB439">
            <v>-4648.1300000000047</v>
          </cell>
          <cell r="AC439">
            <v>-2158.9800000000032</v>
          </cell>
          <cell r="AD439">
            <v>-2065.2000000000044</v>
          </cell>
          <cell r="AE439">
            <v>-2305.9499999999971</v>
          </cell>
          <cell r="AF439">
            <v>-2169.6299999999974</v>
          </cell>
          <cell r="AG439">
            <v>-2406.0200000000041</v>
          </cell>
          <cell r="AH439">
            <v>-2692.2900000000009</v>
          </cell>
          <cell r="AI439">
            <v>-2661.8899999999994</v>
          </cell>
          <cell r="AJ439">
            <v>-2747.4799999999959</v>
          </cell>
          <cell r="AK439">
            <v>-2588.080000000009</v>
          </cell>
          <cell r="AL439">
            <v>-2301.4199999999983</v>
          </cell>
          <cell r="AM439">
            <v>-2234.5</v>
          </cell>
          <cell r="AN439">
            <v>-2144.0300000000061</v>
          </cell>
        </row>
        <row r="440">
          <cell r="Q440">
            <v>0</v>
          </cell>
          <cell r="R440">
            <v>-0.6599999999999997</v>
          </cell>
          <cell r="S440">
            <v>-1.4800000000000004</v>
          </cell>
          <cell r="T440">
            <v>-8.9399999999999977</v>
          </cell>
          <cell r="U440">
            <v>-64.460000000000036</v>
          </cell>
          <cell r="V440">
            <v>-139.69000000000005</v>
          </cell>
          <cell r="W440">
            <v>-156.40000000000009</v>
          </cell>
          <cell r="X440">
            <v>-191.63999999999987</v>
          </cell>
          <cell r="Y440">
            <v>-213.69000000000005</v>
          </cell>
          <cell r="Z440">
            <v>-190.38999999999987</v>
          </cell>
          <cell r="AA440">
            <v>-198.24999999999977</v>
          </cell>
          <cell r="AB440">
            <v>-459.0600000000004</v>
          </cell>
          <cell r="AC440">
            <v>-362.24999999999909</v>
          </cell>
          <cell r="AD440">
            <v>-322.57999999999902</v>
          </cell>
          <cell r="AE440">
            <v>-359.64999999999964</v>
          </cell>
          <cell r="AF440">
            <v>-321.63000000000011</v>
          </cell>
          <cell r="AG440">
            <v>-354.65000000000055</v>
          </cell>
          <cell r="AH440">
            <v>-402.84999999999945</v>
          </cell>
          <cell r="AI440">
            <v>-409.61000000000058</v>
          </cell>
          <cell r="AJ440">
            <v>-417.38000000000011</v>
          </cell>
          <cell r="AK440">
            <v>-397.27999999999884</v>
          </cell>
          <cell r="AL440">
            <v>-336.59000000000015</v>
          </cell>
          <cell r="AM440">
            <v>-320.32999999999993</v>
          </cell>
          <cell r="AN440">
            <v>-344.88000000000011</v>
          </cell>
        </row>
      </sheetData>
      <sheetData sheetId="6">
        <row r="55">
          <cell r="O55">
            <v>-4.3899999999999997</v>
          </cell>
          <cell r="P55">
            <v>-14.16</v>
          </cell>
          <cell r="Q55">
            <v>-13.34</v>
          </cell>
          <cell r="R55">
            <v>-27.74</v>
          </cell>
          <cell r="S55">
            <v>-46.27</v>
          </cell>
          <cell r="T55">
            <v>-73.83</v>
          </cell>
          <cell r="U55">
            <v>-121.78</v>
          </cell>
          <cell r="V55">
            <v>-192.53</v>
          </cell>
          <cell r="W55">
            <v>-273.61</v>
          </cell>
          <cell r="X55">
            <v>-369.74</v>
          </cell>
          <cell r="Y55">
            <v>-473.02</v>
          </cell>
          <cell r="Z55">
            <v>-589.34</v>
          </cell>
          <cell r="AA55">
            <v>-876.02</v>
          </cell>
          <cell r="AB55">
            <v>-887.48</v>
          </cell>
          <cell r="AC55">
            <v>-927.54</v>
          </cell>
          <cell r="AD55">
            <v>-148.76</v>
          </cell>
          <cell r="AE55">
            <v>-176.92</v>
          </cell>
          <cell r="AF55">
            <v>-213.4</v>
          </cell>
          <cell r="AG55">
            <v>-291.57</v>
          </cell>
          <cell r="AH55">
            <v>-362.76</v>
          </cell>
          <cell r="AI55">
            <v>-433.39</v>
          </cell>
          <cell r="AJ55">
            <v>-501.69</v>
          </cell>
          <cell r="AK55">
            <v>-574.44000000000005</v>
          </cell>
          <cell r="AL55">
            <v>-664.26</v>
          </cell>
        </row>
        <row r="56">
          <cell r="O56">
            <v>-0.02</v>
          </cell>
          <cell r="P56">
            <v>-0.13</v>
          </cell>
          <cell r="Q56">
            <v>-0.22</v>
          </cell>
          <cell r="R56">
            <v>-0.66</v>
          </cell>
          <cell r="S56">
            <v>-1.32</v>
          </cell>
          <cell r="T56">
            <v>-2.35</v>
          </cell>
          <cell r="U56">
            <v>-3.99</v>
          </cell>
          <cell r="V56">
            <v>-6.41</v>
          </cell>
          <cell r="W56">
            <v>-9.6199999999999992</v>
          </cell>
          <cell r="X56">
            <v>-13.74</v>
          </cell>
          <cell r="Y56">
            <v>-18.32</v>
          </cell>
          <cell r="Z56">
            <v>-23.77</v>
          </cell>
          <cell r="AA56">
            <v>-38.57</v>
          </cell>
          <cell r="AB56">
            <v>-43.95</v>
          </cell>
          <cell r="AC56">
            <v>-50.99</v>
          </cell>
          <cell r="AD56">
            <v>-9.01</v>
          </cell>
          <cell r="AE56">
            <v>-11.77</v>
          </cell>
          <cell r="AF56">
            <v>-15.73</v>
          </cell>
          <cell r="AG56">
            <v>-23.37</v>
          </cell>
          <cell r="AH56">
            <v>-30.82</v>
          </cell>
          <cell r="AI56">
            <v>-39.56</v>
          </cell>
          <cell r="AJ56">
            <v>-48.98</v>
          </cell>
          <cell r="AK56">
            <v>-59.01</v>
          </cell>
          <cell r="AL56">
            <v>-71.38</v>
          </cell>
        </row>
        <row r="58">
          <cell r="O58">
            <v>-0.01</v>
          </cell>
          <cell r="P58">
            <v>-0.18</v>
          </cell>
          <cell r="Q58">
            <v>-0.31</v>
          </cell>
          <cell r="R58">
            <v>-0.84</v>
          </cell>
          <cell r="S58">
            <v>-1.65</v>
          </cell>
          <cell r="T58">
            <v>-2.89</v>
          </cell>
          <cell r="U58">
            <v>-5.26</v>
          </cell>
          <cell r="V58">
            <v>-9.2100000000000009</v>
          </cell>
          <cell r="W58">
            <v>-14.33</v>
          </cell>
          <cell r="X58">
            <v>-21.46</v>
          </cell>
          <cell r="Y58">
            <v>-30.48</v>
          </cell>
          <cell r="Z58">
            <v>-41.58</v>
          </cell>
          <cell r="AA58">
            <v>-67.45</v>
          </cell>
          <cell r="AB58">
            <v>-74.510000000000005</v>
          </cell>
          <cell r="AC58">
            <v>-84.45</v>
          </cell>
          <cell r="AD58">
            <v>-14.57</v>
          </cell>
          <cell r="AE58">
            <v>-18.579999999999998</v>
          </cell>
          <cell r="AF58">
            <v>-23.95</v>
          </cell>
          <cell r="AG58">
            <v>-34.47</v>
          </cell>
          <cell r="AH58">
            <v>-44.79</v>
          </cell>
          <cell r="AI58">
            <v>-56.09</v>
          </cell>
          <cell r="AJ58">
            <v>-68.11</v>
          </cell>
          <cell r="AK58">
            <v>-81.510000000000005</v>
          </cell>
          <cell r="AL58">
            <v>-98.19</v>
          </cell>
        </row>
        <row r="59">
          <cell r="O59">
            <v>0</v>
          </cell>
          <cell r="P59">
            <v>0</v>
          </cell>
          <cell r="Q59">
            <v>0</v>
          </cell>
          <cell r="R59">
            <v>-0.01</v>
          </cell>
          <cell r="S59">
            <v>-7.0000000000000007E-2</v>
          </cell>
          <cell r="T59">
            <v>-0.23</v>
          </cell>
          <cell r="U59">
            <v>-0.48</v>
          </cell>
          <cell r="V59">
            <v>-0.85</v>
          </cell>
          <cell r="W59">
            <v>-1.32</v>
          </cell>
          <cell r="X59">
            <v>-1.92</v>
          </cell>
          <cell r="Y59">
            <v>-2.62</v>
          </cell>
          <cell r="Z59">
            <v>-3.62</v>
          </cell>
          <cell r="AA59">
            <v>-6.28</v>
          </cell>
          <cell r="AB59">
            <v>-7.41</v>
          </cell>
          <cell r="AC59">
            <v>-8.83</v>
          </cell>
          <cell r="AD59">
            <v>-1.58</v>
          </cell>
          <cell r="AE59">
            <v>-2.08</v>
          </cell>
          <cell r="AF59">
            <v>-2.78</v>
          </cell>
          <cell r="AG59">
            <v>-4.16</v>
          </cell>
          <cell r="AH59">
            <v>-5.58</v>
          </cell>
          <cell r="AI59">
            <v>-7.17</v>
          </cell>
          <cell r="AJ59">
            <v>-8.85</v>
          </cell>
          <cell r="AK59">
            <v>-10.69</v>
          </cell>
          <cell r="AL59">
            <v>-13</v>
          </cell>
        </row>
      </sheetData>
      <sheetData sheetId="7"/>
      <sheetData sheetId="8"/>
      <sheetData sheetId="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O Matrix @Meter"/>
      <sheetName val="PY3 Final EM&amp;V"/>
      <sheetName val="Tariff Table"/>
      <sheetName val="EMV Results"/>
    </sheetNames>
    <sheetDataSet>
      <sheetData sheetId="0">
        <row r="22">
          <cell r="AL22">
            <v>1831459.6889999998</v>
          </cell>
          <cell r="AP22">
            <v>286244.42</v>
          </cell>
          <cell r="AR22">
            <v>619125.67000000016</v>
          </cell>
          <cell r="AS22">
            <v>500775.76</v>
          </cell>
        </row>
      </sheetData>
      <sheetData sheetId="1"/>
      <sheetData sheetId="2"/>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
      <sheetName val="Program Descriptions"/>
      <sheetName val="Deemed TD Calc"/>
      <sheetName val="kW Savings"/>
      <sheetName val="Ex Post Gross TD Calc"/>
      <sheetName val="NTG TD Calc"/>
      <sheetName val="EO TD Carrying Costs"/>
      <sheetName val="Jnl Import"/>
      <sheetName val="EMV Results"/>
      <sheetName val="Summary"/>
      <sheetName val="Missouri West Cycle 3 PY3 EO TD"/>
    </sheetNames>
    <sheetDataSet>
      <sheetData sheetId="0"/>
      <sheetData sheetId="1"/>
      <sheetData sheetId="2"/>
      <sheetData sheetId="3"/>
      <sheetData sheetId="4">
        <row r="572">
          <cell r="AC572">
            <v>6493.8400000000111</v>
          </cell>
          <cell r="AD572">
            <v>6849.6500000000087</v>
          </cell>
          <cell r="AE572">
            <v>6015.9800000000105</v>
          </cell>
          <cell r="AF572">
            <v>5104.7399999999907</v>
          </cell>
          <cell r="AG572">
            <v>3719.1899999999878</v>
          </cell>
          <cell r="AH572">
            <v>6019.960000000021</v>
          </cell>
          <cell r="AI572">
            <v>1209.2000000000116</v>
          </cell>
          <cell r="AJ572">
            <v>-9874.2599999999802</v>
          </cell>
          <cell r="AK572">
            <v>-7988.9499999999825</v>
          </cell>
          <cell r="AL572">
            <v>-5297.3999999999942</v>
          </cell>
          <cell r="AM572">
            <v>-5700.6999999999971</v>
          </cell>
          <cell r="AN572">
            <v>-8591.2399999999907</v>
          </cell>
          <cell r="AO572">
            <v>-5704.68</v>
          </cell>
          <cell r="AP572">
            <v>-5274.1699999999983</v>
          </cell>
          <cell r="AQ572">
            <v>-5837.5199999999968</v>
          </cell>
          <cell r="AR572">
            <v>-5895.8900000000067</v>
          </cell>
          <cell r="AS572">
            <v>-6367.3000000000102</v>
          </cell>
          <cell r="AT572">
            <v>-11576.62999999999</v>
          </cell>
          <cell r="AU572">
            <v>-14362.579999999958</v>
          </cell>
          <cell r="AV572">
            <v>-13712.289999999994</v>
          </cell>
          <cell r="AW572">
            <v>-10830.559999999998</v>
          </cell>
          <cell r="AX572">
            <v>-6013.7399999999907</v>
          </cell>
          <cell r="AY572">
            <v>-6111.3700000000026</v>
          </cell>
          <cell r="AZ572">
            <v>-6212.9500000000116</v>
          </cell>
          <cell r="BA572">
            <v>-5509.0600000000049</v>
          </cell>
          <cell r="BB572">
            <v>-5196.4700000000012</v>
          </cell>
          <cell r="BC572">
            <v>-5761.2300000000032</v>
          </cell>
          <cell r="BD572">
            <v>-5818.4599999999991</v>
          </cell>
        </row>
        <row r="573">
          <cell r="AC573">
            <v>4.3700000000000045</v>
          </cell>
          <cell r="AD573">
            <v>-3.410000000000025</v>
          </cell>
          <cell r="AE573">
            <v>-55.590000000000032</v>
          </cell>
          <cell r="AF573">
            <v>-164.78999999999974</v>
          </cell>
          <cell r="AG573">
            <v>-313.63999999999987</v>
          </cell>
          <cell r="AH573">
            <v>-614.38000000000011</v>
          </cell>
          <cell r="AI573">
            <v>-1072.6800000000003</v>
          </cell>
          <cell r="AJ573">
            <v>-1272.58</v>
          </cell>
          <cell r="AK573">
            <v>-1062.159999999998</v>
          </cell>
          <cell r="AL573">
            <v>-914.53999999999905</v>
          </cell>
          <cell r="AM573">
            <v>-1057.58</v>
          </cell>
          <cell r="AN573">
            <v>-2070.0699999999997</v>
          </cell>
          <cell r="AO573">
            <v>-2215.4900000000052</v>
          </cell>
          <cell r="AP573">
            <v>-1903.8700000000026</v>
          </cell>
          <cell r="AQ573">
            <v>-2173.5999999999949</v>
          </cell>
          <cell r="AR573">
            <v>-2209.3600000000006</v>
          </cell>
          <cell r="AS573">
            <v>-2377.9399999999987</v>
          </cell>
          <cell r="AT573">
            <v>-3455.8600000000006</v>
          </cell>
          <cell r="AU573">
            <v>-5528.2500000000036</v>
          </cell>
          <cell r="AV573">
            <v>-5303.6399999999921</v>
          </cell>
          <cell r="AW573">
            <v>-3249.16</v>
          </cell>
          <cell r="AX573">
            <v>-2354.5200000000004</v>
          </cell>
          <cell r="AY573">
            <v>-2200.4599999999991</v>
          </cell>
          <cell r="AZ573">
            <v>-2162.7599999999984</v>
          </cell>
          <cell r="BA573">
            <v>-2550.5599999999977</v>
          </cell>
          <cell r="BB573">
            <v>-2253.3700000000026</v>
          </cell>
          <cell r="BC573">
            <v>-2574.3599999999969</v>
          </cell>
          <cell r="BD573">
            <v>-2616.6100000000006</v>
          </cell>
        </row>
        <row r="575">
          <cell r="AC575">
            <v>13.469999999999999</v>
          </cell>
          <cell r="AD575">
            <v>15.439999999999998</v>
          </cell>
          <cell r="AE575">
            <v>-39.599999999999909</v>
          </cell>
          <cell r="AF575">
            <v>-106.27999999999997</v>
          </cell>
          <cell r="AG575">
            <v>-150.38000000000011</v>
          </cell>
          <cell r="AH575">
            <v>-198.96000000000049</v>
          </cell>
          <cell r="AI575">
            <v>-254.47999999999911</v>
          </cell>
          <cell r="AJ575">
            <v>-355.24000000000069</v>
          </cell>
          <cell r="AK575">
            <v>-478.18999999999869</v>
          </cell>
          <cell r="AL575">
            <v>-604.14999999999782</v>
          </cell>
          <cell r="AM575">
            <v>-629.29000000000087</v>
          </cell>
          <cell r="AN575">
            <v>-1070.2099999999991</v>
          </cell>
          <cell r="AO575">
            <v>-906.93999999999869</v>
          </cell>
          <cell r="AP575">
            <v>-748.87000000000262</v>
          </cell>
          <cell r="AQ575">
            <v>-878.47999999999956</v>
          </cell>
          <cell r="AR575">
            <v>-886.39999999999782</v>
          </cell>
          <cell r="AS575">
            <v>-999.65999999999622</v>
          </cell>
          <cell r="AT575">
            <v>-1038.6200000000026</v>
          </cell>
          <cell r="AU575">
            <v>-972.76000000000568</v>
          </cell>
          <cell r="AV575">
            <v>-980.34999999999854</v>
          </cell>
          <cell r="AW575">
            <v>-905.97000000000116</v>
          </cell>
          <cell r="AX575">
            <v>-868.13999999999578</v>
          </cell>
          <cell r="AY575">
            <v>-870.45999999999913</v>
          </cell>
          <cell r="AZ575">
            <v>-818.42999999999665</v>
          </cell>
          <cell r="BA575">
            <v>-981.28999999999724</v>
          </cell>
          <cell r="BB575">
            <v>-903</v>
          </cell>
          <cell r="BC575">
            <v>-1060.7900000000045</v>
          </cell>
          <cell r="BD575">
            <v>-1070.4400000000023</v>
          </cell>
        </row>
        <row r="576">
          <cell r="AC576">
            <v>-1.1100000000000136</v>
          </cell>
          <cell r="AD576">
            <v>-0.23000000000001819</v>
          </cell>
          <cell r="AE576">
            <v>-1.9500000000000455</v>
          </cell>
          <cell r="AF576">
            <v>-0.91999999999995907</v>
          </cell>
          <cell r="AG576">
            <v>5.010000000000673</v>
          </cell>
          <cell r="AH576">
            <v>27.850000000000364</v>
          </cell>
          <cell r="AI576">
            <v>23.739999999999782</v>
          </cell>
          <cell r="AJ576">
            <v>41.479999999999563</v>
          </cell>
          <cell r="AK576">
            <v>49.009999999999309</v>
          </cell>
          <cell r="AL576">
            <v>-4.9700000000002547</v>
          </cell>
          <cell r="AM576">
            <v>6.9899999999997817</v>
          </cell>
          <cell r="AN576">
            <v>-237.47000000000116</v>
          </cell>
          <cell r="AO576">
            <v>-187.56999999999994</v>
          </cell>
          <cell r="AP576">
            <v>-88.1099999999999</v>
          </cell>
          <cell r="AQ576">
            <v>-83.019999999999982</v>
          </cell>
          <cell r="AR576">
            <v>-77.180000000000064</v>
          </cell>
          <cell r="AS576">
            <v>-95.2199999999998</v>
          </cell>
          <cell r="AT576">
            <v>-152.86999999999989</v>
          </cell>
          <cell r="AU576">
            <v>-145.6899999999996</v>
          </cell>
          <cell r="AV576">
            <v>-152.74999999999955</v>
          </cell>
          <cell r="AW576">
            <v>-146.66000000000031</v>
          </cell>
          <cell r="AX576">
            <v>-77.529999999999745</v>
          </cell>
          <cell r="AY576">
            <v>-78.879999999999882</v>
          </cell>
          <cell r="AZ576">
            <v>-93.8900000000001</v>
          </cell>
          <cell r="BA576">
            <v>-121.15999999999985</v>
          </cell>
          <cell r="BB576">
            <v>-110.2800000000002</v>
          </cell>
          <cell r="BC576">
            <v>-106.41999999999985</v>
          </cell>
          <cell r="BD576">
            <v>-99.630000000000109</v>
          </cell>
        </row>
      </sheetData>
      <sheetData sheetId="5">
        <row r="437">
          <cell r="AC437">
            <v>-144.7100000000064</v>
          </cell>
          <cell r="AD437">
            <v>-10.369999999995343</v>
          </cell>
          <cell r="AE437">
            <v>145.38999999999942</v>
          </cell>
          <cell r="AF437">
            <v>52.94999999999709</v>
          </cell>
          <cell r="AG437">
            <v>385.05000000000291</v>
          </cell>
          <cell r="AH437">
            <v>427.90999999997439</v>
          </cell>
          <cell r="AI437">
            <v>117.36999999999534</v>
          </cell>
          <cell r="AJ437">
            <v>-42.910000000003492</v>
          </cell>
          <cell r="AK437">
            <v>590.27999999999884</v>
          </cell>
          <cell r="AL437">
            <v>657.81999999999243</v>
          </cell>
          <cell r="AM437">
            <v>608.4600000000064</v>
          </cell>
          <cell r="AN437">
            <v>-1387.6100000000006</v>
          </cell>
          <cell r="AO437">
            <v>-1640.0500000000029</v>
          </cell>
          <cell r="AP437">
            <v>-1484.4700000000012</v>
          </cell>
          <cell r="AQ437">
            <v>-1512.1000000000058</v>
          </cell>
          <cell r="AR437">
            <v>-1528.0199999999968</v>
          </cell>
          <cell r="AS437">
            <v>-1603.2500000000073</v>
          </cell>
          <cell r="AT437">
            <v>-2102.2800000000134</v>
          </cell>
          <cell r="AU437">
            <v>-2169.3099999999977</v>
          </cell>
          <cell r="AV437">
            <v>-2222.390000000014</v>
          </cell>
          <cell r="AW437">
            <v>-2407.4300000000221</v>
          </cell>
          <cell r="AX437">
            <v>-1523.9500000000044</v>
          </cell>
          <cell r="AY437">
            <v>-1548.5500000000029</v>
          </cell>
          <cell r="AZ437">
            <v>-1792.2900000000081</v>
          </cell>
          <cell r="BA437">
            <v>0</v>
          </cell>
          <cell r="BB437">
            <v>0</v>
          </cell>
          <cell r="BC437">
            <v>-1.0000000002037268E-2</v>
          </cell>
          <cell r="BD437">
            <v>0</v>
          </cell>
        </row>
        <row r="438">
          <cell r="AC438">
            <v>-2.0300000000000011</v>
          </cell>
          <cell r="AD438">
            <v>-6.2599999999999909</v>
          </cell>
          <cell r="AE438">
            <v>-18.169999999999959</v>
          </cell>
          <cell r="AF438">
            <v>-41.3599999999999</v>
          </cell>
          <cell r="AG438">
            <v>-74.629999999999654</v>
          </cell>
          <cell r="AH438">
            <v>-138.0600000000004</v>
          </cell>
          <cell r="AI438">
            <v>-154.75</v>
          </cell>
          <cell r="AJ438">
            <v>-200.4900000000016</v>
          </cell>
          <cell r="AK438">
            <v>-228.19000000000233</v>
          </cell>
          <cell r="AL438">
            <v>-187.76000000000022</v>
          </cell>
          <cell r="AM438">
            <v>-222.46000000000095</v>
          </cell>
          <cell r="AN438">
            <v>-431.15999999999985</v>
          </cell>
          <cell r="AO438">
            <v>2920.8100000000013</v>
          </cell>
          <cell r="AP438">
            <v>2512.1999999999971</v>
          </cell>
          <cell r="AQ438">
            <v>2880.619999999999</v>
          </cell>
          <cell r="AR438">
            <v>2927.4000000000015</v>
          </cell>
          <cell r="AS438">
            <v>3149.8500000000022</v>
          </cell>
          <cell r="AT438">
            <v>4638.4500000000044</v>
          </cell>
          <cell r="AU438">
            <v>4633.7700000000077</v>
          </cell>
          <cell r="AV438">
            <v>4694.0199999999968</v>
          </cell>
          <cell r="AW438">
            <v>4370.0300000000025</v>
          </cell>
          <cell r="AX438">
            <v>3120.09</v>
          </cell>
          <cell r="AY438">
            <v>2922.75</v>
          </cell>
          <cell r="AZ438">
            <v>2858.5499999999993</v>
          </cell>
          <cell r="BA438">
            <v>0</v>
          </cell>
          <cell r="BB438">
            <v>-1.0000000002037268E-2</v>
          </cell>
          <cell r="BC438">
            <v>0</v>
          </cell>
          <cell r="BD438">
            <v>0</v>
          </cell>
        </row>
        <row r="440">
          <cell r="AC440">
            <v>0</v>
          </cell>
          <cell r="AD440">
            <v>-2.3599999999999852</v>
          </cell>
          <cell r="AE440">
            <v>-15.409999999999968</v>
          </cell>
          <cell r="AF440">
            <v>-30.590000000000146</v>
          </cell>
          <cell r="AG440">
            <v>-42.990000000000236</v>
          </cell>
          <cell r="AH440">
            <v>-63.339999999999236</v>
          </cell>
          <cell r="AI440">
            <v>-76.780000000000655</v>
          </cell>
          <cell r="AJ440">
            <v>-47.739999999999782</v>
          </cell>
          <cell r="AK440">
            <v>24.350000000000364</v>
          </cell>
          <cell r="AL440">
            <v>81.910000000003492</v>
          </cell>
          <cell r="AM440">
            <v>203.97000000000116</v>
          </cell>
          <cell r="AN440">
            <v>200.97999999999593</v>
          </cell>
          <cell r="AO440">
            <v>1335.9799999999959</v>
          </cell>
          <cell r="AP440">
            <v>1107.9500000000007</v>
          </cell>
          <cell r="AQ440">
            <v>1310.4499999999971</v>
          </cell>
          <cell r="AR440">
            <v>1322.9399999999987</v>
          </cell>
          <cell r="AS440">
            <v>1485.6399999999994</v>
          </cell>
          <cell r="AT440">
            <v>1647.6600000000035</v>
          </cell>
          <cell r="AU440">
            <v>1566.5299999999952</v>
          </cell>
          <cell r="AV440">
            <v>1576.4700000000012</v>
          </cell>
          <cell r="AW440">
            <v>1460.9900000000016</v>
          </cell>
          <cell r="AX440">
            <v>1304.0599999999977</v>
          </cell>
          <cell r="AY440">
            <v>1308.1799999999967</v>
          </cell>
          <cell r="AZ440">
            <v>1219.4799999999996</v>
          </cell>
          <cell r="BA440">
            <v>-1.0000000002037268E-2</v>
          </cell>
          <cell r="BB440">
            <v>9.9999999983992893E-3</v>
          </cell>
          <cell r="BC440">
            <v>0</v>
          </cell>
          <cell r="BD440">
            <v>-9.9999999983992893E-3</v>
          </cell>
        </row>
        <row r="441">
          <cell r="AC441">
            <v>-2.3100000000000023</v>
          </cell>
          <cell r="AD441">
            <v>-25.129999999999995</v>
          </cell>
          <cell r="AE441">
            <v>-52.590000000000032</v>
          </cell>
          <cell r="AF441">
            <v>-48.909999999999854</v>
          </cell>
          <cell r="AG441">
            <v>-9.5199999999999818</v>
          </cell>
          <cell r="AH441">
            <v>37.260000000000218</v>
          </cell>
          <cell r="AI441">
            <v>34.900000000000546</v>
          </cell>
          <cell r="AJ441">
            <v>35.260000000000218</v>
          </cell>
          <cell r="AK441">
            <v>33.880000000000109</v>
          </cell>
          <cell r="AL441">
            <v>27.329999999999927</v>
          </cell>
          <cell r="AM441">
            <v>24.530000000000655</v>
          </cell>
          <cell r="AN441">
            <v>-24.399999999998727</v>
          </cell>
          <cell r="AO441">
            <v>292.63999999999965</v>
          </cell>
          <cell r="AP441">
            <v>159.39999999999986</v>
          </cell>
          <cell r="AQ441">
            <v>168.27000000000021</v>
          </cell>
          <cell r="AR441">
            <v>161.3599999999999</v>
          </cell>
          <cell r="AS441">
            <v>188.62999999999988</v>
          </cell>
          <cell r="AT441">
            <v>335.44999999999982</v>
          </cell>
          <cell r="AU441">
            <v>333.17000000000007</v>
          </cell>
          <cell r="AV441">
            <v>341.91999999999962</v>
          </cell>
          <cell r="AW441">
            <v>325.44000000000005</v>
          </cell>
          <cell r="AX441">
            <v>166.11999999999966</v>
          </cell>
          <cell r="AY441">
            <v>168.27999999999997</v>
          </cell>
          <cell r="AZ441">
            <v>176.41000000000008</v>
          </cell>
          <cell r="BA441">
            <v>-1.999999999998181E-2</v>
          </cell>
          <cell r="BB441">
            <v>0</v>
          </cell>
          <cell r="BC441">
            <v>0</v>
          </cell>
          <cell r="BD441">
            <v>0</v>
          </cell>
        </row>
      </sheetData>
      <sheetData sheetId="6">
        <row r="55">
          <cell r="AA55">
            <v>8.57</v>
          </cell>
          <cell r="AB55">
            <v>26.6</v>
          </cell>
          <cell r="AC55">
            <v>46.07</v>
          </cell>
          <cell r="AD55">
            <v>9.81</v>
          </cell>
          <cell r="AE55">
            <v>14.04</v>
          </cell>
          <cell r="AF55">
            <v>20.02</v>
          </cell>
          <cell r="AG55">
            <v>29.89</v>
          </cell>
          <cell r="AH55">
            <v>31.76</v>
          </cell>
          <cell r="AI55">
            <v>26.96</v>
          </cell>
          <cell r="AJ55">
            <v>22.86</v>
          </cell>
          <cell r="AK55">
            <v>18.57</v>
          </cell>
          <cell r="AL55">
            <v>8.06</v>
          </cell>
          <cell r="AM55">
            <v>-16.920000000000002</v>
          </cell>
          <cell r="AN55">
            <v>-46.3</v>
          </cell>
          <cell r="AO55">
            <v>-76.5</v>
          </cell>
          <cell r="AP55">
            <v>-110.57</v>
          </cell>
          <cell r="AQ55">
            <v>-145.94</v>
          </cell>
          <cell r="AR55">
            <v>-195.79</v>
          </cell>
          <cell r="AS55">
            <v>-265.38</v>
          </cell>
          <cell r="AT55">
            <v>-341.77</v>
          </cell>
          <cell r="AU55">
            <v>-411.3</v>
          </cell>
          <cell r="AV55">
            <v>-468.67</v>
          </cell>
          <cell r="AW55">
            <v>-506.43</v>
          </cell>
          <cell r="AX55">
            <v>-545.45000000000005</v>
          </cell>
          <cell r="AY55">
            <v>-600.34</v>
          </cell>
          <cell r="AZ55">
            <v>-622.5</v>
          </cell>
          <cell r="BA55">
            <v>-632.92999999999995</v>
          </cell>
          <cell r="BB55">
            <v>-673.52</v>
          </cell>
        </row>
        <row r="56">
          <cell r="AA56">
            <v>0</v>
          </cell>
          <cell r="AB56">
            <v>-0.01</v>
          </cell>
          <cell r="AC56">
            <v>-0.13</v>
          </cell>
          <cell r="AD56">
            <v>-0.08</v>
          </cell>
          <cell r="AE56">
            <v>-0.25</v>
          </cell>
          <cell r="AF56">
            <v>-0.66</v>
          </cell>
          <cell r="AG56">
            <v>-1.7</v>
          </cell>
          <cell r="AH56">
            <v>-3.42</v>
          </cell>
          <cell r="AI56">
            <v>-5.63</v>
          </cell>
          <cell r="AJ56">
            <v>-8.06</v>
          </cell>
          <cell r="AK56">
            <v>-11.01</v>
          </cell>
          <cell r="AL56">
            <v>-16.010000000000002</v>
          </cell>
          <cell r="AM56">
            <v>-41.12</v>
          </cell>
          <cell r="AN56">
            <v>-38.630000000000003</v>
          </cell>
          <cell r="AO56">
            <v>-36.340000000000003</v>
          </cell>
          <cell r="AP56">
            <v>-34.81</v>
          </cell>
          <cell r="AQ56">
            <v>-32.090000000000003</v>
          </cell>
          <cell r="AR56">
            <v>-28.19</v>
          </cell>
          <cell r="AS56">
            <v>-27.83</v>
          </cell>
          <cell r="AT56">
            <v>-31.54</v>
          </cell>
          <cell r="AU56">
            <v>-30.65</v>
          </cell>
          <cell r="AV56">
            <v>-27.38</v>
          </cell>
          <cell r="AW56">
            <v>-24.09</v>
          </cell>
          <cell r="AX56">
            <v>-20.93</v>
          </cell>
          <cell r="AY56">
            <v>-26.26</v>
          </cell>
          <cell r="AZ56">
            <v>-37.65</v>
          </cell>
          <cell r="BA56">
            <v>-48.04</v>
          </cell>
          <cell r="BB56">
            <v>-60.86</v>
          </cell>
        </row>
        <row r="58">
          <cell r="AA58">
            <v>0.02</v>
          </cell>
          <cell r="AB58">
            <v>0.05</v>
          </cell>
          <cell r="AC58">
            <v>0</v>
          </cell>
          <cell r="AD58">
            <v>-0.04</v>
          </cell>
          <cell r="AE58">
            <v>-0.14000000000000001</v>
          </cell>
          <cell r="AF58">
            <v>-0.31</v>
          </cell>
          <cell r="AG58">
            <v>-0.66</v>
          </cell>
          <cell r="AH58">
            <v>-1.1599999999999999</v>
          </cell>
          <cell r="AI58">
            <v>-1.87</v>
          </cell>
          <cell r="AJ58">
            <v>-2.8</v>
          </cell>
          <cell r="AK58">
            <v>-3.91</v>
          </cell>
          <cell r="AL58">
            <v>-5.64</v>
          </cell>
          <cell r="AM58">
            <v>-14.1</v>
          </cell>
          <cell r="AN58">
            <v>-12.54</v>
          </cell>
          <cell r="AO58">
            <v>-11.03</v>
          </cell>
          <cell r="AP58">
            <v>-9.65</v>
          </cell>
          <cell r="AQ58">
            <v>-7.78</v>
          </cell>
          <cell r="AR58">
            <v>-5.46</v>
          </cell>
          <cell r="AS58">
            <v>-2.83</v>
          </cell>
          <cell r="AT58">
            <v>-0.17</v>
          </cell>
          <cell r="AU58">
            <v>2.46</v>
          </cell>
          <cell r="AV58">
            <v>4.6500000000000004</v>
          </cell>
          <cell r="AW58">
            <v>6.69</v>
          </cell>
          <cell r="AX58">
            <v>8.67</v>
          </cell>
          <cell r="AY58">
            <v>7.62</v>
          </cell>
          <cell r="AZ58">
            <v>3.05</v>
          </cell>
          <cell r="BA58">
            <v>-1.63</v>
          </cell>
          <cell r="BB58">
            <v>-6.46</v>
          </cell>
        </row>
        <row r="59">
          <cell r="AA59">
            <v>0</v>
          </cell>
          <cell r="AB59">
            <v>-0.04</v>
          </cell>
          <cell r="AC59">
            <v>-0.16</v>
          </cell>
          <cell r="AD59">
            <v>-0.05</v>
          </cell>
          <cell r="AE59">
            <v>-7.0000000000000007E-2</v>
          </cell>
          <cell r="AF59">
            <v>-7.0000000000000007E-2</v>
          </cell>
          <cell r="AG59">
            <v>-0.04</v>
          </cell>
          <cell r="AH59">
            <v>0.02</v>
          </cell>
          <cell r="AI59">
            <v>0.12</v>
          </cell>
          <cell r="AJ59">
            <v>0.21</v>
          </cell>
          <cell r="AK59">
            <v>0.28000000000000003</v>
          </cell>
          <cell r="AL59">
            <v>0.12</v>
          </cell>
          <cell r="AM59">
            <v>-0.04</v>
          </cell>
          <cell r="AN59">
            <v>0.32</v>
          </cell>
          <cell r="AO59">
            <v>0.66</v>
          </cell>
          <cell r="AP59">
            <v>1.04</v>
          </cell>
          <cell r="AQ59">
            <v>1.45</v>
          </cell>
          <cell r="AR59">
            <v>2.08</v>
          </cell>
          <cell r="AS59">
            <v>2.93</v>
          </cell>
          <cell r="AT59">
            <v>3.81</v>
          </cell>
          <cell r="AU59">
            <v>4.6900000000000004</v>
          </cell>
          <cell r="AV59">
            <v>5.41</v>
          </cell>
          <cell r="AW59">
            <v>5.85</v>
          </cell>
          <cell r="AX59">
            <v>6.28</v>
          </cell>
          <cell r="AY59">
            <v>6.44</v>
          </cell>
          <cell r="AZ59">
            <v>5.85</v>
          </cell>
          <cell r="BA59">
            <v>5.19</v>
          </cell>
          <cell r="BB59">
            <v>4.8600000000000003</v>
          </cell>
        </row>
      </sheetData>
      <sheetData sheetId="7"/>
      <sheetData sheetId="8"/>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nthly Program Costs Ext"/>
    </sheetNames>
    <sheetDataSet>
      <sheetData sheetId="0">
        <row r="301">
          <cell r="BH301">
            <v>611108.2300000001</v>
          </cell>
          <cell r="BI301">
            <v>664614.79000000015</v>
          </cell>
          <cell r="BJ301">
            <v>720898.87000000011</v>
          </cell>
          <cell r="BK301">
            <v>761616.57000000018</v>
          </cell>
          <cell r="BL301">
            <v>701997.37000000011</v>
          </cell>
          <cell r="BM301">
            <v>652005.24000000011</v>
          </cell>
          <cell r="BN301">
            <v>561290.99</v>
          </cell>
          <cell r="BO301">
            <v>635808.45000000007</v>
          </cell>
          <cell r="BP301">
            <v>15074.57</v>
          </cell>
          <cell r="BQ301">
            <v>15074.57</v>
          </cell>
          <cell r="BR301">
            <v>15074.57</v>
          </cell>
          <cell r="BS301">
            <v>15074.57</v>
          </cell>
          <cell r="BT301">
            <v>15074.57</v>
          </cell>
          <cell r="BU301">
            <v>15074.57</v>
          </cell>
        </row>
        <row r="302">
          <cell r="BH302">
            <v>174896.28</v>
          </cell>
          <cell r="BI302">
            <v>123028.72</v>
          </cell>
          <cell r="BJ302">
            <v>132165.56999999998</v>
          </cell>
          <cell r="BK302">
            <v>140084.32999999999</v>
          </cell>
          <cell r="BL302">
            <v>150654.66999999998</v>
          </cell>
          <cell r="BM302">
            <v>151726.04999999999</v>
          </cell>
          <cell r="BN302">
            <v>156493.31</v>
          </cell>
          <cell r="BO302">
            <v>187979.15000000002</v>
          </cell>
          <cell r="BP302">
            <v>6009.44</v>
          </cell>
          <cell r="BQ302">
            <v>6009.44</v>
          </cell>
          <cell r="BR302">
            <v>6009.44</v>
          </cell>
          <cell r="BS302">
            <v>6009.44</v>
          </cell>
          <cell r="BT302">
            <v>6009.44</v>
          </cell>
          <cell r="BU302">
            <v>6009.44</v>
          </cell>
        </row>
        <row r="304">
          <cell r="BH304">
            <v>215300.82</v>
          </cell>
          <cell r="BI304">
            <v>140097.89000000001</v>
          </cell>
          <cell r="BJ304">
            <v>138287.85</v>
          </cell>
          <cell r="BK304">
            <v>145499.31</v>
          </cell>
          <cell r="BL304">
            <v>166613.42000000001</v>
          </cell>
          <cell r="BM304">
            <v>155607.18</v>
          </cell>
          <cell r="BN304">
            <v>160182.74000000002</v>
          </cell>
          <cell r="BO304">
            <v>201396.27</v>
          </cell>
          <cell r="BP304">
            <v>6757.5700000000006</v>
          </cell>
          <cell r="BQ304">
            <v>6757.5700000000006</v>
          </cell>
          <cell r="BR304">
            <v>6757.5700000000006</v>
          </cell>
          <cell r="BS304">
            <v>6757.5700000000006</v>
          </cell>
          <cell r="BT304">
            <v>6757.5700000000006</v>
          </cell>
          <cell r="BU304">
            <v>6757.5700000000006</v>
          </cell>
        </row>
        <row r="305">
          <cell r="BH305">
            <v>246611.58</v>
          </cell>
          <cell r="BI305">
            <v>144018.67999999996</v>
          </cell>
          <cell r="BJ305">
            <v>123021.4</v>
          </cell>
          <cell r="BK305">
            <v>127605.29000000001</v>
          </cell>
          <cell r="BL305">
            <v>163531.62</v>
          </cell>
          <cell r="BM305">
            <v>133062.43</v>
          </cell>
          <cell r="BN305">
            <v>136429.40000000002</v>
          </cell>
          <cell r="BO305">
            <v>187192.78999999998</v>
          </cell>
          <cell r="BP305">
            <v>6812.5899999999992</v>
          </cell>
          <cell r="BQ305">
            <v>6812.5899999999992</v>
          </cell>
          <cell r="BR305">
            <v>6812.5899999999992</v>
          </cell>
          <cell r="BS305">
            <v>6812.5899999999992</v>
          </cell>
          <cell r="BT305">
            <v>6812.5899999999992</v>
          </cell>
          <cell r="BU305">
            <v>6812.5899999999992</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E EO Summary"/>
      <sheetName val="PY4 2023 EO"/>
      <sheetName val="Small Business"/>
      <sheetName val="Summary- Custom"/>
      <sheetName val="Summary- Std"/>
      <sheetName val="MEEIA 3 PY4 Bus Cust Std"/>
      <sheetName val="MEEIA 3 PY4 by month"/>
      <sheetName val="MEEIA 3 PY4"/>
      <sheetName val="Intake Form Summary"/>
      <sheetName val="Energy Audit Summary"/>
      <sheetName val="RDR Events"/>
      <sheetName val="MEEIA 3"/>
      <sheetName val="MEEIA 3 PY3"/>
      <sheetName val="SI Projects YTD data"/>
      <sheetName val="Instructions"/>
    </sheetNames>
    <sheetDataSet>
      <sheetData sheetId="0"/>
      <sheetData sheetId="1">
        <row r="116">
          <cell r="E116">
            <v>1409245.8</v>
          </cell>
        </row>
        <row r="117">
          <cell r="E117">
            <v>366668.97000000003</v>
          </cell>
        </row>
        <row r="119">
          <cell r="E119">
            <v>351922.98000000004</v>
          </cell>
        </row>
        <row r="120">
          <cell r="E120">
            <v>258967.71000000002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
      <sheetName val="Monthly TD Calc"/>
    </sheetNames>
    <sheetDataSet>
      <sheetData sheetId="0"/>
      <sheetData sheetId="1">
        <row r="44">
          <cell r="CZ44">
            <v>0.39209287804949344</v>
          </cell>
          <cell r="DB44">
            <v>0.45435908608374953</v>
          </cell>
          <cell r="DC44">
            <v>0.15354803586675725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uary 2020"/>
      <sheetName val="February 2020"/>
      <sheetName val="March 2020"/>
      <sheetName val="April 2020"/>
      <sheetName val="May 2020"/>
      <sheetName val="June 2020"/>
      <sheetName val="July 2020"/>
      <sheetName val="Aug 2020"/>
      <sheetName val="Sept 2020"/>
      <sheetName val="Oct 2020"/>
      <sheetName val="Nov 2020"/>
      <sheetName val="Dec 2020"/>
      <sheetName val="Jan 2021"/>
      <sheetName val="Feb 2021"/>
      <sheetName val="Aug 2021"/>
      <sheetName val="Mar 2021"/>
      <sheetName val="Apr 2021"/>
      <sheetName val="May 2021"/>
      <sheetName val="Jun 2021"/>
      <sheetName val="Jul 2021"/>
      <sheetName val="Sep 2021"/>
      <sheetName val="Oct 2021"/>
      <sheetName val="Nov 2021"/>
      <sheetName val="Dec 2021"/>
      <sheetName val="Jan 2022"/>
      <sheetName val="Feb 2022"/>
      <sheetName val="Mar 2022"/>
      <sheetName val="Apr 2022"/>
      <sheetName val="May 2022"/>
      <sheetName val="Jun 2022"/>
      <sheetName val="Jul 2022"/>
      <sheetName val="Aug 2022"/>
      <sheetName val="Sep 2022"/>
      <sheetName val="Oct 2022"/>
      <sheetName val="Nov 2022"/>
      <sheetName val="Dec 2022"/>
      <sheetName val="Jan 2023"/>
      <sheetName val="Feb 2023"/>
      <sheetName val="Mar 2023"/>
      <sheetName val="Apr 2023"/>
      <sheetName val="May 2023"/>
      <sheetName val="May 2023 new format"/>
      <sheetName val="June 2023"/>
      <sheetName val="July 2023"/>
      <sheetName val="August 2023"/>
      <sheetName val="September 2023"/>
      <sheetName val="October 2023"/>
      <sheetName val="November 2023"/>
      <sheetName val="December 2023"/>
      <sheetName val="January 2024"/>
      <sheetName val="February 2024"/>
      <sheetName val="March 2024"/>
      <sheetName val="April 20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36">
          <cell r="G36">
            <v>0</v>
          </cell>
        </row>
        <row r="37">
          <cell r="G37">
            <v>30.88</v>
          </cell>
        </row>
        <row r="38">
          <cell r="G38">
            <v>29.58</v>
          </cell>
        </row>
        <row r="39">
          <cell r="G39">
            <v>12.31</v>
          </cell>
        </row>
        <row r="44">
          <cell r="G44">
            <v>0</v>
          </cell>
        </row>
        <row r="45">
          <cell r="G45">
            <v>-978.91</v>
          </cell>
        </row>
        <row r="46">
          <cell r="G46">
            <v>-2542.0700000000002</v>
          </cell>
        </row>
        <row r="47">
          <cell r="G47">
            <v>-586.47</v>
          </cell>
        </row>
        <row r="52">
          <cell r="G52">
            <v>34319.199999999997</v>
          </cell>
        </row>
        <row r="53">
          <cell r="G53">
            <v>13783.5</v>
          </cell>
        </row>
        <row r="54">
          <cell r="G54">
            <v>14429.75</v>
          </cell>
        </row>
        <row r="55">
          <cell r="G55">
            <v>5298.0599999999995</v>
          </cell>
        </row>
        <row r="60">
          <cell r="G60">
            <v>-2145.27</v>
          </cell>
        </row>
        <row r="64">
          <cell r="G64">
            <v>0</v>
          </cell>
        </row>
        <row r="68">
          <cell r="G68">
            <v>-2145.94</v>
          </cell>
        </row>
        <row r="69">
          <cell r="G69">
            <v>4918.5089642650601</v>
          </cell>
        </row>
        <row r="70">
          <cell r="G70">
            <v>5087.0354790665824</v>
          </cell>
        </row>
        <row r="71">
          <cell r="G71">
            <v>2351.8955566683576</v>
          </cell>
        </row>
        <row r="76">
          <cell r="G76">
            <v>351721.69</v>
          </cell>
        </row>
        <row r="77">
          <cell r="G77">
            <v>187104.34</v>
          </cell>
        </row>
        <row r="78">
          <cell r="G78">
            <v>173291.08</v>
          </cell>
        </row>
        <row r="79">
          <cell r="G79">
            <v>131959.20000000001</v>
          </cell>
        </row>
        <row r="83">
          <cell r="G83">
            <v>-68612.92</v>
          </cell>
        </row>
        <row r="84">
          <cell r="G84">
            <v>-63005.88</v>
          </cell>
        </row>
        <row r="85">
          <cell r="G85">
            <v>-23785.05</v>
          </cell>
        </row>
        <row r="86">
          <cell r="G86">
            <v>-63034.080000000002</v>
          </cell>
        </row>
        <row r="90">
          <cell r="G90">
            <v>77204.740000000005</v>
          </cell>
        </row>
        <row r="91">
          <cell r="G91">
            <v>14777.71</v>
          </cell>
        </row>
        <row r="92">
          <cell r="G92">
            <v>28881.85</v>
          </cell>
        </row>
        <row r="93">
          <cell r="G93">
            <v>1178.21</v>
          </cell>
        </row>
        <row r="97">
          <cell r="G97">
            <v>-15010.68</v>
          </cell>
        </row>
        <row r="98">
          <cell r="G98">
            <v>0</v>
          </cell>
        </row>
        <row r="99">
          <cell r="G99">
            <v>0</v>
          </cell>
        </row>
        <row r="100">
          <cell r="G100">
            <v>0</v>
          </cell>
        </row>
        <row r="104">
          <cell r="G104">
            <v>105064.53</v>
          </cell>
        </row>
        <row r="105">
          <cell r="G105">
            <v>19691.849999999999</v>
          </cell>
        </row>
        <row r="106">
          <cell r="G106">
            <v>39924.910000000003</v>
          </cell>
        </row>
        <row r="107">
          <cell r="G107">
            <v>18262.21</v>
          </cell>
        </row>
        <row r="127">
          <cell r="G127">
            <v>214439019.55129999</v>
          </cell>
        </row>
        <row r="128">
          <cell r="G128">
            <v>98464291.684200004</v>
          </cell>
        </row>
        <row r="129">
          <cell r="G129">
            <v>84946609.685899988</v>
          </cell>
        </row>
        <row r="130">
          <cell r="G130">
            <v>58910356.43379999</v>
          </cell>
        </row>
      </sheetData>
      <sheetData sheetId="48">
        <row r="36">
          <cell r="G36">
            <v>0</v>
          </cell>
        </row>
        <row r="37">
          <cell r="G37">
            <v>26</v>
          </cell>
        </row>
        <row r="38">
          <cell r="G38">
            <v>28.630000000000003</v>
          </cell>
        </row>
        <row r="39">
          <cell r="G39">
            <v>10.1</v>
          </cell>
        </row>
        <row r="44">
          <cell r="G44">
            <v>0</v>
          </cell>
        </row>
        <row r="45">
          <cell r="G45">
            <v>-935.66</v>
          </cell>
        </row>
        <row r="46">
          <cell r="G46">
            <v>-2845.13</v>
          </cell>
        </row>
        <row r="47">
          <cell r="G47">
            <v>-576.03</v>
          </cell>
        </row>
        <row r="52">
          <cell r="G52">
            <v>45746.99</v>
          </cell>
        </row>
        <row r="53">
          <cell r="G53">
            <v>13992.95</v>
          </cell>
        </row>
        <row r="54">
          <cell r="G54">
            <v>16432.120000000003</v>
          </cell>
        </row>
        <row r="55">
          <cell r="G55">
            <v>5201.09</v>
          </cell>
        </row>
        <row r="60">
          <cell r="G60">
            <v>-2859.23</v>
          </cell>
        </row>
        <row r="64">
          <cell r="G64">
            <v>0</v>
          </cell>
        </row>
        <row r="68">
          <cell r="G68">
            <v>-2859.27</v>
          </cell>
        </row>
        <row r="69">
          <cell r="G69">
            <v>4788.7138252837985</v>
          </cell>
        </row>
        <row r="70">
          <cell r="G70">
            <v>6051.7786376604472</v>
          </cell>
        </row>
        <row r="71">
          <cell r="G71">
            <v>2309.4875370557543</v>
          </cell>
        </row>
        <row r="76">
          <cell r="G76">
            <v>468893.77</v>
          </cell>
        </row>
        <row r="77">
          <cell r="G77">
            <v>192843.16</v>
          </cell>
        </row>
        <row r="78">
          <cell r="G78">
            <v>197915.24</v>
          </cell>
        </row>
        <row r="79">
          <cell r="G79">
            <v>129515.17</v>
          </cell>
        </row>
        <row r="83">
          <cell r="G83">
            <v>-91491.31</v>
          </cell>
        </row>
        <row r="84">
          <cell r="G84">
            <v>-66208.009999999995</v>
          </cell>
        </row>
        <row r="85">
          <cell r="G85">
            <v>-24867.62</v>
          </cell>
        </row>
        <row r="86">
          <cell r="G86">
            <v>-61866.62</v>
          </cell>
        </row>
        <row r="90">
          <cell r="G90">
            <v>102927.87</v>
          </cell>
        </row>
        <row r="91">
          <cell r="G91">
            <v>14296.01</v>
          </cell>
        </row>
        <row r="92">
          <cell r="G92">
            <v>33006.19</v>
          </cell>
        </row>
        <row r="93">
          <cell r="G93">
            <v>1156.3900000000001</v>
          </cell>
        </row>
        <row r="97">
          <cell r="G97">
            <v>-20013.75</v>
          </cell>
        </row>
        <row r="98">
          <cell r="G98">
            <v>0</v>
          </cell>
        </row>
        <row r="99">
          <cell r="G99">
            <v>0</v>
          </cell>
        </row>
        <row r="100">
          <cell r="G100">
            <v>0</v>
          </cell>
        </row>
        <row r="104">
          <cell r="G104">
            <v>140096.07999999999</v>
          </cell>
        </row>
        <row r="105">
          <cell r="G105">
            <v>20945.75</v>
          </cell>
        </row>
        <row r="106">
          <cell r="G106">
            <v>43078.18</v>
          </cell>
        </row>
        <row r="107">
          <cell r="G107">
            <v>17923.97</v>
          </cell>
        </row>
        <row r="127">
          <cell r="G127">
            <v>285910598.36810005</v>
          </cell>
        </row>
        <row r="128">
          <cell r="G128">
            <v>102673084.82850002</v>
          </cell>
        </row>
        <row r="129">
          <cell r="G129">
            <v>94564650.44600004</v>
          </cell>
        </row>
        <row r="130">
          <cell r="G130">
            <v>57819272.887599997</v>
          </cell>
        </row>
      </sheetData>
      <sheetData sheetId="49">
        <row r="36">
          <cell r="G36">
            <v>0</v>
          </cell>
        </row>
        <row r="37">
          <cell r="G37">
            <v>692.04</v>
          </cell>
        </row>
        <row r="38">
          <cell r="G38">
            <v>4.37</v>
          </cell>
        </row>
        <row r="39">
          <cell r="G39">
            <v>1.93</v>
          </cell>
        </row>
        <row r="44">
          <cell r="G44">
            <v>0</v>
          </cell>
        </row>
        <row r="45">
          <cell r="G45">
            <v>-1163.1500000000001</v>
          </cell>
        </row>
        <row r="46">
          <cell r="G46">
            <v>-2758.14</v>
          </cell>
        </row>
        <row r="47">
          <cell r="G47">
            <v>-680.7</v>
          </cell>
        </row>
        <row r="52">
          <cell r="G52">
            <v>60391.45</v>
          </cell>
        </row>
        <row r="53">
          <cell r="G53">
            <v>18012.764505101619</v>
          </cell>
        </row>
        <row r="54">
          <cell r="G54">
            <v>15361.130085857589</v>
          </cell>
        </row>
        <row r="55">
          <cell r="G55">
            <v>5846.2654090407941</v>
          </cell>
        </row>
        <row r="60">
          <cell r="G60">
            <v>-3775.02</v>
          </cell>
        </row>
        <row r="64">
          <cell r="G64">
            <v>0</v>
          </cell>
        </row>
        <row r="68">
          <cell r="G68">
            <v>-3775.9199999999996</v>
          </cell>
        </row>
        <row r="69">
          <cell r="G69">
            <v>6614.2899408856647</v>
          </cell>
        </row>
        <row r="70">
          <cell r="G70">
            <v>5185.2784625023223</v>
          </cell>
        </row>
        <row r="71">
          <cell r="G71">
            <v>2700.6015966120121</v>
          </cell>
        </row>
        <row r="76">
          <cell r="G76">
            <v>619140.94000000006</v>
          </cell>
        </row>
        <row r="77">
          <cell r="G77">
            <v>238423.54</v>
          </cell>
        </row>
        <row r="78">
          <cell r="G78">
            <v>183850.42</v>
          </cell>
        </row>
        <row r="79">
          <cell r="G79">
            <v>144553.07</v>
          </cell>
        </row>
        <row r="83">
          <cell r="G83">
            <v>-120759.06</v>
          </cell>
        </row>
        <row r="84">
          <cell r="G84">
            <v>-79822</v>
          </cell>
        </row>
        <row r="85">
          <cell r="G85">
            <v>-27416.05</v>
          </cell>
        </row>
        <row r="86">
          <cell r="G86">
            <v>-67400.710000000006</v>
          </cell>
        </row>
        <row r="90">
          <cell r="G90">
            <v>135899.73000000001</v>
          </cell>
        </row>
        <row r="91">
          <cell r="G91">
            <v>18951.29</v>
          </cell>
        </row>
        <row r="92">
          <cell r="G92">
            <v>30627.69</v>
          </cell>
        </row>
        <row r="93">
          <cell r="G93">
            <v>1795.41</v>
          </cell>
        </row>
        <row r="97">
          <cell r="G97">
            <v>-26420.51</v>
          </cell>
        </row>
        <row r="98">
          <cell r="G98">
            <v>0</v>
          </cell>
        </row>
        <row r="99">
          <cell r="G99">
            <v>0</v>
          </cell>
        </row>
        <row r="100">
          <cell r="G100">
            <v>0</v>
          </cell>
        </row>
        <row r="104">
          <cell r="G104">
            <v>184989.42</v>
          </cell>
        </row>
        <row r="105">
          <cell r="G105">
            <v>25038.29</v>
          </cell>
        </row>
        <row r="106">
          <cell r="G106">
            <v>44737.58</v>
          </cell>
        </row>
        <row r="107">
          <cell r="G107">
            <v>19011.98</v>
          </cell>
        </row>
        <row r="127">
          <cell r="G127">
            <v>377487149.65493757</v>
          </cell>
        </row>
        <row r="128">
          <cell r="G128">
            <v>125278586.1734333</v>
          </cell>
        </row>
        <row r="129">
          <cell r="G129">
            <v>92446325.537999988</v>
          </cell>
        </row>
        <row r="130">
          <cell r="G130">
            <v>63865180.119799994</v>
          </cell>
        </row>
      </sheetData>
      <sheetData sheetId="50">
        <row r="36">
          <cell r="G36">
            <v>0</v>
          </cell>
        </row>
        <row r="37">
          <cell r="G37">
            <v>198.01999999999998</v>
          </cell>
        </row>
        <row r="38">
          <cell r="G38">
            <v>35.58</v>
          </cell>
        </row>
        <row r="39">
          <cell r="G39">
            <v>13.22</v>
          </cell>
        </row>
        <row r="44">
          <cell r="G44">
            <v>0</v>
          </cell>
        </row>
        <row r="45">
          <cell r="G45">
            <v>-1149.42</v>
          </cell>
        </row>
        <row r="46">
          <cell r="G46">
            <v>-898.03</v>
          </cell>
        </row>
        <row r="47">
          <cell r="G47">
            <v>-31.76</v>
          </cell>
        </row>
        <row r="52">
          <cell r="G52">
            <v>24466.59</v>
          </cell>
        </row>
        <row r="53">
          <cell r="G53">
            <v>8356.6311320951081</v>
          </cell>
        </row>
        <row r="54">
          <cell r="G54">
            <v>8129.3843645598336</v>
          </cell>
        </row>
        <row r="55">
          <cell r="G55">
            <v>2495.4745033450586</v>
          </cell>
        </row>
        <row r="60">
          <cell r="G60">
            <v>-3494.7599999999998</v>
          </cell>
        </row>
        <row r="64">
          <cell r="G64">
            <v>0</v>
          </cell>
        </row>
        <row r="68">
          <cell r="G68">
            <v>-6989.13</v>
          </cell>
        </row>
        <row r="69">
          <cell r="G69">
            <v>3612.9000449683413</v>
          </cell>
        </row>
        <row r="70">
          <cell r="G70">
            <v>2706.3371696894355</v>
          </cell>
        </row>
        <row r="71">
          <cell r="G71">
            <v>1228.742785342223</v>
          </cell>
        </row>
        <row r="76">
          <cell r="G76">
            <v>821192.37</v>
          </cell>
        </row>
        <row r="77">
          <cell r="G77">
            <v>234612.22</v>
          </cell>
        </row>
        <row r="78">
          <cell r="G78">
            <v>269605.83</v>
          </cell>
        </row>
        <row r="79">
          <cell r="G79">
            <v>143405.70000000001</v>
          </cell>
        </row>
        <row r="83">
          <cell r="G83">
            <v>34928.020000000004</v>
          </cell>
        </row>
        <row r="84">
          <cell r="G84">
            <v>-31749.79</v>
          </cell>
        </row>
        <row r="85">
          <cell r="G85">
            <v>45235.88</v>
          </cell>
        </row>
        <row r="86">
          <cell r="G86">
            <v>-44178.1</v>
          </cell>
        </row>
        <row r="90">
          <cell r="G90">
            <v>143275.72</v>
          </cell>
        </row>
        <row r="91">
          <cell r="G91">
            <v>36575.120000000003</v>
          </cell>
        </row>
        <row r="92">
          <cell r="G92">
            <v>36188.699999999997</v>
          </cell>
        </row>
        <row r="93">
          <cell r="G93">
            <v>2257.2600000000002</v>
          </cell>
        </row>
        <row r="97">
          <cell r="G97">
            <v>-10485.98</v>
          </cell>
        </row>
        <row r="98">
          <cell r="G98">
            <v>0</v>
          </cell>
        </row>
        <row r="99">
          <cell r="G99">
            <v>0</v>
          </cell>
        </row>
        <row r="100">
          <cell r="G100">
            <v>0</v>
          </cell>
        </row>
        <row r="104">
          <cell r="G104">
            <v>251594.51</v>
          </cell>
        </row>
        <row r="105">
          <cell r="G105">
            <v>36510.949999999997</v>
          </cell>
        </row>
        <row r="106">
          <cell r="G106">
            <v>68758.53</v>
          </cell>
        </row>
        <row r="107">
          <cell r="G107">
            <v>44287.28</v>
          </cell>
        </row>
        <row r="127">
          <cell r="G127">
            <v>349456271.71650004</v>
          </cell>
        </row>
        <row r="128">
          <cell r="G128">
            <v>117839943.96579999</v>
          </cell>
        </row>
        <row r="129">
          <cell r="G129">
            <v>90471754.013600007</v>
          </cell>
        </row>
        <row r="130">
          <cell r="G130">
            <v>58159262.787600003</v>
          </cell>
        </row>
      </sheetData>
      <sheetData sheetId="51">
        <row r="36">
          <cell r="G36">
            <v>0</v>
          </cell>
        </row>
        <row r="37">
          <cell r="G37">
            <v>-124.29</v>
          </cell>
        </row>
        <row r="38">
          <cell r="G38">
            <v>38.67</v>
          </cell>
        </row>
        <row r="39">
          <cell r="G39">
            <v>13.58</v>
          </cell>
        </row>
        <row r="44">
          <cell r="G44">
            <v>0</v>
          </cell>
        </row>
        <row r="45">
          <cell r="G45">
            <v>-985.63</v>
          </cell>
        </row>
        <row r="46">
          <cell r="G46">
            <v>-842.42</v>
          </cell>
        </row>
        <row r="47">
          <cell r="G47">
            <v>6.56</v>
          </cell>
        </row>
        <row r="52">
          <cell r="G52">
            <v>16820.14</v>
          </cell>
        </row>
        <row r="53">
          <cell r="G53">
            <v>6653.7188792653196</v>
          </cell>
        </row>
        <row r="54">
          <cell r="G54">
            <v>7658.3853193005734</v>
          </cell>
        </row>
        <row r="55">
          <cell r="G55">
            <v>2187.8558014341052</v>
          </cell>
        </row>
        <row r="60">
          <cell r="G60">
            <v>-2407.4599999999996</v>
          </cell>
        </row>
        <row r="64">
          <cell r="G64">
            <v>0</v>
          </cell>
        </row>
        <row r="68">
          <cell r="G68">
            <v>-4834.4399999999996</v>
          </cell>
        </row>
        <row r="69">
          <cell r="G69">
            <v>2821.8061205774379</v>
          </cell>
        </row>
        <row r="70">
          <cell r="G70">
            <v>2543.8124242424242</v>
          </cell>
        </row>
        <row r="71">
          <cell r="G71">
            <v>1091.7514551801373</v>
          </cell>
        </row>
        <row r="76">
          <cell r="G76">
            <v>565587.75</v>
          </cell>
        </row>
        <row r="77">
          <cell r="G77">
            <v>193017.75</v>
          </cell>
        </row>
        <row r="78">
          <cell r="G78">
            <v>254229.38</v>
          </cell>
        </row>
        <row r="79">
          <cell r="G79">
            <v>137067.07999999999</v>
          </cell>
        </row>
        <row r="83">
          <cell r="G83">
            <v>24076.239999999998</v>
          </cell>
        </row>
        <row r="84">
          <cell r="G84">
            <v>-26063.23</v>
          </cell>
        </row>
        <row r="85">
          <cell r="G85">
            <v>42689.49</v>
          </cell>
        </row>
        <row r="86">
          <cell r="G86">
            <v>-40754.9</v>
          </cell>
        </row>
        <row r="90">
          <cell r="G90">
            <v>98670.78</v>
          </cell>
        </row>
        <row r="91">
          <cell r="G91">
            <v>30123.17</v>
          </cell>
        </row>
        <row r="92">
          <cell r="G92">
            <v>34121.18</v>
          </cell>
        </row>
        <row r="93">
          <cell r="G93">
            <v>2216.5500000000002</v>
          </cell>
        </row>
        <row r="97">
          <cell r="G97">
            <v>-7220.85</v>
          </cell>
        </row>
        <row r="98">
          <cell r="G98">
            <v>0</v>
          </cell>
        </row>
        <row r="99">
          <cell r="G99">
            <v>0</v>
          </cell>
        </row>
        <row r="100">
          <cell r="G100">
            <v>0</v>
          </cell>
        </row>
        <row r="104">
          <cell r="G104">
            <v>173328.75</v>
          </cell>
        </row>
        <row r="105">
          <cell r="G105">
            <v>30132.43</v>
          </cell>
        </row>
        <row r="106">
          <cell r="G106">
            <v>64839.74</v>
          </cell>
        </row>
        <row r="107">
          <cell r="G107">
            <v>43807.34</v>
          </cell>
        </row>
        <row r="127">
          <cell r="G127">
            <v>240704516.46097499</v>
          </cell>
        </row>
        <row r="128">
          <cell r="G128">
            <v>97003188.583699942</v>
          </cell>
        </row>
        <row r="129">
          <cell r="G129">
            <v>85294868.297800004</v>
          </cell>
        </row>
        <row r="130">
          <cell r="G130">
            <v>55234249.189200006</v>
          </cell>
        </row>
      </sheetData>
      <sheetData sheetId="52">
        <row r="36">
          <cell r="G36">
            <v>0</v>
          </cell>
        </row>
        <row r="37">
          <cell r="G37">
            <v>8.1999999999999993</v>
          </cell>
        </row>
        <row r="38">
          <cell r="G38">
            <v>11.38</v>
          </cell>
        </row>
        <row r="39">
          <cell r="G39">
            <v>2.95</v>
          </cell>
        </row>
        <row r="44">
          <cell r="G44">
            <v>0</v>
          </cell>
        </row>
        <row r="45">
          <cell r="G45">
            <v>-939.66</v>
          </cell>
        </row>
        <row r="46">
          <cell r="G46">
            <v>-1187.72</v>
          </cell>
        </row>
        <row r="47">
          <cell r="G47">
            <v>0.68</v>
          </cell>
        </row>
        <row r="52">
          <cell r="G52">
            <v>15337.43</v>
          </cell>
        </row>
        <row r="53">
          <cell r="G53">
            <v>6585.62</v>
          </cell>
        </row>
        <row r="54">
          <cell r="G54">
            <v>10457.880000000001</v>
          </cell>
        </row>
        <row r="55">
          <cell r="G55">
            <v>2321.91</v>
          </cell>
        </row>
        <row r="60">
          <cell r="G60">
            <v>-2193.1499999999996</v>
          </cell>
        </row>
        <row r="64">
          <cell r="G64">
            <v>0</v>
          </cell>
        </row>
        <row r="68">
          <cell r="G68">
            <v>-4395.55</v>
          </cell>
        </row>
        <row r="69">
          <cell r="G69">
            <v>2821.0269849486331</v>
          </cell>
        </row>
        <row r="70">
          <cell r="G70">
            <v>4195.0509133223604</v>
          </cell>
        </row>
        <row r="71">
          <cell r="G71">
            <v>1160.412101729007</v>
          </cell>
        </row>
        <row r="76">
          <cell r="G76">
            <v>515292.52</v>
          </cell>
        </row>
        <row r="77">
          <cell r="G77">
            <v>187292.56</v>
          </cell>
        </row>
        <row r="78">
          <cell r="G78">
            <v>270814.92000000004</v>
          </cell>
        </row>
        <row r="79">
          <cell r="G79">
            <v>144010.54999999999</v>
          </cell>
        </row>
        <row r="83">
          <cell r="G83">
            <v>21929.649999999998</v>
          </cell>
        </row>
        <row r="84">
          <cell r="G84">
            <v>-25409.58</v>
          </cell>
        </row>
        <row r="85">
          <cell r="G85">
            <v>42627.81</v>
          </cell>
        </row>
        <row r="86">
          <cell r="G86">
            <v>-42970.89</v>
          </cell>
        </row>
        <row r="90">
          <cell r="G90">
            <v>89897.53</v>
          </cell>
        </row>
        <row r="91">
          <cell r="G91">
            <v>29176.95</v>
          </cell>
        </row>
        <row r="92">
          <cell r="G92">
            <v>36939.370000000003</v>
          </cell>
        </row>
        <row r="93">
          <cell r="G93">
            <v>2322.75</v>
          </cell>
        </row>
        <row r="97">
          <cell r="G97">
            <v>-6578.55</v>
          </cell>
        </row>
        <row r="98">
          <cell r="G98">
            <v>0</v>
          </cell>
        </row>
        <row r="99">
          <cell r="G99">
            <v>0</v>
          </cell>
        </row>
        <row r="100">
          <cell r="G100">
            <v>0</v>
          </cell>
        </row>
        <row r="104">
          <cell r="G104">
            <v>157891.09</v>
          </cell>
        </row>
        <row r="105">
          <cell r="G105">
            <v>29176.76</v>
          </cell>
        </row>
        <row r="106">
          <cell r="G106">
            <v>64693.88</v>
          </cell>
        </row>
        <row r="107">
          <cell r="G107">
            <v>45874.33</v>
          </cell>
        </row>
        <row r="127">
          <cell r="G127">
            <v>219282230.63052499</v>
          </cell>
        </row>
        <row r="128">
          <cell r="G128">
            <v>94116670.861800015</v>
          </cell>
        </row>
        <row r="129">
          <cell r="G129">
            <v>90396519.077799991</v>
          </cell>
        </row>
        <row r="130">
          <cell r="G130">
            <v>58068770.192600004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 - SI Project"/>
      <sheetName val="SI0000 Alloc"/>
      <sheetName val="SI Project 112023 12072023"/>
      <sheetName val="Input"/>
      <sheetName val="Program Descriptions"/>
    </sheetNames>
    <sheetDataSet>
      <sheetData sheetId="0">
        <row r="42">
          <cell r="N42">
            <v>728944.01</v>
          </cell>
          <cell r="O42">
            <v>427270.32</v>
          </cell>
          <cell r="Q42">
            <v>-371200.69999999995</v>
          </cell>
          <cell r="R42">
            <v>94152.25</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 - SI Project"/>
      <sheetName val="SI0000 Alloc"/>
      <sheetName val="SI Project 122023 01082024"/>
      <sheetName val="Input"/>
      <sheetName val="Program Descriptions"/>
    </sheetNames>
    <sheetDataSet>
      <sheetData sheetId="0">
        <row r="27">
          <cell r="N27">
            <v>1204618.4499999997</v>
          </cell>
          <cell r="O27">
            <v>1144429.3899999999</v>
          </cell>
          <cell r="Q27">
            <v>824949.12</v>
          </cell>
          <cell r="R27">
            <v>27160.860000000011</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 - SI Project"/>
      <sheetName val="SI0000 Alloc"/>
      <sheetName val="SI Project Data"/>
      <sheetName val="Input"/>
      <sheetName val="Program Descriptions"/>
    </sheetNames>
    <sheetDataSet>
      <sheetData sheetId="0">
        <row r="27">
          <cell r="N27">
            <v>600010</v>
          </cell>
          <cell r="O27">
            <v>252352</v>
          </cell>
          <cell r="Q27">
            <v>277650.17</v>
          </cell>
          <cell r="R27">
            <v>26998.709999999934</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 - SI Project"/>
      <sheetName val="SI0000 Alloc"/>
      <sheetName val="SI Project Data"/>
      <sheetName val="Input"/>
      <sheetName val="Program Descriptions"/>
    </sheetNames>
    <sheetDataSet>
      <sheetData sheetId="0">
        <row r="27">
          <cell r="N27">
            <v>179790.52</v>
          </cell>
          <cell r="O27">
            <v>29277.48</v>
          </cell>
          <cell r="Q27">
            <v>28100.04</v>
          </cell>
          <cell r="R27">
            <v>20677.800000000258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 - SI Project"/>
      <sheetName val="SI0000 Alloc"/>
      <sheetName val="SI Project Data"/>
      <sheetName val="Input"/>
      <sheetName val="Program Descriptions"/>
    </sheetNames>
    <sheetDataSet>
      <sheetData sheetId="0">
        <row r="27">
          <cell r="N27">
            <v>394211.5</v>
          </cell>
          <cell r="O27">
            <v>1120115.6099999999</v>
          </cell>
          <cell r="Q27">
            <v>1065928.92</v>
          </cell>
          <cell r="R27">
            <v>5728.5400000000018</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2E246-9D86-4653-B38B-6571C92E4A18}">
  <dimension ref="A1:C73"/>
  <sheetViews>
    <sheetView workbookViewId="0">
      <selection activeCell="E10" sqref="E10"/>
    </sheetView>
  </sheetViews>
  <sheetFormatPr defaultColWidth="8.7265625" defaultRowHeight="14.5" x14ac:dyDescent="0.35"/>
  <cols>
    <col min="1" max="1" width="17" style="3" bestFit="1" customWidth="1"/>
    <col min="2" max="2" width="62.26953125" style="280" customWidth="1"/>
    <col min="3" max="3" width="63.453125" style="280" customWidth="1"/>
    <col min="4" max="16384" width="8.7265625" style="46"/>
  </cols>
  <sheetData>
    <row r="1" spans="1:3" x14ac:dyDescent="0.35">
      <c r="A1" s="3" t="str">
        <f>+'PPC Cycle 3'!A1</f>
        <v>Evergy Missouri West, Inc. - DSIM Rider Update Filed 06/01/2024</v>
      </c>
    </row>
    <row r="4" spans="1:3" s="3" customFormat="1" x14ac:dyDescent="0.35">
      <c r="A4" s="281" t="s">
        <v>184</v>
      </c>
      <c r="B4" s="282" t="s">
        <v>185</v>
      </c>
      <c r="C4" s="282" t="s">
        <v>186</v>
      </c>
    </row>
    <row r="5" spans="1:3" s="284" customFormat="1" ht="29" x14ac:dyDescent="0.35">
      <c r="A5" s="283" t="s">
        <v>187</v>
      </c>
      <c r="B5" s="363" t="s">
        <v>248</v>
      </c>
      <c r="C5" s="363" t="s">
        <v>188</v>
      </c>
    </row>
    <row r="6" spans="1:3" s="284" customFormat="1" ht="29" x14ac:dyDescent="0.35">
      <c r="A6" s="283" t="s">
        <v>189</v>
      </c>
      <c r="B6" s="363" t="s">
        <v>190</v>
      </c>
      <c r="C6" s="363" t="s">
        <v>191</v>
      </c>
    </row>
    <row r="7" spans="1:3" s="284" customFormat="1" ht="87" x14ac:dyDescent="0.35">
      <c r="A7" s="283" t="s">
        <v>192</v>
      </c>
      <c r="B7" s="363" t="s">
        <v>249</v>
      </c>
      <c r="C7" s="363" t="s">
        <v>250</v>
      </c>
    </row>
    <row r="8" spans="1:3" s="284" customFormat="1" ht="72.5" x14ac:dyDescent="0.35">
      <c r="A8" s="283" t="s">
        <v>193</v>
      </c>
      <c r="B8" s="363" t="s">
        <v>251</v>
      </c>
      <c r="C8" s="363" t="s">
        <v>194</v>
      </c>
    </row>
    <row r="9" spans="1:3" s="284" customFormat="1" ht="130.5" x14ac:dyDescent="0.35">
      <c r="A9" s="283" t="s">
        <v>195</v>
      </c>
      <c r="B9" s="363" t="s">
        <v>252</v>
      </c>
      <c r="C9" s="363" t="s">
        <v>196</v>
      </c>
    </row>
    <row r="10" spans="1:3" s="284" customFormat="1" ht="130.5" x14ac:dyDescent="0.35">
      <c r="A10" s="283" t="s">
        <v>254</v>
      </c>
      <c r="B10" s="363" t="s">
        <v>255</v>
      </c>
      <c r="C10" s="363" t="s">
        <v>196</v>
      </c>
    </row>
    <row r="11" spans="1:3" s="284" customFormat="1" ht="43.5" x14ac:dyDescent="0.35">
      <c r="A11" s="283" t="s">
        <v>197</v>
      </c>
      <c r="B11" s="363" t="s">
        <v>253</v>
      </c>
      <c r="C11" s="363" t="s">
        <v>256</v>
      </c>
    </row>
    <row r="12" spans="1:3" s="284" customFormat="1" ht="72.5" x14ac:dyDescent="0.35">
      <c r="A12" s="283" t="s">
        <v>198</v>
      </c>
      <c r="B12" s="363" t="s">
        <v>257</v>
      </c>
      <c r="C12" s="363" t="s">
        <v>258</v>
      </c>
    </row>
    <row r="13" spans="1:3" s="284" customFormat="1" ht="159.5" x14ac:dyDescent="0.35">
      <c r="A13" s="283" t="s">
        <v>199</v>
      </c>
      <c r="B13" s="363" t="s">
        <v>235</v>
      </c>
      <c r="C13" s="363" t="s">
        <v>200</v>
      </c>
    </row>
    <row r="14" spans="1:3" s="284" customFormat="1" ht="188.5" x14ac:dyDescent="0.35">
      <c r="A14" s="283" t="s">
        <v>201</v>
      </c>
      <c r="B14" s="363" t="s">
        <v>259</v>
      </c>
      <c r="C14" s="363" t="s">
        <v>202</v>
      </c>
    </row>
    <row r="15" spans="1:3" s="284" customFormat="1" ht="159.5" x14ac:dyDescent="0.35">
      <c r="A15" s="283" t="s">
        <v>203</v>
      </c>
      <c r="B15" s="363" t="s">
        <v>260</v>
      </c>
      <c r="C15" s="363" t="s">
        <v>204</v>
      </c>
    </row>
    <row r="16" spans="1:3" s="284" customFormat="1" ht="200.5" customHeight="1" x14ac:dyDescent="0.35">
      <c r="A16" s="283" t="s">
        <v>205</v>
      </c>
      <c r="B16" s="363" t="s">
        <v>261</v>
      </c>
      <c r="C16" s="363" t="s">
        <v>262</v>
      </c>
    </row>
    <row r="17" spans="1:3" s="284" customFormat="1" ht="87" x14ac:dyDescent="0.35">
      <c r="A17" s="283" t="s">
        <v>206</v>
      </c>
      <c r="B17" s="363" t="s">
        <v>263</v>
      </c>
      <c r="C17" s="363" t="s">
        <v>207</v>
      </c>
    </row>
    <row r="18" spans="1:3" s="284" customFormat="1" ht="87" x14ac:dyDescent="0.35">
      <c r="A18" s="283" t="s">
        <v>208</v>
      </c>
      <c r="B18" s="363" t="s">
        <v>264</v>
      </c>
      <c r="C18" s="363" t="s">
        <v>209</v>
      </c>
    </row>
    <row r="19" spans="1:3" s="284" customFormat="1" ht="29" x14ac:dyDescent="0.35">
      <c r="A19" s="283" t="s">
        <v>210</v>
      </c>
      <c r="B19" s="363" t="s">
        <v>265</v>
      </c>
      <c r="C19" s="363" t="s">
        <v>266</v>
      </c>
    </row>
    <row r="20" spans="1:3" s="284" customFormat="1" ht="29" x14ac:dyDescent="0.35">
      <c r="A20" s="283" t="s">
        <v>211</v>
      </c>
      <c r="B20" s="363" t="s">
        <v>268</v>
      </c>
      <c r="C20" s="363" t="s">
        <v>267</v>
      </c>
    </row>
    <row r="21" spans="1:3" s="284" customFormat="1" ht="72.5" x14ac:dyDescent="0.35">
      <c r="A21" s="283" t="s">
        <v>212</v>
      </c>
      <c r="B21" s="363" t="s">
        <v>269</v>
      </c>
      <c r="C21" s="363" t="s">
        <v>213</v>
      </c>
    </row>
    <row r="22" spans="1:3" s="284" customFormat="1" ht="72.5" x14ac:dyDescent="0.35">
      <c r="A22" s="283" t="s">
        <v>214</v>
      </c>
      <c r="B22" s="363" t="s">
        <v>270</v>
      </c>
      <c r="C22" s="363" t="s">
        <v>213</v>
      </c>
    </row>
    <row r="23" spans="1:3" s="284" customFormat="1" x14ac:dyDescent="0.35">
      <c r="A23" s="285"/>
      <c r="B23" s="286"/>
      <c r="C23" s="286"/>
    </row>
    <row r="24" spans="1:3" s="284" customFormat="1" x14ac:dyDescent="0.35">
      <c r="A24" s="285"/>
      <c r="B24" s="286"/>
      <c r="C24" s="286"/>
    </row>
    <row r="25" spans="1:3" s="284" customFormat="1" x14ac:dyDescent="0.35">
      <c r="A25" s="285"/>
      <c r="B25" s="286"/>
      <c r="C25" s="286"/>
    </row>
    <row r="26" spans="1:3" s="284" customFormat="1" x14ac:dyDescent="0.35">
      <c r="A26" s="285"/>
      <c r="B26" s="286"/>
      <c r="C26" s="286"/>
    </row>
    <row r="27" spans="1:3" s="284" customFormat="1" x14ac:dyDescent="0.35">
      <c r="A27" s="285"/>
      <c r="B27" s="286"/>
      <c r="C27" s="286"/>
    </row>
    <row r="28" spans="1:3" s="284" customFormat="1" x14ac:dyDescent="0.35">
      <c r="A28" s="285"/>
      <c r="B28" s="286"/>
      <c r="C28" s="286"/>
    </row>
    <row r="29" spans="1:3" s="284" customFormat="1" x14ac:dyDescent="0.35">
      <c r="A29" s="285"/>
      <c r="B29" s="286"/>
      <c r="C29" s="286"/>
    </row>
    <row r="30" spans="1:3" s="284" customFormat="1" x14ac:dyDescent="0.35">
      <c r="A30" s="285"/>
      <c r="B30" s="286"/>
      <c r="C30" s="286"/>
    </row>
    <row r="31" spans="1:3" s="284" customFormat="1" x14ac:dyDescent="0.35">
      <c r="A31" s="285"/>
      <c r="B31" s="286"/>
      <c r="C31" s="286"/>
    </row>
    <row r="32" spans="1:3" s="284" customFormat="1" x14ac:dyDescent="0.35">
      <c r="A32" s="285"/>
      <c r="B32" s="286"/>
      <c r="C32" s="286"/>
    </row>
    <row r="33" spans="1:3" s="284" customFormat="1" x14ac:dyDescent="0.35">
      <c r="A33" s="285"/>
      <c r="B33" s="286"/>
      <c r="C33" s="286"/>
    </row>
    <row r="34" spans="1:3" s="284" customFormat="1" x14ac:dyDescent="0.35">
      <c r="A34" s="285"/>
      <c r="B34" s="286"/>
      <c r="C34" s="286"/>
    </row>
    <row r="35" spans="1:3" s="284" customFormat="1" x14ac:dyDescent="0.35">
      <c r="A35" s="285"/>
      <c r="B35" s="286"/>
      <c r="C35" s="286"/>
    </row>
    <row r="36" spans="1:3" s="284" customFormat="1" x14ac:dyDescent="0.35">
      <c r="A36" s="285"/>
      <c r="B36" s="286"/>
      <c r="C36" s="286"/>
    </row>
    <row r="37" spans="1:3" s="284" customFormat="1" x14ac:dyDescent="0.35">
      <c r="A37" s="285"/>
      <c r="B37" s="286"/>
      <c r="C37" s="286"/>
    </row>
    <row r="38" spans="1:3" s="284" customFormat="1" x14ac:dyDescent="0.35">
      <c r="A38" s="285"/>
      <c r="B38" s="286"/>
      <c r="C38" s="286"/>
    </row>
    <row r="39" spans="1:3" s="284" customFormat="1" x14ac:dyDescent="0.35">
      <c r="A39" s="285"/>
      <c r="B39" s="286"/>
      <c r="C39" s="286"/>
    </row>
    <row r="40" spans="1:3" s="284" customFormat="1" x14ac:dyDescent="0.35">
      <c r="A40" s="285"/>
      <c r="B40" s="286"/>
      <c r="C40" s="286"/>
    </row>
    <row r="41" spans="1:3" s="284" customFormat="1" x14ac:dyDescent="0.35">
      <c r="A41" s="285"/>
      <c r="B41" s="286"/>
      <c r="C41" s="286"/>
    </row>
    <row r="42" spans="1:3" s="284" customFormat="1" x14ac:dyDescent="0.35">
      <c r="A42" s="285"/>
      <c r="B42" s="286"/>
      <c r="C42" s="286"/>
    </row>
    <row r="43" spans="1:3" s="284" customFormat="1" x14ac:dyDescent="0.35">
      <c r="A43" s="285"/>
      <c r="B43" s="286"/>
      <c r="C43" s="286"/>
    </row>
    <row r="44" spans="1:3" s="284" customFormat="1" x14ac:dyDescent="0.35">
      <c r="A44" s="285"/>
      <c r="B44" s="286"/>
      <c r="C44" s="286"/>
    </row>
    <row r="45" spans="1:3" s="284" customFormat="1" x14ac:dyDescent="0.35">
      <c r="A45" s="285"/>
      <c r="B45" s="286"/>
      <c r="C45" s="286"/>
    </row>
    <row r="46" spans="1:3" s="284" customFormat="1" x14ac:dyDescent="0.35">
      <c r="A46" s="285"/>
      <c r="B46" s="286"/>
      <c r="C46" s="286"/>
    </row>
    <row r="47" spans="1:3" s="284" customFormat="1" x14ac:dyDescent="0.35">
      <c r="A47" s="285"/>
      <c r="B47" s="286"/>
      <c r="C47" s="286"/>
    </row>
    <row r="48" spans="1:3" s="284" customFormat="1" x14ac:dyDescent="0.35">
      <c r="A48" s="285"/>
      <c r="B48" s="286"/>
      <c r="C48" s="286"/>
    </row>
    <row r="49" spans="1:3" s="284" customFormat="1" x14ac:dyDescent="0.35">
      <c r="A49" s="285"/>
      <c r="B49" s="286"/>
      <c r="C49" s="286"/>
    </row>
    <row r="50" spans="1:3" s="284" customFormat="1" x14ac:dyDescent="0.35">
      <c r="A50" s="285"/>
      <c r="B50" s="286"/>
      <c r="C50" s="286"/>
    </row>
    <row r="51" spans="1:3" s="284" customFormat="1" x14ac:dyDescent="0.35">
      <c r="A51" s="285"/>
      <c r="B51" s="286"/>
      <c r="C51" s="286"/>
    </row>
    <row r="52" spans="1:3" s="284" customFormat="1" x14ac:dyDescent="0.35">
      <c r="A52" s="285"/>
      <c r="B52" s="286"/>
      <c r="C52" s="286"/>
    </row>
    <row r="53" spans="1:3" s="284" customFormat="1" x14ac:dyDescent="0.35">
      <c r="A53" s="285"/>
      <c r="B53" s="286"/>
      <c r="C53" s="286"/>
    </row>
    <row r="54" spans="1:3" s="284" customFormat="1" x14ac:dyDescent="0.35">
      <c r="A54" s="285"/>
      <c r="B54" s="286"/>
      <c r="C54" s="286"/>
    </row>
    <row r="55" spans="1:3" s="284" customFormat="1" x14ac:dyDescent="0.35">
      <c r="A55" s="285"/>
      <c r="B55" s="286"/>
      <c r="C55" s="286"/>
    </row>
    <row r="56" spans="1:3" s="284" customFormat="1" x14ac:dyDescent="0.35">
      <c r="A56" s="285"/>
      <c r="B56" s="286"/>
      <c r="C56" s="286"/>
    </row>
    <row r="57" spans="1:3" s="284" customFormat="1" x14ac:dyDescent="0.35">
      <c r="A57" s="285"/>
      <c r="B57" s="286"/>
      <c r="C57" s="286"/>
    </row>
    <row r="58" spans="1:3" s="284" customFormat="1" x14ac:dyDescent="0.35">
      <c r="A58" s="285"/>
      <c r="B58" s="286"/>
      <c r="C58" s="286"/>
    </row>
    <row r="59" spans="1:3" s="284" customFormat="1" x14ac:dyDescent="0.35">
      <c r="A59" s="285"/>
      <c r="B59" s="286"/>
      <c r="C59" s="286"/>
    </row>
    <row r="60" spans="1:3" s="284" customFormat="1" x14ac:dyDescent="0.35">
      <c r="A60" s="285"/>
      <c r="B60" s="286"/>
      <c r="C60" s="286"/>
    </row>
    <row r="61" spans="1:3" s="284" customFormat="1" x14ac:dyDescent="0.35">
      <c r="A61" s="285"/>
      <c r="B61" s="286"/>
      <c r="C61" s="286"/>
    </row>
    <row r="62" spans="1:3" s="284" customFormat="1" x14ac:dyDescent="0.35">
      <c r="A62" s="285"/>
      <c r="B62" s="286"/>
      <c r="C62" s="286"/>
    </row>
    <row r="63" spans="1:3" s="284" customFormat="1" x14ac:dyDescent="0.35">
      <c r="A63" s="285"/>
      <c r="B63" s="286"/>
      <c r="C63" s="286"/>
    </row>
    <row r="64" spans="1:3" s="284" customFormat="1" x14ac:dyDescent="0.35">
      <c r="A64" s="285"/>
      <c r="B64" s="286"/>
      <c r="C64" s="286"/>
    </row>
    <row r="65" spans="1:3" s="284" customFormat="1" x14ac:dyDescent="0.35">
      <c r="A65" s="285"/>
      <c r="B65" s="286"/>
      <c r="C65" s="286"/>
    </row>
    <row r="66" spans="1:3" s="284" customFormat="1" x14ac:dyDescent="0.35">
      <c r="A66" s="285"/>
      <c r="B66" s="286"/>
      <c r="C66" s="286"/>
    </row>
    <row r="67" spans="1:3" s="284" customFormat="1" x14ac:dyDescent="0.35">
      <c r="A67" s="285"/>
      <c r="B67" s="286"/>
      <c r="C67" s="286"/>
    </row>
    <row r="68" spans="1:3" s="284" customFormat="1" x14ac:dyDescent="0.35">
      <c r="A68" s="285"/>
      <c r="B68" s="286"/>
      <c r="C68" s="286"/>
    </row>
    <row r="69" spans="1:3" s="284" customFormat="1" x14ac:dyDescent="0.35">
      <c r="A69" s="285"/>
      <c r="B69" s="286"/>
      <c r="C69" s="286"/>
    </row>
    <row r="70" spans="1:3" s="284" customFormat="1" x14ac:dyDescent="0.35">
      <c r="A70" s="285"/>
      <c r="B70" s="286"/>
      <c r="C70" s="286"/>
    </row>
    <row r="71" spans="1:3" s="284" customFormat="1" x14ac:dyDescent="0.35">
      <c r="A71" s="285"/>
      <c r="B71" s="286"/>
      <c r="C71" s="286"/>
    </row>
    <row r="72" spans="1:3" s="284" customFormat="1" x14ac:dyDescent="0.35">
      <c r="A72" s="285"/>
      <c r="B72" s="286"/>
      <c r="C72" s="286"/>
    </row>
    <row r="73" spans="1:3" s="284" customFormat="1" x14ac:dyDescent="0.35">
      <c r="A73" s="285"/>
      <c r="B73" s="286"/>
      <c r="C73" s="286"/>
    </row>
  </sheetData>
  <pageMargins left="0.7" right="0.7" top="0.75" bottom="0.75" header="0.3" footer="0.3"/>
  <pageSetup orientation="portrait" r:id="rId1"/>
  <headerFooter>
    <oddFooter xml:space="preserve">&amp;R_x000D_&amp;1#&amp;"Calibri"&amp;10&amp;KA80000 Restricted – Sensitive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J63"/>
  <sheetViews>
    <sheetView zoomScale="85" zoomScaleNormal="85" workbookViewId="0">
      <pane xSplit="2" ySplit="13" topLeftCell="C14" activePane="bottomRight" state="frozen"/>
      <selection activeCell="E10" sqref="E10"/>
      <selection pane="topRight" activeCell="E10" sqref="E10"/>
      <selection pane="bottomLeft" activeCell="E10" sqref="E10"/>
      <selection pane="bottomRight" activeCell="E10" sqref="E10"/>
    </sheetView>
  </sheetViews>
  <sheetFormatPr defaultColWidth="9.1796875" defaultRowHeight="14.5" outlineLevelCol="1" x14ac:dyDescent="0.35"/>
  <cols>
    <col min="1" max="1" width="61.7265625" style="46" customWidth="1"/>
    <col min="2" max="2" width="12.1796875" style="46" customWidth="1"/>
    <col min="3" max="3" width="12.453125" style="46" customWidth="1"/>
    <col min="4" max="4" width="12.453125" style="46" hidden="1" customWidth="1" outlineLevel="1"/>
    <col min="5" max="5" width="15.453125" style="46" customWidth="1" collapsed="1"/>
    <col min="6" max="6" width="15.81640625" style="46" customWidth="1"/>
    <col min="7" max="7" width="12.26953125" style="46" customWidth="1"/>
    <col min="8" max="9" width="13.26953125" style="46" customWidth="1"/>
    <col min="10" max="10" width="12.26953125" style="46" bestFit="1" customWidth="1"/>
    <col min="11" max="11" width="11.54296875" style="46" bestFit="1" customWidth="1"/>
    <col min="12" max="12" width="12.81640625" style="46" customWidth="1"/>
    <col min="13" max="13" width="16" style="46" customWidth="1"/>
    <col min="14" max="14" width="15" style="46" bestFit="1" customWidth="1"/>
    <col min="15" max="15" width="16" style="46" bestFit="1" customWidth="1"/>
    <col min="16" max="16" width="17.81640625" style="174" customWidth="1" outlineLevel="1"/>
    <col min="17" max="17" width="15.26953125" style="46" bestFit="1" customWidth="1"/>
    <col min="18" max="18" width="17.453125" style="46" bestFit="1" customWidth="1"/>
    <col min="19" max="19" width="16.26953125" style="46" bestFit="1" customWidth="1"/>
    <col min="20" max="20" width="15.26953125" style="46" bestFit="1" customWidth="1"/>
    <col min="21" max="21" width="12.453125" style="46" customWidth="1"/>
    <col min="22" max="23" width="14.26953125" style="46" bestFit="1" customWidth="1"/>
    <col min="24" max="16384" width="9.1796875" style="46"/>
  </cols>
  <sheetData>
    <row r="1" spans="1:36" x14ac:dyDescent="0.35">
      <c r="A1" s="3" t="str">
        <f>+'PPC Cycle 3'!A1</f>
        <v>Evergy Missouri West, Inc. - DSIM Rider Update Filed 06/01/2024</v>
      </c>
      <c r="B1" s="3"/>
      <c r="C1" s="3"/>
      <c r="D1" s="3"/>
    </row>
    <row r="2" spans="1:36" x14ac:dyDescent="0.35">
      <c r="E2" s="3" t="s">
        <v>60</v>
      </c>
    </row>
    <row r="3" spans="1:36" ht="29" x14ac:dyDescent="0.35">
      <c r="E3" s="48" t="s">
        <v>45</v>
      </c>
      <c r="F3" s="70" t="s">
        <v>69</v>
      </c>
      <c r="G3" s="70" t="s">
        <v>53</v>
      </c>
      <c r="H3" s="48" t="s">
        <v>3</v>
      </c>
      <c r="I3" s="70" t="s">
        <v>54</v>
      </c>
      <c r="J3" s="48" t="s">
        <v>10</v>
      </c>
      <c r="K3" s="48" t="s">
        <v>9</v>
      </c>
      <c r="T3" s="48"/>
    </row>
    <row r="4" spans="1:36" x14ac:dyDescent="0.35">
      <c r="A4" s="20" t="s">
        <v>24</v>
      </c>
      <c r="B4" s="20"/>
      <c r="C4" s="20"/>
      <c r="D4" s="20"/>
      <c r="E4" s="22">
        <f>SUM(C18:M18)</f>
        <v>104998.05</v>
      </c>
      <c r="F4" s="128">
        <f>N24</f>
        <v>0</v>
      </c>
      <c r="G4" s="22">
        <f>SUM(C30:L30)</f>
        <v>0</v>
      </c>
      <c r="H4" s="22">
        <f>G4-E4</f>
        <v>-104998.05</v>
      </c>
      <c r="I4" s="22">
        <f>+B42</f>
        <v>270937.95999999973</v>
      </c>
      <c r="J4" s="22">
        <f>SUM(C47:L47)</f>
        <v>8261.34</v>
      </c>
      <c r="K4" s="25">
        <f>SUM(H4:J4)</f>
        <v>174201.24999999974</v>
      </c>
      <c r="L4" s="47">
        <f>+K4-M42</f>
        <v>0</v>
      </c>
    </row>
    <row r="5" spans="1:36" ht="15" thickBot="1" x14ac:dyDescent="0.4">
      <c r="A5" s="20" t="s">
        <v>25</v>
      </c>
      <c r="B5" s="20"/>
      <c r="C5" s="20"/>
      <c r="D5" s="20"/>
      <c r="E5" s="22">
        <f>SUM(C19:M21)</f>
        <v>114755.01999999999</v>
      </c>
      <c r="F5" s="128">
        <f>SUM(N25:N27)</f>
        <v>0</v>
      </c>
      <c r="G5" s="22">
        <f>SUM(C31:L33)</f>
        <v>0</v>
      </c>
      <c r="H5" s="22">
        <f>G5-E5</f>
        <v>-114755.01999999999</v>
      </c>
      <c r="I5" s="22">
        <f>+B43</f>
        <v>213625.14427000016</v>
      </c>
      <c r="J5" s="22">
        <f>SUM(C48:L48)</f>
        <v>5873.13</v>
      </c>
      <c r="K5" s="25">
        <f>SUM(H5:J5)</f>
        <v>104743.25427000018</v>
      </c>
      <c r="L5" s="47">
        <f>+K5-M43</f>
        <v>0</v>
      </c>
    </row>
    <row r="6" spans="1:36" ht="15.5" thickTop="1" thickBot="1" x14ac:dyDescent="0.4">
      <c r="E6" s="27">
        <f t="shared" ref="E6" si="0">SUM(E4:E5)</f>
        <v>219753.07</v>
      </c>
      <c r="F6" s="129">
        <f t="shared" ref="F6:I6" si="1">SUM(F4:F5)</f>
        <v>0</v>
      </c>
      <c r="G6" s="27">
        <f t="shared" si="1"/>
        <v>0</v>
      </c>
      <c r="H6" s="27">
        <f t="shared" si="1"/>
        <v>-219753.07</v>
      </c>
      <c r="I6" s="27">
        <f t="shared" si="1"/>
        <v>484563.10426999989</v>
      </c>
      <c r="J6" s="27">
        <f>SUM(J4:J5)</f>
        <v>14134.470000000001</v>
      </c>
      <c r="K6" s="27">
        <f>SUM(K4:K5)</f>
        <v>278944.50426999992</v>
      </c>
      <c r="U6" s="5"/>
    </row>
    <row r="7" spans="1:36" ht="44" thickTop="1" x14ac:dyDescent="0.35">
      <c r="K7" s="211"/>
      <c r="L7" s="210" t="s">
        <v>122</v>
      </c>
    </row>
    <row r="8" spans="1:36" x14ac:dyDescent="0.35">
      <c r="A8" s="20" t="s">
        <v>105</v>
      </c>
      <c r="K8" s="25">
        <f>ROUND($K$5*L8,2)</f>
        <v>41069.08</v>
      </c>
      <c r="L8" s="208">
        <f>+'PCR Cycle 2'!K8</f>
        <v>0.39209287804949344</v>
      </c>
      <c r="M8" s="39"/>
    </row>
    <row r="9" spans="1:36" x14ac:dyDescent="0.35">
      <c r="A9" s="20" t="s">
        <v>106</v>
      </c>
      <c r="K9" s="25">
        <f t="shared" ref="K9:K10" si="2">ROUND($K$5*L9,2)</f>
        <v>47591.05</v>
      </c>
      <c r="L9" s="208">
        <f>+'PCR Cycle 2'!K9</f>
        <v>0.45435908608374953</v>
      </c>
      <c r="M9" s="39"/>
    </row>
    <row r="10" spans="1:36" ht="15" thickBot="1" x14ac:dyDescent="0.4">
      <c r="A10" s="20" t="s">
        <v>107</v>
      </c>
      <c r="J10" s="4"/>
      <c r="K10" s="25">
        <f t="shared" si="2"/>
        <v>16083.12</v>
      </c>
      <c r="L10" s="208">
        <f>+'PCR Cycle 2'!K10</f>
        <v>0.15354803586675725</v>
      </c>
      <c r="M10" s="39"/>
      <c r="W10" s="4"/>
    </row>
    <row r="11" spans="1:36" ht="15.5" thickTop="1" thickBot="1" x14ac:dyDescent="0.4">
      <c r="A11" s="20" t="s">
        <v>109</v>
      </c>
      <c r="E11" s="47"/>
      <c r="J11" s="47"/>
      <c r="K11" s="27">
        <f>SUM(K8:K10)</f>
        <v>104743.25</v>
      </c>
      <c r="L11" s="209">
        <f>SUM(L8:L10)</f>
        <v>1.0000000000000002</v>
      </c>
      <c r="W11" s="4"/>
      <c r="X11" s="5"/>
    </row>
    <row r="12" spans="1:36" ht="15.5" thickTop="1" thickBot="1" x14ac:dyDescent="0.4">
      <c r="W12" s="4"/>
      <c r="X12" s="5"/>
    </row>
    <row r="13" spans="1:36" ht="105.75" customHeight="1" thickBot="1" x14ac:dyDescent="0.4">
      <c r="B13" s="112" t="str">
        <f>+'PCR Cycle 3'!B10</f>
        <v>Cumulative Over/Under Carryover From 12/01/2023 Filing</v>
      </c>
      <c r="C13" s="143" t="str">
        <f>+'PCR Cycle 3'!C10</f>
        <v>Reverse November 2023 - January 2024 Forecast From 12/01/2023 Filing</v>
      </c>
      <c r="D13" s="196"/>
      <c r="E13" s="373" t="s">
        <v>32</v>
      </c>
      <c r="F13" s="373"/>
      <c r="G13" s="374"/>
      <c r="H13" s="380" t="s">
        <v>32</v>
      </c>
      <c r="I13" s="381"/>
      <c r="J13" s="382"/>
      <c r="K13" s="370" t="s">
        <v>8</v>
      </c>
      <c r="L13" s="371"/>
      <c r="M13" s="372"/>
      <c r="P13" s="280" t="s">
        <v>223</v>
      </c>
    </row>
    <row r="14" spans="1:36" x14ac:dyDescent="0.35">
      <c r="A14" s="46" t="s">
        <v>62</v>
      </c>
      <c r="C14" s="102"/>
      <c r="D14" s="197">
        <f>+'PCR Cycle 3'!D14</f>
        <v>0</v>
      </c>
      <c r="E14" s="19">
        <f>+'PCR Cycle 2'!D14</f>
        <v>45260</v>
      </c>
      <c r="F14" s="19">
        <f t="shared" ref="F14:M14" si="3">EOMONTH(E14,1)</f>
        <v>45291</v>
      </c>
      <c r="G14" s="19">
        <f t="shared" si="3"/>
        <v>45322</v>
      </c>
      <c r="H14" s="14">
        <f t="shared" si="3"/>
        <v>45351</v>
      </c>
      <c r="I14" s="19">
        <f t="shared" si="3"/>
        <v>45382</v>
      </c>
      <c r="J14" s="15">
        <f t="shared" si="3"/>
        <v>45412</v>
      </c>
      <c r="K14" s="19">
        <f t="shared" si="3"/>
        <v>45443</v>
      </c>
      <c r="L14" s="19">
        <f t="shared" si="3"/>
        <v>45473</v>
      </c>
      <c r="M14" s="15">
        <f t="shared" si="3"/>
        <v>45504</v>
      </c>
      <c r="AA14" s="1"/>
      <c r="AB14" s="1"/>
      <c r="AC14" s="1"/>
      <c r="AD14" s="1"/>
      <c r="AE14" s="1"/>
      <c r="AF14" s="1"/>
      <c r="AG14" s="1"/>
      <c r="AH14" s="1"/>
      <c r="AI14" s="1"/>
      <c r="AJ14" s="1"/>
    </row>
    <row r="15" spans="1:36" x14ac:dyDescent="0.35">
      <c r="A15" s="46" t="s">
        <v>5</v>
      </c>
      <c r="C15" s="319">
        <v>0</v>
      </c>
      <c r="D15" s="180">
        <f>+D30+D33</f>
        <v>0</v>
      </c>
      <c r="E15" s="106">
        <f t="shared" ref="E15:L15" si="4">SUM(E30:E33)</f>
        <v>0</v>
      </c>
      <c r="F15" s="106">
        <f t="shared" si="4"/>
        <v>0</v>
      </c>
      <c r="G15" s="107">
        <f>SUM(G30:G33)</f>
        <v>0</v>
      </c>
      <c r="H15" s="16">
        <f t="shared" si="4"/>
        <v>0</v>
      </c>
      <c r="I15" s="55">
        <f t="shared" si="4"/>
        <v>0</v>
      </c>
      <c r="J15" s="154">
        <f t="shared" si="4"/>
        <v>0</v>
      </c>
      <c r="K15" s="147">
        <f t="shared" si="4"/>
        <v>0</v>
      </c>
      <c r="L15" s="77">
        <f t="shared" si="4"/>
        <v>0</v>
      </c>
      <c r="M15" s="78"/>
      <c r="P15" s="174">
        <f>-SUM(K15:M15)</f>
        <v>0</v>
      </c>
    </row>
    <row r="16" spans="1:36" x14ac:dyDescent="0.35">
      <c r="C16" s="304"/>
      <c r="D16" s="181"/>
      <c r="E16" s="17"/>
      <c r="F16" s="17"/>
      <c r="G16" s="17"/>
      <c r="H16" s="10"/>
      <c r="I16" s="17"/>
      <c r="J16" s="11"/>
      <c r="K16" s="31"/>
      <c r="L16" s="31"/>
      <c r="M16" s="29"/>
    </row>
    <row r="17" spans="1:16" x14ac:dyDescent="0.35">
      <c r="A17" s="46" t="s">
        <v>61</v>
      </c>
      <c r="C17" s="304"/>
      <c r="D17" s="181"/>
      <c r="E17" s="18"/>
      <c r="F17" s="18"/>
      <c r="G17" s="18"/>
      <c r="H17" s="332"/>
      <c r="I17" s="252"/>
      <c r="J17" s="336"/>
      <c r="K17" s="31"/>
      <c r="L17" s="31"/>
      <c r="M17" s="29"/>
      <c r="N17" s="3" t="s">
        <v>66</v>
      </c>
      <c r="O17" s="39"/>
    </row>
    <row r="18" spans="1:16" x14ac:dyDescent="0.35">
      <c r="A18" s="46" t="s">
        <v>24</v>
      </c>
      <c r="C18" s="319">
        <v>-152585.22</v>
      </c>
      <c r="D18" s="180">
        <v>0</v>
      </c>
      <c r="E18" s="126">
        <f>ROUND('[4]November 2023'!$G52,2)</f>
        <v>34319.199999999997</v>
      </c>
      <c r="F18" s="126">
        <f>ROUND('[4]December 2023'!$G52,2)</f>
        <v>45746.99</v>
      </c>
      <c r="G18" s="126">
        <f>ROUND('[4]January 2024'!$G52,2)</f>
        <v>60391.45</v>
      </c>
      <c r="H18" s="16">
        <f>ROUND('[4]February 2024'!$G52,2)</f>
        <v>24466.59</v>
      </c>
      <c r="I18" s="55">
        <f>ROUND('[4]March 2024'!$G52,2)</f>
        <v>16820.14</v>
      </c>
      <c r="J18" s="157">
        <f>ROUND('[4]April 2024'!$G52,2)</f>
        <v>15337.43</v>
      </c>
      <c r="K18" s="116">
        <f>ROUND('PCR Cycle 2'!J26*'TDR Cycle 2'!$N18,2)</f>
        <v>15141.57</v>
      </c>
      <c r="L18" s="41">
        <f>ROUND('PCR Cycle 2'!K26*'TDR Cycle 2'!$N18,2)</f>
        <v>18902.150000000001</v>
      </c>
      <c r="M18" s="61">
        <f>ROUND('PCR Cycle 2'!L26*'TDR Cycle 2'!$N18,2)</f>
        <v>26457.75</v>
      </c>
      <c r="N18" s="72">
        <v>6.9999999999999994E-5</v>
      </c>
      <c r="O18" s="4"/>
      <c r="P18" s="174">
        <f t="shared" ref="P18:P21" si="5">-SUM(K18:M18)</f>
        <v>-60501.47</v>
      </c>
    </row>
    <row r="19" spans="1:16" x14ac:dyDescent="0.35">
      <c r="A19" s="46" t="s">
        <v>105</v>
      </c>
      <c r="C19" s="319">
        <v>-43135.21</v>
      </c>
      <c r="D19" s="180"/>
      <c r="E19" s="126">
        <f>ROUND('[4]November 2023'!$G53,2)</f>
        <v>13783.5</v>
      </c>
      <c r="F19" s="126">
        <f>ROUND('[4]December 2023'!$G53,2)</f>
        <v>13992.95</v>
      </c>
      <c r="G19" s="126">
        <f>ROUND('[4]January 2024'!$G53,2)</f>
        <v>18012.759999999998</v>
      </c>
      <c r="H19" s="16">
        <f>ROUND('[4]February 2024'!$G53,2)</f>
        <v>8356.6299999999992</v>
      </c>
      <c r="I19" s="55">
        <f>ROUND('[4]March 2024'!$G53,2)</f>
        <v>6653.72</v>
      </c>
      <c r="J19" s="157">
        <f>ROUND('[4]April 2024'!$G53,2)</f>
        <v>6585.62</v>
      </c>
      <c r="K19" s="116">
        <f>ROUND('PCR Cycle 2'!J27*'TDR Cycle 2'!$N19,2)</f>
        <v>7091.09</v>
      </c>
      <c r="L19" s="41">
        <f>ROUND('PCR Cycle 2'!K27*'TDR Cycle 2'!$N19,2)</f>
        <v>7850.22</v>
      </c>
      <c r="M19" s="61">
        <f>ROUND('PCR Cycle 2'!L27*'TDR Cycle 2'!$N19,2)</f>
        <v>8842.49</v>
      </c>
      <c r="N19" s="72">
        <v>6.9999999999999994E-5</v>
      </c>
      <c r="O19" s="4"/>
      <c r="P19" s="174">
        <f t="shared" si="5"/>
        <v>-23783.800000000003</v>
      </c>
    </row>
    <row r="20" spans="1:16" x14ac:dyDescent="0.35">
      <c r="A20" s="46" t="s">
        <v>106</v>
      </c>
      <c r="C20" s="319">
        <v>-46771.840000000004</v>
      </c>
      <c r="D20" s="180"/>
      <c r="E20" s="126">
        <f>ROUND('[4]November 2023'!$G54,2)</f>
        <v>14429.75</v>
      </c>
      <c r="F20" s="126">
        <f>ROUND('[4]December 2023'!$G54,2)</f>
        <v>16432.12</v>
      </c>
      <c r="G20" s="126">
        <f>ROUND('[4]January 2024'!$G54,2)</f>
        <v>15361.13</v>
      </c>
      <c r="H20" s="16">
        <f>ROUND('[4]February 2024'!$G54,2)</f>
        <v>8129.38</v>
      </c>
      <c r="I20" s="55">
        <f>ROUND('[4]March 2024'!$G54,2)</f>
        <v>7658.39</v>
      </c>
      <c r="J20" s="157">
        <f>ROUND('[4]April 2024'!$G54,2)</f>
        <v>10457.879999999999</v>
      </c>
      <c r="K20" s="116">
        <f>ROUND('PCR Cycle 2'!J28*'TDR Cycle 2'!$N20,2)</f>
        <v>7854.7</v>
      </c>
      <c r="L20" s="41">
        <f>ROUND('PCR Cycle 2'!K28*'TDR Cycle 2'!$N20,2)</f>
        <v>8695.58</v>
      </c>
      <c r="M20" s="61">
        <f>ROUND('PCR Cycle 2'!L28*'TDR Cycle 2'!$N20,2)</f>
        <v>9794.7099999999991</v>
      </c>
      <c r="N20" s="72">
        <v>9.0000000000000006E-5</v>
      </c>
      <c r="O20" s="4"/>
      <c r="P20" s="174">
        <f t="shared" si="5"/>
        <v>-26344.989999999998</v>
      </c>
    </row>
    <row r="21" spans="1:16" x14ac:dyDescent="0.35">
      <c r="A21" s="46" t="s">
        <v>107</v>
      </c>
      <c r="C21" s="319">
        <v>-16566.25</v>
      </c>
      <c r="D21" s="180">
        <v>0</v>
      </c>
      <c r="E21" s="126">
        <f>ROUND('[4]November 2023'!$G55,2)</f>
        <v>5298.06</v>
      </c>
      <c r="F21" s="126">
        <f>ROUND('[4]December 2023'!$G55,2)</f>
        <v>5201.09</v>
      </c>
      <c r="G21" s="126">
        <f>ROUND('[4]January 2024'!$G55,2)</f>
        <v>5846.27</v>
      </c>
      <c r="H21" s="16">
        <f>ROUND('[4]February 2024'!$G55,2)</f>
        <v>2495.4699999999998</v>
      </c>
      <c r="I21" s="55">
        <f>ROUND('[4]March 2024'!$G55,2)</f>
        <v>2187.86</v>
      </c>
      <c r="J21" s="157">
        <f>ROUND('[4]April 2024'!$G55,2)</f>
        <v>2321.91</v>
      </c>
      <c r="K21" s="116">
        <f>ROUND('PCR Cycle 2'!J29*'TDR Cycle 2'!$N21,2)</f>
        <v>2353.89</v>
      </c>
      <c r="L21" s="41">
        <f>ROUND('PCR Cycle 2'!K29*'TDR Cycle 2'!$N21,2)</f>
        <v>2605.88</v>
      </c>
      <c r="M21" s="61">
        <f>ROUND('PCR Cycle 2'!L29*'TDR Cycle 2'!$N21,2)</f>
        <v>2935.27</v>
      </c>
      <c r="N21" s="72">
        <v>4.0000000000000003E-5</v>
      </c>
      <c r="O21" s="4"/>
      <c r="P21" s="174">
        <f t="shared" si="5"/>
        <v>-7895.0400000000009</v>
      </c>
    </row>
    <row r="22" spans="1:16" x14ac:dyDescent="0.35">
      <c r="C22" s="308"/>
      <c r="D22" s="182"/>
      <c r="E22" s="68"/>
      <c r="F22" s="68"/>
      <c r="G22" s="68"/>
      <c r="H22" s="67"/>
      <c r="I22" s="68"/>
      <c r="J22" s="156"/>
      <c r="K22" s="56"/>
      <c r="L22" s="56"/>
      <c r="M22" s="13"/>
      <c r="O22" s="4"/>
    </row>
    <row r="23" spans="1:16" x14ac:dyDescent="0.35">
      <c r="A23" s="39" t="s">
        <v>65</v>
      </c>
      <c r="B23" s="39"/>
      <c r="C23" s="308"/>
      <c r="D23" s="182"/>
      <c r="E23" s="68"/>
      <c r="F23" s="68"/>
      <c r="G23" s="68"/>
      <c r="H23" s="67"/>
      <c r="I23" s="68"/>
      <c r="J23" s="341"/>
      <c r="K23" s="56"/>
      <c r="L23" s="56"/>
      <c r="M23" s="13"/>
      <c r="N23" s="7"/>
    </row>
    <row r="24" spans="1:16" x14ac:dyDescent="0.35">
      <c r="A24" s="46" t="s">
        <v>24</v>
      </c>
      <c r="C24" s="320">
        <v>0</v>
      </c>
      <c r="D24" s="183"/>
      <c r="E24" s="108">
        <v>0</v>
      </c>
      <c r="F24" s="108">
        <v>0</v>
      </c>
      <c r="G24" s="118">
        <v>0</v>
      </c>
      <c r="H24" s="73">
        <v>0</v>
      </c>
      <c r="I24" s="74">
        <v>0</v>
      </c>
      <c r="J24" s="157">
        <v>0</v>
      </c>
      <c r="K24" s="148">
        <v>0</v>
      </c>
      <c r="L24" s="134">
        <v>0</v>
      </c>
      <c r="M24" s="79"/>
      <c r="N24" s="59">
        <f>SUM(C24:L24)</f>
        <v>0</v>
      </c>
      <c r="P24" s="174">
        <f t="shared" ref="P24:P27" si="6">-SUM(K24:M24)</f>
        <v>0</v>
      </c>
    </row>
    <row r="25" spans="1:16" x14ac:dyDescent="0.35">
      <c r="A25" s="46" t="s">
        <v>105</v>
      </c>
      <c r="C25" s="320">
        <v>0</v>
      </c>
      <c r="D25" s="183"/>
      <c r="E25" s="108">
        <v>0</v>
      </c>
      <c r="F25" s="108">
        <v>0</v>
      </c>
      <c r="G25" s="118">
        <v>0</v>
      </c>
      <c r="H25" s="73">
        <v>0</v>
      </c>
      <c r="I25" s="74">
        <v>0</v>
      </c>
      <c r="J25" s="157">
        <v>0</v>
      </c>
      <c r="K25" s="148">
        <v>0</v>
      </c>
      <c r="L25" s="134">
        <v>0</v>
      </c>
      <c r="M25" s="79"/>
      <c r="N25" s="59">
        <f t="shared" ref="N25:N27" si="7">SUM(C25:L25)</f>
        <v>0</v>
      </c>
      <c r="P25" s="174">
        <f t="shared" si="6"/>
        <v>0</v>
      </c>
    </row>
    <row r="26" spans="1:16" x14ac:dyDescent="0.35">
      <c r="A26" s="46" t="s">
        <v>106</v>
      </c>
      <c r="C26" s="320">
        <v>0</v>
      </c>
      <c r="D26" s="183"/>
      <c r="E26" s="108">
        <v>0</v>
      </c>
      <c r="F26" s="108">
        <v>0</v>
      </c>
      <c r="G26" s="118">
        <v>0</v>
      </c>
      <c r="H26" s="73">
        <v>0</v>
      </c>
      <c r="I26" s="74">
        <v>0</v>
      </c>
      <c r="J26" s="157">
        <v>0</v>
      </c>
      <c r="K26" s="148">
        <v>0</v>
      </c>
      <c r="L26" s="134">
        <v>0</v>
      </c>
      <c r="M26" s="79"/>
      <c r="N26" s="59">
        <f t="shared" si="7"/>
        <v>0</v>
      </c>
      <c r="P26" s="174">
        <f t="shared" si="6"/>
        <v>0</v>
      </c>
    </row>
    <row r="27" spans="1:16" x14ac:dyDescent="0.35">
      <c r="A27" s="46" t="s">
        <v>107</v>
      </c>
      <c r="C27" s="320">
        <v>0</v>
      </c>
      <c r="D27" s="183"/>
      <c r="E27" s="108">
        <v>0</v>
      </c>
      <c r="F27" s="108">
        <v>0</v>
      </c>
      <c r="G27" s="118">
        <v>0</v>
      </c>
      <c r="H27" s="73">
        <v>0</v>
      </c>
      <c r="I27" s="74">
        <v>0</v>
      </c>
      <c r="J27" s="157">
        <v>0</v>
      </c>
      <c r="K27" s="148">
        <v>0</v>
      </c>
      <c r="L27" s="134">
        <v>0</v>
      </c>
      <c r="M27" s="79"/>
      <c r="N27" s="59">
        <f t="shared" si="7"/>
        <v>0</v>
      </c>
      <c r="P27" s="174">
        <f t="shared" si="6"/>
        <v>0</v>
      </c>
    </row>
    <row r="28" spans="1:16" x14ac:dyDescent="0.35">
      <c r="C28" s="308"/>
      <c r="D28" s="182"/>
      <c r="E28" s="68"/>
      <c r="F28" s="68"/>
      <c r="G28" s="68"/>
      <c r="H28" s="67"/>
      <c r="I28" s="68"/>
      <c r="J28" s="156"/>
      <c r="K28" s="56"/>
      <c r="L28" s="56"/>
      <c r="M28" s="13"/>
    </row>
    <row r="29" spans="1:16" x14ac:dyDescent="0.35">
      <c r="A29" s="46" t="s">
        <v>67</v>
      </c>
      <c r="C29" s="321"/>
      <c r="D29" s="184"/>
      <c r="E29" s="37"/>
      <c r="F29" s="37"/>
      <c r="G29" s="37"/>
      <c r="H29" s="36"/>
      <c r="I29" s="37"/>
      <c r="J29" s="158"/>
      <c r="K29" s="52"/>
      <c r="L29" s="52"/>
      <c r="M29" s="38"/>
    </row>
    <row r="30" spans="1:16" x14ac:dyDescent="0.35">
      <c r="A30" s="46" t="s">
        <v>24</v>
      </c>
      <c r="C30" s="319">
        <v>0</v>
      </c>
      <c r="D30" s="180"/>
      <c r="E30" s="126">
        <v>0</v>
      </c>
      <c r="F30" s="126">
        <v>0</v>
      </c>
      <c r="G30" s="126">
        <v>0</v>
      </c>
      <c r="H30" s="16">
        <v>0</v>
      </c>
      <c r="I30" s="55">
        <v>0</v>
      </c>
      <c r="J30" s="157">
        <v>0</v>
      </c>
      <c r="K30" s="149">
        <v>0</v>
      </c>
      <c r="L30" s="133">
        <v>0</v>
      </c>
      <c r="M30" s="78"/>
      <c r="P30" s="174">
        <f t="shared" ref="P30:P35" si="8">-SUM(K30:M30)</f>
        <v>0</v>
      </c>
    </row>
    <row r="31" spans="1:16" x14ac:dyDescent="0.35">
      <c r="A31" s="46" t="s">
        <v>105</v>
      </c>
      <c r="C31" s="319">
        <v>0</v>
      </c>
      <c r="D31" s="180"/>
      <c r="E31" s="126">
        <v>0</v>
      </c>
      <c r="F31" s="126">
        <v>0</v>
      </c>
      <c r="G31" s="126">
        <v>0</v>
      </c>
      <c r="H31" s="16">
        <v>0</v>
      </c>
      <c r="I31" s="55">
        <v>0</v>
      </c>
      <c r="J31" s="157">
        <v>0</v>
      </c>
      <c r="K31" s="149">
        <v>0</v>
      </c>
      <c r="L31" s="133">
        <v>0</v>
      </c>
      <c r="M31" s="78"/>
      <c r="P31" s="174">
        <f t="shared" si="8"/>
        <v>0</v>
      </c>
    </row>
    <row r="32" spans="1:16" x14ac:dyDescent="0.35">
      <c r="A32" s="46" t="s">
        <v>106</v>
      </c>
      <c r="C32" s="319">
        <v>0</v>
      </c>
      <c r="D32" s="180"/>
      <c r="E32" s="126">
        <v>0</v>
      </c>
      <c r="F32" s="126">
        <v>0</v>
      </c>
      <c r="G32" s="126">
        <v>0</v>
      </c>
      <c r="H32" s="16">
        <v>0</v>
      </c>
      <c r="I32" s="55">
        <v>0</v>
      </c>
      <c r="J32" s="157">
        <v>0</v>
      </c>
      <c r="K32" s="149">
        <v>0</v>
      </c>
      <c r="L32" s="133">
        <v>0</v>
      </c>
      <c r="M32" s="78"/>
      <c r="P32" s="174">
        <f t="shared" si="8"/>
        <v>0</v>
      </c>
    </row>
    <row r="33" spans="1:16" x14ac:dyDescent="0.35">
      <c r="A33" s="46" t="s">
        <v>107</v>
      </c>
      <c r="C33" s="319">
        <v>0</v>
      </c>
      <c r="D33" s="180"/>
      <c r="E33" s="126">
        <v>0</v>
      </c>
      <c r="F33" s="126">
        <v>0</v>
      </c>
      <c r="G33" s="126">
        <v>0</v>
      </c>
      <c r="H33" s="16">
        <v>0</v>
      </c>
      <c r="I33" s="55">
        <v>0</v>
      </c>
      <c r="J33" s="157">
        <v>0</v>
      </c>
      <c r="K33" s="149">
        <v>0</v>
      </c>
      <c r="L33" s="133">
        <v>0</v>
      </c>
      <c r="M33" s="78"/>
      <c r="O33" s="47"/>
      <c r="P33" s="174">
        <f t="shared" si="8"/>
        <v>0</v>
      </c>
    </row>
    <row r="34" spans="1:16" x14ac:dyDescent="0.35">
      <c r="C34" s="304"/>
      <c r="D34" s="181"/>
      <c r="E34" s="18"/>
      <c r="F34" s="18"/>
      <c r="G34" s="18"/>
      <c r="H34" s="90"/>
      <c r="I34" s="18"/>
      <c r="J34" s="155"/>
      <c r="K34" s="56"/>
      <c r="L34" s="56"/>
      <c r="M34" s="13"/>
    </row>
    <row r="35" spans="1:16" ht="15" thickBot="1" x14ac:dyDescent="0.4">
      <c r="A35" s="3" t="s">
        <v>15</v>
      </c>
      <c r="B35" s="3"/>
      <c r="C35" s="322">
        <v>-7380.68</v>
      </c>
      <c r="D35" s="185"/>
      <c r="E35" s="126">
        <v>3910.9700000000003</v>
      </c>
      <c r="F35" s="126">
        <v>3463.76</v>
      </c>
      <c r="G35" s="127">
        <v>2978.1499999999996</v>
      </c>
      <c r="H35" s="26">
        <v>2596.98</v>
      </c>
      <c r="I35" s="115">
        <v>2403.12</v>
      </c>
      <c r="J35" s="159">
        <v>2228.3199999999997</v>
      </c>
      <c r="K35" s="150">
        <f>ROUND((SUM(J42:J43)+SUM(J47:J48)+SUM(K38:K39)/2)*K$45,2)</f>
        <v>2057.41</v>
      </c>
      <c r="L35" s="135">
        <f>ROUND((SUM(K42:K43)+SUM(K47:K48)+SUM(L38:L39)/2)*L$45,2)</f>
        <v>1876.44</v>
      </c>
      <c r="M35" s="81"/>
      <c r="P35" s="174">
        <f t="shared" si="8"/>
        <v>-3933.85</v>
      </c>
    </row>
    <row r="36" spans="1:16" x14ac:dyDescent="0.35">
      <c r="C36" s="64"/>
      <c r="D36" s="188"/>
      <c r="E36" s="66"/>
      <c r="F36" s="66"/>
      <c r="G36" s="33"/>
      <c r="H36" s="64"/>
      <c r="I36" s="33"/>
      <c r="J36" s="160"/>
      <c r="K36" s="34"/>
      <c r="L36" s="34"/>
      <c r="M36" s="60"/>
    </row>
    <row r="37" spans="1:16" x14ac:dyDescent="0.35">
      <c r="A37" s="46" t="s">
        <v>51</v>
      </c>
      <c r="C37" s="65"/>
      <c r="D37" s="189"/>
      <c r="E37" s="35"/>
      <c r="F37" s="35"/>
      <c r="G37" s="35"/>
      <c r="H37" s="65"/>
      <c r="I37" s="35"/>
      <c r="J37" s="161"/>
      <c r="K37" s="34"/>
      <c r="L37" s="34"/>
      <c r="M37" s="60"/>
    </row>
    <row r="38" spans="1:16" x14ac:dyDescent="0.35">
      <c r="A38" s="46" t="s">
        <v>24</v>
      </c>
      <c r="C38" s="186">
        <f t="shared" ref="C38:M38" si="9">C30-C18</f>
        <v>152585.22</v>
      </c>
      <c r="D38" s="190">
        <f t="shared" si="9"/>
        <v>0</v>
      </c>
      <c r="E38" s="41">
        <f t="shared" si="9"/>
        <v>-34319.199999999997</v>
      </c>
      <c r="F38" s="41">
        <f>F30-F18</f>
        <v>-45746.99</v>
      </c>
      <c r="G38" s="105">
        <f>G30-G18</f>
        <v>-60391.45</v>
      </c>
      <c r="H38" s="40">
        <f>H30-H18</f>
        <v>-24466.59</v>
      </c>
      <c r="I38" s="41">
        <f>I30-I18</f>
        <v>-16820.14</v>
      </c>
      <c r="J38" s="61">
        <f>J30-J18</f>
        <v>-15337.43</v>
      </c>
      <c r="K38" s="116">
        <f t="shared" si="9"/>
        <v>-15141.57</v>
      </c>
      <c r="L38" s="41">
        <f t="shared" si="9"/>
        <v>-18902.150000000001</v>
      </c>
      <c r="M38" s="61">
        <f t="shared" si="9"/>
        <v>-26457.75</v>
      </c>
    </row>
    <row r="39" spans="1:16" x14ac:dyDescent="0.35">
      <c r="A39" s="46" t="s">
        <v>25</v>
      </c>
      <c r="C39" s="186">
        <f>SUM(C31:C33)-SUM(C19:C21)</f>
        <v>106473.3</v>
      </c>
      <c r="D39" s="190">
        <f t="shared" ref="D39:M39" si="10">SUM(D31:D33)-SUM(D19:D21)</f>
        <v>0</v>
      </c>
      <c r="E39" s="41">
        <f t="shared" si="10"/>
        <v>-33511.31</v>
      </c>
      <c r="F39" s="41">
        <f>SUM(F31:F33)-SUM(F19:F21)</f>
        <v>-35626.160000000003</v>
      </c>
      <c r="G39" s="105">
        <f>SUM(G31:G33)-SUM(G19:G21)</f>
        <v>-39220.160000000003</v>
      </c>
      <c r="H39" s="40">
        <f>SUM(H31:H33)-SUM(H19:H21)</f>
        <v>-18981.48</v>
      </c>
      <c r="I39" s="41">
        <f>SUM(I31:I33)-SUM(I19:I21)</f>
        <v>-16499.97</v>
      </c>
      <c r="J39" s="61">
        <f>SUM(J31:J33)-SUM(J19:J21)</f>
        <v>-19365.41</v>
      </c>
      <c r="K39" s="116">
        <f t="shared" si="10"/>
        <v>-17299.68</v>
      </c>
      <c r="L39" s="41">
        <f t="shared" si="10"/>
        <v>-19151.68</v>
      </c>
      <c r="M39" s="61">
        <f t="shared" si="10"/>
        <v>-21572.469999999998</v>
      </c>
    </row>
    <row r="40" spans="1:16" x14ac:dyDescent="0.35">
      <c r="C40" s="98"/>
      <c r="D40" s="181"/>
      <c r="E40" s="17"/>
      <c r="F40" s="17"/>
      <c r="G40" s="17"/>
      <c r="H40" s="10"/>
      <c r="I40" s="17"/>
      <c r="J40" s="11"/>
      <c r="K40" s="17"/>
      <c r="L40" s="17"/>
      <c r="M40" s="11"/>
    </row>
    <row r="41" spans="1:16" ht="15" thickBot="1" x14ac:dyDescent="0.4">
      <c r="A41" s="46" t="s">
        <v>52</v>
      </c>
      <c r="C41" s="98"/>
      <c r="D41" s="181"/>
      <c r="E41" s="17"/>
      <c r="F41" s="17"/>
      <c r="G41" s="17"/>
      <c r="H41" s="10"/>
      <c r="I41" s="17"/>
      <c r="J41" s="11"/>
      <c r="K41" s="17"/>
      <c r="L41" s="17"/>
      <c r="M41" s="11"/>
    </row>
    <row r="42" spans="1:16" x14ac:dyDescent="0.35">
      <c r="A42" s="46" t="s">
        <v>24</v>
      </c>
      <c r="B42" s="310">
        <v>270937.95999999973</v>
      </c>
      <c r="C42" s="186">
        <f t="shared" ref="C42:E43" si="11">+B42+C38+B47</f>
        <v>423523.1799999997</v>
      </c>
      <c r="D42" s="190">
        <f t="shared" si="11"/>
        <v>419297.39999999967</v>
      </c>
      <c r="E42" s="41">
        <f t="shared" si="11"/>
        <v>384978.19999999966</v>
      </c>
      <c r="F42" s="41">
        <f t="shared" ref="F42:M42" si="12">+E42+F38+E47</f>
        <v>341470.55999999965</v>
      </c>
      <c r="G42" s="105">
        <f>+F42+G38+F47</f>
        <v>283077.09999999963</v>
      </c>
      <c r="H42" s="40">
        <f t="shared" si="12"/>
        <v>260323.62999999963</v>
      </c>
      <c r="I42" s="41">
        <f t="shared" si="12"/>
        <v>244990.34999999963</v>
      </c>
      <c r="J42" s="61">
        <f t="shared" si="12"/>
        <v>231036.04999999964</v>
      </c>
      <c r="K42" s="116">
        <f t="shared" si="12"/>
        <v>217196.07999999964</v>
      </c>
      <c r="L42" s="41">
        <f t="shared" si="12"/>
        <v>199519.52999999965</v>
      </c>
      <c r="M42" s="61">
        <f t="shared" si="12"/>
        <v>174201.24999999965</v>
      </c>
    </row>
    <row r="43" spans="1:16" ht="15" thickBot="1" x14ac:dyDescent="0.4">
      <c r="A43" s="46" t="s">
        <v>25</v>
      </c>
      <c r="B43" s="311">
        <v>213625.14427000016</v>
      </c>
      <c r="C43" s="186">
        <f t="shared" si="11"/>
        <v>320098.44427000015</v>
      </c>
      <c r="D43" s="190">
        <f t="shared" si="11"/>
        <v>316943.54427000013</v>
      </c>
      <c r="E43" s="41">
        <f t="shared" si="11"/>
        <v>283432.23427000013</v>
      </c>
      <c r="F43" s="41">
        <f t="shared" ref="F43:M43" si="13">+E43+F39+E48</f>
        <v>249477.70427000013</v>
      </c>
      <c r="G43" s="105">
        <f>+F43+G39+F48</f>
        <v>211723.31427000012</v>
      </c>
      <c r="H43" s="40">
        <f t="shared" si="13"/>
        <v>194006.87427000012</v>
      </c>
      <c r="I43" s="41">
        <f t="shared" si="13"/>
        <v>178617.02427000011</v>
      </c>
      <c r="J43" s="61">
        <f t="shared" si="13"/>
        <v>160271.58427000011</v>
      </c>
      <c r="K43" s="116">
        <f t="shared" si="13"/>
        <v>143898.62427000012</v>
      </c>
      <c r="L43" s="41">
        <f t="shared" si="13"/>
        <v>125578.75427000012</v>
      </c>
      <c r="M43" s="61">
        <f t="shared" si="13"/>
        <v>104743.25427000012</v>
      </c>
    </row>
    <row r="44" spans="1:16" x14ac:dyDescent="0.35">
      <c r="C44" s="98"/>
      <c r="D44" s="181"/>
      <c r="E44" s="17"/>
      <c r="F44" s="17"/>
      <c r="G44" s="17"/>
      <c r="H44" s="10"/>
      <c r="I44" s="17"/>
      <c r="J44" s="11"/>
      <c r="K44" s="17"/>
      <c r="L44" s="17"/>
      <c r="M44" s="11"/>
    </row>
    <row r="45" spans="1:16" x14ac:dyDescent="0.35">
      <c r="A45" s="39" t="s">
        <v>121</v>
      </c>
      <c r="B45" s="39"/>
      <c r="C45" s="101"/>
      <c r="D45" s="191"/>
      <c r="E45" s="323">
        <f>+'PCR Cycle 3'!E45</f>
        <v>5.5686099999999999E-3</v>
      </c>
      <c r="F45" s="323">
        <f>+'PCR Cycle 3'!F45</f>
        <v>5.4837899999999997E-3</v>
      </c>
      <c r="G45" s="323">
        <f>+'PCR Cycle 3'!G45</f>
        <v>5.4684599999999996E-3</v>
      </c>
      <c r="H45" s="324">
        <f>+'PCR Cycle 3'!H45</f>
        <v>5.4552200000000002E-3</v>
      </c>
      <c r="I45" s="323">
        <f>+'PCR Cycle 3'!I45</f>
        <v>5.4582900000000002E-3</v>
      </c>
      <c r="J45" s="325">
        <f>+'PCR Cycle 3'!J45</f>
        <v>5.45277E-3</v>
      </c>
      <c r="K45" s="324">
        <f>+'PCR Cycle 3'!K45</f>
        <v>5.45277E-3</v>
      </c>
      <c r="L45" s="323">
        <f>+'PCR Cycle 3'!L45</f>
        <v>5.45277E-3</v>
      </c>
      <c r="M45" s="325"/>
    </row>
    <row r="46" spans="1:16" x14ac:dyDescent="0.35">
      <c r="A46" s="39" t="s">
        <v>36</v>
      </c>
      <c r="B46" s="39"/>
      <c r="C46" s="103"/>
      <c r="D46" s="192"/>
      <c r="E46" s="82"/>
      <c r="F46" s="82"/>
      <c r="G46" s="82"/>
      <c r="H46" s="83"/>
      <c r="I46" s="82"/>
      <c r="J46" s="84"/>
      <c r="K46" s="82"/>
      <c r="L46" s="82"/>
      <c r="M46" s="84"/>
    </row>
    <row r="47" spans="1:16" x14ac:dyDescent="0.35">
      <c r="A47" s="46" t="s">
        <v>24</v>
      </c>
      <c r="C47" s="318">
        <v>-4225.78</v>
      </c>
      <c r="D47" s="190"/>
      <c r="E47" s="41">
        <f>ROUND((D42+D47+E38/2)*E$45,2)</f>
        <v>2239.35</v>
      </c>
      <c r="F47" s="41">
        <f t="shared" ref="F47:F48" si="14">ROUND((E42+E47+F38/2)*F$45,2)</f>
        <v>1997.99</v>
      </c>
      <c r="G47" s="105">
        <f t="shared" ref="G47:G48" si="15">ROUND((F42+F47+G38/2)*G$45,2)</f>
        <v>1713.12</v>
      </c>
      <c r="H47" s="40">
        <f t="shared" ref="H47:H48" si="16">ROUND((G42+G47+H38/2)*H$45,2)</f>
        <v>1486.86</v>
      </c>
      <c r="I47" s="116">
        <f t="shared" ref="I47:J48" si="17">ROUND((H42+H47+I38/2)*I$45,2)</f>
        <v>1383.13</v>
      </c>
      <c r="J47" s="61">
        <f t="shared" si="17"/>
        <v>1301.5999999999999</v>
      </c>
      <c r="K47" s="151">
        <f t="shared" ref="K47:K48" si="18">ROUND((J42+J47+K38/2)*K$45,2)</f>
        <v>1225.5999999999999</v>
      </c>
      <c r="L47" s="105">
        <f t="shared" ref="L47:L48" si="19">ROUND((K42+K47+L38/2)*L$45,2)</f>
        <v>1139.47</v>
      </c>
      <c r="M47" s="61">
        <f t="shared" ref="M47:M48" si="20">ROUND((L42+L47+M38/2)*M$45,2)</f>
        <v>0</v>
      </c>
      <c r="P47" s="174">
        <f t="shared" ref="P47:P48" si="21">-SUM(K47:M47)</f>
        <v>-2365.0699999999997</v>
      </c>
    </row>
    <row r="48" spans="1:16" ht="15" thickBot="1" x14ac:dyDescent="0.4">
      <c r="A48" s="46" t="s">
        <v>25</v>
      </c>
      <c r="C48" s="318">
        <v>-3154.8999999999996</v>
      </c>
      <c r="D48" s="190"/>
      <c r="E48" s="41">
        <f>ROUND((D43+D48+E39/2)*E$45,2)</f>
        <v>1671.63</v>
      </c>
      <c r="F48" s="41">
        <f t="shared" si="14"/>
        <v>1465.77</v>
      </c>
      <c r="G48" s="105">
        <f t="shared" si="15"/>
        <v>1265.04</v>
      </c>
      <c r="H48" s="40">
        <f t="shared" si="16"/>
        <v>1110.1199999999999</v>
      </c>
      <c r="I48" s="116">
        <f t="shared" si="17"/>
        <v>1019.97</v>
      </c>
      <c r="J48" s="61">
        <f t="shared" si="17"/>
        <v>926.72</v>
      </c>
      <c r="K48" s="151">
        <f t="shared" si="18"/>
        <v>831.81</v>
      </c>
      <c r="L48" s="105">
        <f t="shared" si="19"/>
        <v>736.97</v>
      </c>
      <c r="M48" s="61">
        <f t="shared" si="20"/>
        <v>0</v>
      </c>
      <c r="P48" s="174">
        <f t="shared" si="21"/>
        <v>-1568.78</v>
      </c>
    </row>
    <row r="49" spans="1:13" ht="15.5" thickTop="1" thickBot="1" x14ac:dyDescent="0.4">
      <c r="A49" s="54" t="s">
        <v>22</v>
      </c>
      <c r="B49" s="54"/>
      <c r="C49" s="187">
        <v>0</v>
      </c>
      <c r="D49" s="193"/>
      <c r="E49" s="42">
        <f>SUM(E47:E48)+SUM(E42:E43)-E52</f>
        <v>0</v>
      </c>
      <c r="F49" s="42">
        <f t="shared" ref="F49:M49" si="22">SUM(F47:F48)+SUM(F42:F43)-F52</f>
        <v>0</v>
      </c>
      <c r="G49" s="50">
        <f t="shared" si="22"/>
        <v>0</v>
      </c>
      <c r="H49" s="51">
        <f t="shared" si="22"/>
        <v>0</v>
      </c>
      <c r="I49" s="42">
        <f t="shared" si="22"/>
        <v>0</v>
      </c>
      <c r="J49" s="62">
        <f t="shared" si="22"/>
        <v>0</v>
      </c>
      <c r="K49" s="152">
        <f t="shared" si="22"/>
        <v>0</v>
      </c>
      <c r="L49" s="50">
        <f t="shared" si="22"/>
        <v>0</v>
      </c>
      <c r="M49" s="62">
        <f t="shared" si="22"/>
        <v>0</v>
      </c>
    </row>
    <row r="50" spans="1:13" ht="15.5" thickTop="1" thickBot="1" x14ac:dyDescent="0.4">
      <c r="A50" s="54" t="s">
        <v>23</v>
      </c>
      <c r="B50" s="54"/>
      <c r="C50" s="187">
        <v>0</v>
      </c>
      <c r="D50" s="193"/>
      <c r="E50" s="42">
        <f>SUM(E47:E48)-E35</f>
        <v>9.9999999997635314E-3</v>
      </c>
      <c r="F50" s="42">
        <f t="shared" ref="F50:J50" si="23">SUM(F47:F48)-F35</f>
        <v>0</v>
      </c>
      <c r="G50" s="50">
        <f t="shared" ref="G50:I50" si="24">SUM(G47:G48)-G35</f>
        <v>1.0000000000218279E-2</v>
      </c>
      <c r="H50" s="51">
        <f t="shared" si="24"/>
        <v>0</v>
      </c>
      <c r="I50" s="42">
        <f t="shared" si="24"/>
        <v>-1.9999999999527063E-2</v>
      </c>
      <c r="J50" s="62">
        <f t="shared" si="23"/>
        <v>0</v>
      </c>
      <c r="K50" s="153">
        <f t="shared" ref="K50:M50" si="25">SUM(K47:K48)-K35</f>
        <v>0</v>
      </c>
      <c r="L50" s="42">
        <f t="shared" si="25"/>
        <v>0</v>
      </c>
      <c r="M50" s="42">
        <f t="shared" si="25"/>
        <v>0</v>
      </c>
    </row>
    <row r="51" spans="1:13" ht="15.5" thickTop="1" thickBot="1" x14ac:dyDescent="0.4">
      <c r="C51" s="98"/>
      <c r="D51" s="181"/>
      <c r="E51" s="17"/>
      <c r="F51" s="17"/>
      <c r="G51" s="17"/>
      <c r="H51" s="10"/>
      <c r="I51" s="17"/>
      <c r="J51" s="11"/>
      <c r="K51" s="17"/>
      <c r="L51" s="17"/>
      <c r="M51" s="11"/>
    </row>
    <row r="52" spans="1:13" ht="15" thickBot="1" x14ac:dyDescent="0.4">
      <c r="A52" s="46" t="s">
        <v>35</v>
      </c>
      <c r="B52" s="113">
        <f>+B42+B43</f>
        <v>484563.10426999989</v>
      </c>
      <c r="C52" s="186">
        <f t="shared" ref="C52:M52" si="26">(C15-SUM(C18:C21))+SUM(C47:C48)+B52</f>
        <v>736240.94426999986</v>
      </c>
      <c r="D52" s="190">
        <f t="shared" si="26"/>
        <v>736240.94426999986</v>
      </c>
      <c r="E52" s="41">
        <f t="shared" si="26"/>
        <v>672321.41426999983</v>
      </c>
      <c r="F52" s="41">
        <f>(F15-SUM(F18:F21))+SUM(F47:F48)+E52</f>
        <v>594412.02426999982</v>
      </c>
      <c r="G52" s="105">
        <f>(G15-SUM(G18:G21))+SUM(G47:G48)+F52</f>
        <v>497778.57426999981</v>
      </c>
      <c r="H52" s="40">
        <f>(H15-SUM(H18:H21))+SUM(H47:H48)+G52</f>
        <v>456927.48426999978</v>
      </c>
      <c r="I52" s="41">
        <f>(I15-SUM(I18:I21))+SUM(I47:I48)+H52</f>
        <v>426010.47426999977</v>
      </c>
      <c r="J52" s="61">
        <f>(J15-SUM(J18:J21))+SUM(J47:J48)+I52</f>
        <v>393535.95426999975</v>
      </c>
      <c r="K52" s="151">
        <f t="shared" si="26"/>
        <v>363152.11426999973</v>
      </c>
      <c r="L52" s="105">
        <f t="shared" si="26"/>
        <v>326974.72426999972</v>
      </c>
      <c r="M52" s="61">
        <f t="shared" si="26"/>
        <v>278944.50426999974</v>
      </c>
    </row>
    <row r="53" spans="1:13" x14ac:dyDescent="0.35">
      <c r="A53" s="46" t="s">
        <v>12</v>
      </c>
      <c r="C53" s="114"/>
      <c r="D53" s="194"/>
      <c r="E53" s="17"/>
      <c r="F53" s="17"/>
      <c r="G53" s="17"/>
      <c r="H53" s="10"/>
      <c r="I53" s="17"/>
      <c r="J53" s="11"/>
      <c r="K53" s="17"/>
      <c r="L53" s="17"/>
      <c r="M53" s="11"/>
    </row>
    <row r="54" spans="1:13" ht="15" thickBot="1" x14ac:dyDescent="0.4">
      <c r="A54" s="37"/>
      <c r="B54" s="37"/>
      <c r="C54" s="138"/>
      <c r="D54" s="195"/>
      <c r="E54" s="44"/>
      <c r="F54" s="44"/>
      <c r="G54" s="44"/>
      <c r="H54" s="43"/>
      <c r="I54" s="44"/>
      <c r="J54" s="45"/>
      <c r="K54" s="44"/>
      <c r="L54" s="44"/>
      <c r="M54" s="45"/>
    </row>
    <row r="56" spans="1:13" x14ac:dyDescent="0.35">
      <c r="A56" s="69" t="s">
        <v>11</v>
      </c>
      <c r="B56" s="69"/>
      <c r="C56" s="69"/>
      <c r="D56" s="69"/>
    </row>
    <row r="57" spans="1:13" ht="34.5" customHeight="1" x14ac:dyDescent="0.35">
      <c r="A57" s="368" t="s">
        <v>224</v>
      </c>
      <c r="B57" s="368"/>
      <c r="C57" s="368"/>
      <c r="D57" s="368"/>
      <c r="E57" s="368"/>
      <c r="F57" s="368"/>
      <c r="G57" s="368"/>
      <c r="H57" s="368"/>
      <c r="I57" s="368"/>
      <c r="J57" s="368"/>
      <c r="K57" s="176"/>
      <c r="L57" s="136"/>
      <c r="M57" s="136"/>
    </row>
    <row r="58" spans="1:13" ht="56.5" customHeight="1" x14ac:dyDescent="0.35">
      <c r="A58" s="368" t="s">
        <v>295</v>
      </c>
      <c r="B58" s="369"/>
      <c r="C58" s="369"/>
      <c r="D58" s="369"/>
      <c r="E58" s="369"/>
      <c r="F58" s="369"/>
      <c r="G58" s="369"/>
      <c r="H58" s="369"/>
      <c r="I58" s="369"/>
      <c r="J58" s="369"/>
      <c r="K58" s="369"/>
      <c r="L58" s="136"/>
      <c r="M58" s="136"/>
    </row>
    <row r="59" spans="1:13" ht="33.75" customHeight="1" x14ac:dyDescent="0.35">
      <c r="A59" s="368" t="s">
        <v>225</v>
      </c>
      <c r="B59" s="368"/>
      <c r="C59" s="368"/>
      <c r="D59" s="368"/>
      <c r="E59" s="368"/>
      <c r="F59" s="368"/>
      <c r="G59" s="368"/>
      <c r="H59" s="368"/>
      <c r="I59" s="368"/>
      <c r="J59" s="368"/>
      <c r="K59" s="176"/>
      <c r="L59" s="136"/>
      <c r="M59" s="136"/>
    </row>
    <row r="60" spans="1:13" x14ac:dyDescent="0.35">
      <c r="A60" s="368" t="s">
        <v>305</v>
      </c>
      <c r="B60" s="369"/>
      <c r="C60" s="369"/>
      <c r="D60" s="369"/>
      <c r="E60" s="369"/>
      <c r="F60" s="369"/>
      <c r="G60" s="369"/>
      <c r="H60" s="369"/>
      <c r="I60" s="369"/>
      <c r="J60" s="369"/>
      <c r="K60" s="369"/>
    </row>
    <row r="61" spans="1:13" x14ac:dyDescent="0.35">
      <c r="A61" s="63" t="s">
        <v>296</v>
      </c>
      <c r="B61" s="3"/>
      <c r="C61" s="3"/>
      <c r="D61" s="3"/>
    </row>
    <row r="62" spans="1:13" x14ac:dyDescent="0.35">
      <c r="A62" s="3" t="s">
        <v>68</v>
      </c>
      <c r="B62" s="3"/>
      <c r="C62" s="3"/>
      <c r="D62" s="3"/>
    </row>
    <row r="63" spans="1:13" x14ac:dyDescent="0.35">
      <c r="A63" s="3" t="s">
        <v>179</v>
      </c>
      <c r="B63" s="3"/>
      <c r="C63" s="3"/>
      <c r="D63" s="3"/>
    </row>
  </sheetData>
  <mergeCells count="7">
    <mergeCell ref="A60:K60"/>
    <mergeCell ref="A59:J59"/>
    <mergeCell ref="E13:G13"/>
    <mergeCell ref="A57:J57"/>
    <mergeCell ref="A58:K58"/>
    <mergeCell ref="H13:J13"/>
    <mergeCell ref="K13:M13"/>
  </mergeCells>
  <pageMargins left="0.2" right="0.2" top="0.75" bottom="0.25" header="0.3" footer="0.3"/>
  <pageSetup scale="49" orientation="landscape" r:id="rId1"/>
  <headerFooter>
    <oddHeader>&amp;C&amp;F &amp;A&amp;R&amp;"Arial"&amp;10&amp;K000000CONFIDENTIAL</oddHeader>
    <oddFooter xml:space="preserve">&amp;R_x000D_&amp;1#&amp;"Calibri"&amp;10&amp;KA80000 Restricted – Sensitive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C6FD-573A-4176-92FB-AA44C927F50B}">
  <sheetPr>
    <pageSetUpPr fitToPage="1"/>
  </sheetPr>
  <dimension ref="A1:AJ66"/>
  <sheetViews>
    <sheetView zoomScale="85" zoomScaleNormal="85" workbookViewId="0">
      <pane xSplit="2" ySplit="11" topLeftCell="C12" activePane="bottomRight" state="frozen"/>
      <selection activeCell="E10" sqref="E10"/>
      <selection pane="topRight" activeCell="E10" sqref="E10"/>
      <selection pane="bottomLeft" activeCell="E10" sqref="E10"/>
      <selection pane="bottomRight" activeCell="E10" sqref="E10"/>
    </sheetView>
  </sheetViews>
  <sheetFormatPr defaultColWidth="9.1796875" defaultRowHeight="14.5" outlineLevelCol="1" x14ac:dyDescent="0.35"/>
  <cols>
    <col min="1" max="1" width="61.7265625" style="46" customWidth="1"/>
    <col min="2" max="2" width="12.1796875" style="46" customWidth="1"/>
    <col min="3" max="3" width="12.453125" style="46" customWidth="1"/>
    <col min="4" max="4" width="12.453125" style="46" hidden="1" customWidth="1" outlineLevel="1"/>
    <col min="5" max="5" width="15.453125" style="46" customWidth="1" collapsed="1"/>
    <col min="6" max="6" width="15.81640625" style="46" customWidth="1"/>
    <col min="7" max="7" width="12.26953125" style="46" customWidth="1"/>
    <col min="8" max="9" width="13.26953125" style="46" customWidth="1"/>
    <col min="10" max="10" width="12.26953125" style="46" bestFit="1" customWidth="1"/>
    <col min="11" max="11" width="11.54296875" style="46" bestFit="1" customWidth="1"/>
    <col min="12" max="12" width="12.81640625" style="46" customWidth="1"/>
    <col min="13" max="13" width="12.26953125" style="46" bestFit="1" customWidth="1"/>
    <col min="14" max="14" width="15" style="46" bestFit="1" customWidth="1"/>
    <col min="15" max="15" width="16" style="46" bestFit="1" customWidth="1"/>
    <col min="16" max="16" width="17.81640625" style="174" customWidth="1" outlineLevel="1"/>
    <col min="17" max="17" width="15.26953125" style="46" bestFit="1" customWidth="1"/>
    <col min="18" max="18" width="17.453125" style="46" bestFit="1" customWidth="1"/>
    <col min="19" max="19" width="16.26953125" style="46" bestFit="1" customWidth="1"/>
    <col min="20" max="20" width="15.26953125" style="46" bestFit="1" customWidth="1"/>
    <col min="21" max="21" width="12.453125" style="46" customWidth="1"/>
    <col min="22" max="23" width="14.26953125" style="46" bestFit="1" customWidth="1"/>
    <col min="24" max="16384" width="9.1796875" style="46"/>
  </cols>
  <sheetData>
    <row r="1" spans="1:36" x14ac:dyDescent="0.35">
      <c r="A1" s="3" t="str">
        <f>+'PPC Cycle 3'!A1</f>
        <v>Evergy Missouri West, Inc. - DSIM Rider Update Filed 06/01/2024</v>
      </c>
      <c r="B1" s="3"/>
      <c r="C1" s="3"/>
      <c r="D1" s="3"/>
    </row>
    <row r="2" spans="1:36" x14ac:dyDescent="0.35">
      <c r="E2" s="3" t="s">
        <v>137</v>
      </c>
    </row>
    <row r="3" spans="1:36" ht="29" x14ac:dyDescent="0.35">
      <c r="E3" s="48" t="s">
        <v>45</v>
      </c>
      <c r="F3" s="70" t="s">
        <v>69</v>
      </c>
      <c r="G3" s="70" t="s">
        <v>53</v>
      </c>
      <c r="H3" s="48" t="s">
        <v>3</v>
      </c>
      <c r="I3" s="70" t="s">
        <v>54</v>
      </c>
      <c r="J3" s="48" t="s">
        <v>10</v>
      </c>
      <c r="K3" s="48" t="s">
        <v>9</v>
      </c>
      <c r="T3" s="48"/>
    </row>
    <row r="4" spans="1:36" x14ac:dyDescent="0.35">
      <c r="A4" s="20" t="s">
        <v>24</v>
      </c>
      <c r="B4" s="20"/>
      <c r="C4" s="20"/>
      <c r="D4" s="20"/>
      <c r="E4" s="22">
        <f>SUM(C15:M15)</f>
        <v>658925.40999999992</v>
      </c>
      <c r="F4" s="128">
        <f>N21</f>
        <v>18418207.836098026</v>
      </c>
      <c r="G4" s="22">
        <f>SUM(C27:L27)</f>
        <v>700902.71</v>
      </c>
      <c r="H4" s="22">
        <f>G4-E4</f>
        <v>41977.300000000047</v>
      </c>
      <c r="I4" s="22">
        <f>+B41</f>
        <v>-216678.61999999976</v>
      </c>
      <c r="J4" s="22">
        <f>SUM(C48:L48)</f>
        <v>-3661.76</v>
      </c>
      <c r="K4" s="25">
        <f>SUM(H4:J4)</f>
        <v>-178363.07999999973</v>
      </c>
      <c r="L4" s="47">
        <f>+K4-M41</f>
        <v>0</v>
      </c>
    </row>
    <row r="5" spans="1:36" x14ac:dyDescent="0.35">
      <c r="A5" s="20" t="s">
        <v>105</v>
      </c>
      <c r="B5" s="20"/>
      <c r="C5" s="20"/>
      <c r="D5" s="20"/>
      <c r="E5" s="22">
        <f>SUM(C16:M16)</f>
        <v>203012.18000000002</v>
      </c>
      <c r="F5" s="128">
        <f>N22</f>
        <v>8084709.1943523902</v>
      </c>
      <c r="G5" s="22">
        <f>SUM(C28:L28)</f>
        <v>321319.27</v>
      </c>
      <c r="H5" s="22">
        <f t="shared" ref="H5:H6" si="0">G5-E5</f>
        <v>118307.09</v>
      </c>
      <c r="I5" s="22">
        <f>+B42</f>
        <v>-203345.02000000002</v>
      </c>
      <c r="J5" s="22">
        <f>SUM(C49:L49)</f>
        <v>-4322.2000000000007</v>
      </c>
      <c r="K5" s="25">
        <f t="shared" ref="K5:K6" si="1">SUM(H5:J5)</f>
        <v>-89360.130000000019</v>
      </c>
      <c r="L5" s="47">
        <f t="shared" ref="L5:L6" si="2">+K5-M42</f>
        <v>0</v>
      </c>
    </row>
    <row r="6" spans="1:36" x14ac:dyDescent="0.35">
      <c r="A6" s="20" t="s">
        <v>106</v>
      </c>
      <c r="B6" s="20"/>
      <c r="C6" s="20"/>
      <c r="D6" s="20"/>
      <c r="E6" s="22">
        <f>SUM(C17:M17)</f>
        <v>223310.16</v>
      </c>
      <c r="F6" s="128">
        <f>N23</f>
        <v>14167881.102201845</v>
      </c>
      <c r="G6" s="22">
        <f>SUM(C29:L29)</f>
        <v>306116.23000000004</v>
      </c>
      <c r="H6" s="22">
        <f t="shared" si="0"/>
        <v>82806.070000000036</v>
      </c>
      <c r="I6" s="22">
        <f>+B43</f>
        <v>-58094.289999999928</v>
      </c>
      <c r="J6" s="22">
        <f>SUM(C50:L50)</f>
        <v>431.34000000000003</v>
      </c>
      <c r="K6" s="25">
        <f t="shared" si="1"/>
        <v>25143.120000000108</v>
      </c>
      <c r="L6" s="47">
        <f t="shared" si="2"/>
        <v>4.3655745685100555E-11</v>
      </c>
    </row>
    <row r="7" spans="1:36" ht="15" thickBot="1" x14ac:dyDescent="0.4">
      <c r="A7" s="20" t="s">
        <v>107</v>
      </c>
      <c r="B7" s="20"/>
      <c r="C7" s="20"/>
      <c r="D7" s="20"/>
      <c r="E7" s="22">
        <f>SUM(C18:M18)</f>
        <v>15140.23</v>
      </c>
      <c r="F7" s="128">
        <f>N24</f>
        <v>4804869.4429889526</v>
      </c>
      <c r="G7" s="22">
        <f>SUM(C30:L30)</f>
        <v>44704.33</v>
      </c>
      <c r="H7" s="22">
        <f>G7-E7</f>
        <v>29564.100000000002</v>
      </c>
      <c r="I7" s="22">
        <f>+B44</f>
        <v>-8286.5999999999804</v>
      </c>
      <c r="J7" s="22">
        <f>SUM(C51:L51)</f>
        <v>278.16000000000003</v>
      </c>
      <c r="K7" s="25">
        <f>SUM(H7:J7)</f>
        <v>21555.660000000022</v>
      </c>
      <c r="L7" s="47">
        <f>+K7-M44</f>
        <v>0</v>
      </c>
    </row>
    <row r="8" spans="1:36" ht="15.5" thickTop="1" thickBot="1" x14ac:dyDescent="0.4">
      <c r="E8" s="27">
        <f t="shared" ref="E8:K8" si="3">SUM(E4:E7)</f>
        <v>1100387.98</v>
      </c>
      <c r="F8" s="129">
        <f t="shared" si="3"/>
        <v>45475667.575641222</v>
      </c>
      <c r="G8" s="27">
        <f t="shared" si="3"/>
        <v>1373042.54</v>
      </c>
      <c r="H8" s="27">
        <f t="shared" si="3"/>
        <v>272654.56000000006</v>
      </c>
      <c r="I8" s="27">
        <f t="shared" si="3"/>
        <v>-486404.52999999968</v>
      </c>
      <c r="J8" s="27">
        <f t="shared" si="3"/>
        <v>-7274.4600000000009</v>
      </c>
      <c r="K8" s="27">
        <f t="shared" si="3"/>
        <v>-221024.42999999959</v>
      </c>
      <c r="U8" s="5"/>
    </row>
    <row r="9" spans="1:36" ht="15.5" thickTop="1" thickBot="1" x14ac:dyDescent="0.4">
      <c r="W9" s="4"/>
      <c r="X9" s="5"/>
    </row>
    <row r="10" spans="1:36" ht="116.5" thickBot="1" x14ac:dyDescent="0.4">
      <c r="B10" s="112" t="str">
        <f>+'PCR Cycle 2'!B13</f>
        <v>Cumulative Over/Under Carryover From 12/01/2023 Filing</v>
      </c>
      <c r="C10" s="143" t="str">
        <f>+'PCR Cycle 2'!C13</f>
        <v>Reverse November 2023 - January 2024 Forecast From 12/01/2023 Filing</v>
      </c>
      <c r="D10" s="196"/>
      <c r="E10" s="383" t="s">
        <v>32</v>
      </c>
      <c r="F10" s="373"/>
      <c r="G10" s="374"/>
      <c r="H10" s="380" t="s">
        <v>32</v>
      </c>
      <c r="I10" s="381"/>
      <c r="J10" s="382"/>
      <c r="K10" s="370" t="s">
        <v>8</v>
      </c>
      <c r="L10" s="371"/>
      <c r="M10" s="372"/>
      <c r="P10" s="280" t="s">
        <v>223</v>
      </c>
    </row>
    <row r="11" spans="1:36" x14ac:dyDescent="0.35">
      <c r="A11" s="46" t="s">
        <v>62</v>
      </c>
      <c r="C11" s="102"/>
      <c r="D11" s="197"/>
      <c r="E11" s="19">
        <f>+'PCR Cycle 2'!D14</f>
        <v>45260</v>
      </c>
      <c r="F11" s="19">
        <f t="shared" ref="F11:M11" si="4">EOMONTH(E11,1)</f>
        <v>45291</v>
      </c>
      <c r="G11" s="19">
        <f t="shared" si="4"/>
        <v>45322</v>
      </c>
      <c r="H11" s="14">
        <f t="shared" si="4"/>
        <v>45351</v>
      </c>
      <c r="I11" s="19">
        <f t="shared" si="4"/>
        <v>45382</v>
      </c>
      <c r="J11" s="15">
        <f t="shared" si="4"/>
        <v>45412</v>
      </c>
      <c r="K11" s="19">
        <f t="shared" si="4"/>
        <v>45443</v>
      </c>
      <c r="L11" s="19">
        <f t="shared" si="4"/>
        <v>45473</v>
      </c>
      <c r="M11" s="15">
        <f t="shared" si="4"/>
        <v>45504</v>
      </c>
      <c r="AA11" s="1"/>
      <c r="AB11" s="1"/>
      <c r="AC11" s="1"/>
      <c r="AD11" s="1"/>
      <c r="AE11" s="1"/>
      <c r="AF11" s="1"/>
      <c r="AG11" s="1"/>
      <c r="AH11" s="1"/>
      <c r="AI11" s="1"/>
      <c r="AJ11" s="1"/>
    </row>
    <row r="12" spans="1:36" x14ac:dyDescent="0.35">
      <c r="A12" s="46" t="s">
        <v>5</v>
      </c>
      <c r="C12" s="177">
        <v>-332731.01</v>
      </c>
      <c r="D12" s="180"/>
      <c r="E12" s="106">
        <f>SUM(E27:E30)</f>
        <v>171445.88</v>
      </c>
      <c r="F12" s="106">
        <f t="shared" ref="F12:L12" si="5">SUM(F27:F30)</f>
        <v>178925.49</v>
      </c>
      <c r="G12" s="107">
        <f t="shared" si="5"/>
        <v>181912.99</v>
      </c>
      <c r="H12" s="16">
        <f t="shared" si="5"/>
        <v>169940.80000000002</v>
      </c>
      <c r="I12" s="55">
        <f t="shared" si="5"/>
        <v>198447.7</v>
      </c>
      <c r="J12" s="154">
        <f t="shared" si="5"/>
        <v>202164.40000000002</v>
      </c>
      <c r="K12" s="147">
        <f t="shared" si="5"/>
        <v>224926.19999999998</v>
      </c>
      <c r="L12" s="77">
        <f t="shared" si="5"/>
        <v>378010.09</v>
      </c>
      <c r="M12" s="78"/>
      <c r="P12" s="174">
        <f>-SUM(K12:M12)</f>
        <v>-602936.29</v>
      </c>
    </row>
    <row r="13" spans="1:36" x14ac:dyDescent="0.35">
      <c r="C13" s="98"/>
      <c r="D13" s="181"/>
      <c r="E13" s="17"/>
      <c r="F13" s="17"/>
      <c r="G13" s="17"/>
      <c r="H13" s="10"/>
      <c r="I13" s="17"/>
      <c r="J13" s="11"/>
      <c r="K13" s="31"/>
      <c r="L13" s="31"/>
      <c r="M13" s="29"/>
    </row>
    <row r="14" spans="1:36" x14ac:dyDescent="0.35">
      <c r="A14" s="46" t="s">
        <v>61</v>
      </c>
      <c r="C14" s="98"/>
      <c r="D14" s="181"/>
      <c r="E14" s="18"/>
      <c r="F14" s="18"/>
      <c r="G14" s="18"/>
      <c r="H14" s="90"/>
      <c r="I14" s="18"/>
      <c r="J14" s="155"/>
      <c r="K14" s="31"/>
      <c r="L14" s="31"/>
      <c r="M14" s="29"/>
      <c r="N14" s="3" t="s">
        <v>66</v>
      </c>
      <c r="O14" s="39"/>
    </row>
    <row r="15" spans="1:36" x14ac:dyDescent="0.35">
      <c r="A15" s="46" t="s">
        <v>24</v>
      </c>
      <c r="C15" s="177">
        <v>-343316.75</v>
      </c>
      <c r="D15" s="180">
        <v>0</v>
      </c>
      <c r="E15" s="126">
        <f>ROUND('[4]November 2023'!$G90,2)</f>
        <v>77204.740000000005</v>
      </c>
      <c r="F15" s="126">
        <f>ROUND('[4]December 2023'!$G90,2)</f>
        <v>102927.87</v>
      </c>
      <c r="G15" s="126">
        <f>ROUND('[4]January 2024'!$G90,2)</f>
        <v>135899.73000000001</v>
      </c>
      <c r="H15" s="16">
        <f>ROUND('[4]February 2024'!$G90,2)</f>
        <v>143275.72</v>
      </c>
      <c r="I15" s="55">
        <f>ROUND('[4]March 2024'!$G90,2)</f>
        <v>98670.78</v>
      </c>
      <c r="J15" s="232">
        <f>ROUND('[4]April 2024'!$G90,2)</f>
        <v>89897.53</v>
      </c>
      <c r="K15" s="116">
        <f>ROUND('PCR Cycle 2'!J26*'TDR Cycle 3'!$N15,2)</f>
        <v>88686.34</v>
      </c>
      <c r="L15" s="41">
        <f>ROUND('PCR Cycle 2'!K26*'TDR Cycle 3'!$N15,2)</f>
        <v>110712.61</v>
      </c>
      <c r="M15" s="61">
        <f>ROUND('PCR Cycle 2'!L26*'TDR Cycle 3'!$N15,2)</f>
        <v>154966.84</v>
      </c>
      <c r="N15" s="72">
        <v>4.0999999999999999E-4</v>
      </c>
      <c r="O15" s="4"/>
      <c r="P15" s="174">
        <f t="shared" ref="P15:P18" si="6">-SUM(K15:M15)</f>
        <v>-354365.79000000004</v>
      </c>
    </row>
    <row r="16" spans="1:36" x14ac:dyDescent="0.35">
      <c r="A16" s="46" t="s">
        <v>105</v>
      </c>
      <c r="C16" s="177">
        <v>-46216.3</v>
      </c>
      <c r="D16" s="180">
        <v>0</v>
      </c>
      <c r="E16" s="126">
        <f>ROUND('[4]November 2023'!$G91,2)</f>
        <v>14777.71</v>
      </c>
      <c r="F16" s="126">
        <f>ROUND('[4]December 2023'!$G91,2)</f>
        <v>14296.01</v>
      </c>
      <c r="G16" s="126">
        <f>ROUND('[4]January 2024'!$G91,2)</f>
        <v>18951.29</v>
      </c>
      <c r="H16" s="16">
        <f>ROUND('[4]February 2024'!$G91,2)</f>
        <v>36575.120000000003</v>
      </c>
      <c r="I16" s="55">
        <f>ROUND('[4]March 2024'!$G91,2)</f>
        <v>30123.17</v>
      </c>
      <c r="J16" s="232">
        <f>ROUND('[4]April 2024'!$G91,2)</f>
        <v>29176.95</v>
      </c>
      <c r="K16" s="116">
        <f>ROUND('PCR Cycle 2'!J27*'TDR Cycle 3'!$N16,2)</f>
        <v>31403.38</v>
      </c>
      <c r="L16" s="41">
        <f>ROUND('PCR Cycle 2'!K27*'TDR Cycle 3'!$N16,2)</f>
        <v>34765.25</v>
      </c>
      <c r="M16" s="61">
        <f>ROUND('PCR Cycle 2'!L27*'TDR Cycle 3'!$N16,2)</f>
        <v>39159.599999999999</v>
      </c>
      <c r="N16" s="72">
        <v>3.0999999999999995E-4</v>
      </c>
      <c r="O16" s="4"/>
      <c r="P16" s="174">
        <f t="shared" si="6"/>
        <v>-105328.23000000001</v>
      </c>
    </row>
    <row r="17" spans="1:16" x14ac:dyDescent="0.35">
      <c r="A17" s="46" t="s">
        <v>106</v>
      </c>
      <c r="C17" s="177">
        <v>-93543.679999999993</v>
      </c>
      <c r="D17" s="180">
        <v>0</v>
      </c>
      <c r="E17" s="126">
        <f>ROUND('[4]November 2023'!$G92,2)</f>
        <v>28881.85</v>
      </c>
      <c r="F17" s="126">
        <f>ROUND('[4]December 2023'!$G92,2)</f>
        <v>33006.19</v>
      </c>
      <c r="G17" s="126">
        <f>ROUND('[4]January 2024'!$G92,2)</f>
        <v>30627.69</v>
      </c>
      <c r="H17" s="16">
        <f>ROUND('[4]February 2024'!$G92,2)</f>
        <v>36188.699999999997</v>
      </c>
      <c r="I17" s="55">
        <f>ROUND('[4]March 2024'!$G92,2)</f>
        <v>34121.18</v>
      </c>
      <c r="J17" s="232">
        <f>ROUND('[4]April 2024'!$G92,2)</f>
        <v>36939.370000000003</v>
      </c>
      <c r="K17" s="116">
        <f>ROUND('PCR Cycle 2'!J28*'TDR Cycle 3'!$N17,2)</f>
        <v>34909.79</v>
      </c>
      <c r="L17" s="41">
        <f>ROUND('PCR Cycle 2'!K28*'TDR Cycle 3'!$N17,2)</f>
        <v>38647.03</v>
      </c>
      <c r="M17" s="61">
        <f>ROUND('PCR Cycle 2'!L28*'TDR Cycle 3'!$N17,2)</f>
        <v>43532.04</v>
      </c>
      <c r="N17" s="72">
        <v>3.9999999999999996E-4</v>
      </c>
      <c r="O17" s="4"/>
      <c r="P17" s="174">
        <f t="shared" si="6"/>
        <v>-117088.86000000002</v>
      </c>
    </row>
    <row r="18" spans="1:16" x14ac:dyDescent="0.35">
      <c r="A18" s="46" t="s">
        <v>107</v>
      </c>
      <c r="C18" s="177">
        <v>-3681.38</v>
      </c>
      <c r="D18" s="180">
        <v>0</v>
      </c>
      <c r="E18" s="126">
        <f>ROUND('[4]November 2023'!$G93,2)</f>
        <v>1178.21</v>
      </c>
      <c r="F18" s="126">
        <f>ROUND('[4]December 2023'!$G93,2)</f>
        <v>1156.3900000000001</v>
      </c>
      <c r="G18" s="126">
        <f>ROUND('[4]January 2024'!$G93,2)</f>
        <v>1795.41</v>
      </c>
      <c r="H18" s="16">
        <f>ROUND('[4]February 2024'!$G93,2)</f>
        <v>2257.2600000000002</v>
      </c>
      <c r="I18" s="55">
        <f>ROUND('[4]March 2024'!$G93,2)</f>
        <v>2216.5500000000002</v>
      </c>
      <c r="J18" s="232">
        <f>ROUND('[4]April 2024'!$G93,2)</f>
        <v>2322.75</v>
      </c>
      <c r="K18" s="116">
        <f>ROUND('PCR Cycle 2'!J29*'TDR Cycle 3'!$N18,2)</f>
        <v>2353.89</v>
      </c>
      <c r="L18" s="41">
        <f>ROUND('PCR Cycle 2'!K29*'TDR Cycle 3'!$N18,2)</f>
        <v>2605.88</v>
      </c>
      <c r="M18" s="61">
        <f>ROUND('PCR Cycle 2'!L29*'TDR Cycle 3'!$N18,2)</f>
        <v>2935.27</v>
      </c>
      <c r="N18" s="72">
        <v>4.0000000000000003E-5</v>
      </c>
      <c r="O18" s="4"/>
      <c r="P18" s="174">
        <f t="shared" si="6"/>
        <v>-7895.0400000000009</v>
      </c>
    </row>
    <row r="19" spans="1:16" x14ac:dyDescent="0.35">
      <c r="C19" s="67"/>
      <c r="D19" s="182"/>
      <c r="E19" s="68"/>
      <c r="F19" s="68"/>
      <c r="G19" s="68"/>
      <c r="H19" s="67"/>
      <c r="I19" s="68"/>
      <c r="J19" s="156"/>
      <c r="K19" s="56"/>
      <c r="L19" s="56"/>
      <c r="M19" s="13"/>
      <c r="O19" s="4"/>
    </row>
    <row r="20" spans="1:16" x14ac:dyDescent="0.35">
      <c r="A20" s="39" t="s">
        <v>65</v>
      </c>
      <c r="B20" s="39"/>
      <c r="C20" s="67"/>
      <c r="D20" s="182"/>
      <c r="E20" s="68"/>
      <c r="F20" s="68"/>
      <c r="G20" s="68"/>
      <c r="H20" s="67"/>
      <c r="I20" s="68"/>
      <c r="J20" s="341"/>
      <c r="K20" s="68"/>
      <c r="L20" s="68"/>
      <c r="M20" s="13"/>
      <c r="N20" s="7"/>
    </row>
    <row r="21" spans="1:16" x14ac:dyDescent="0.35">
      <c r="A21" s="46" t="s">
        <v>24</v>
      </c>
      <c r="C21" s="178">
        <v>-5450610.173901977</v>
      </c>
      <c r="D21" s="183"/>
      <c r="E21" s="108">
        <f>ROUND(SUM('[13]Monthly TD Calc-PY1-3'!AY461:AY461),2)+ROUND(SUM('[13]Monthly TD Calc-PY4'!AY469:AY469),2)+ROUND(SUM('[13]Monthly TD Calc-PY5'!AY569:AY569),2)</f>
        <v>2590365.75</v>
      </c>
      <c r="F21" s="108">
        <f>ROUND(SUM('[13]Monthly TD Calc-PY1-3'!AZ461:AZ461),2)+ROUND(SUM('[13]Monthly TD Calc-PY4'!AZ469:AZ469),2)+ROUND(SUM('[13]Monthly TD Calc-PY5'!AZ569:AZ569),2)</f>
        <v>3061830.9000000004</v>
      </c>
      <c r="G21" s="108">
        <f>ROUND(SUM('[13]Monthly TD Calc-PY1-3'!BA461:BA461),2)+ROUND(SUM('[13]Monthly TD Calc-PY4'!BA469:BA469),2)+ROUND(SUM('[13]Monthly TD Calc-PY5'!BA569:BA569),2)</f>
        <v>3141346.63</v>
      </c>
      <c r="H21" s="73">
        <f>ROUND(SUM('[13]Monthly TD Calc-PY1-3'!BB461:BB461),2)+ROUND(SUM('[13]Monthly TD Calc-PY4'!BB469:BB469),2)+ROUND(SUM('[13]Monthly TD Calc-PY5'!BB569:BB569),2)</f>
        <v>2831906.6199999996</v>
      </c>
      <c r="I21" s="74">
        <f>ROUND(SUM('[13]Monthly TD Calc-PY1-3'!BC461:BC461),2)+ROUND(SUM('[13]Monthly TD Calc-PY4'!BC469:BC469),2)+ROUND(SUM('[13]Monthly TD Calc-PY5'!BC569:BC569),2)</f>
        <v>2935820.4600000004</v>
      </c>
      <c r="J21" s="157">
        <f>ROUND(SUM('[13]Monthly TD Calc-PY1-3'!BD461:BD461),2)+ROUND(SUM('[13]Monthly TD Calc-PY4'!BD469:BD469),2)+ROUND(SUM('[13]Monthly TD Calc-PY5'!BD569:BD569),2)</f>
        <v>2862534.07</v>
      </c>
      <c r="K21" s="148">
        <f>ROUND(SUM('[13]Monthly TD Calc-PY1-3'!BE461:BE461),2)+ROUND(SUM('[13]Monthly TD Calc-PY4'!BE469:BE469),2)+ROUND(SUM('[13]Monthly TD Calc-PY5'!BE569:BE569),2)</f>
        <v>3108183.2900000005</v>
      </c>
      <c r="L21" s="134">
        <f>ROUND(SUM('[13]Monthly TD Calc-PY1-3'!BF461:BF461),2)+ROUND(SUM('[13]Monthly TD Calc-PY4'!BF469:BF469),2)+ROUND(SUM('[13]Monthly TD Calc-PY5'!BF569:BF569),2)</f>
        <v>3336830.2900000005</v>
      </c>
      <c r="M21" s="79"/>
      <c r="N21" s="59">
        <f>SUM(C21:L21)</f>
        <v>18418207.836098026</v>
      </c>
      <c r="P21" s="174">
        <f t="shared" ref="P21:P24" si="7">-SUM(K21:M21)</f>
        <v>-6445013.580000001</v>
      </c>
    </row>
    <row r="22" spans="1:16" x14ac:dyDescent="0.35">
      <c r="A22" s="46" t="s">
        <v>105</v>
      </c>
      <c r="C22" s="178">
        <v>-2023420.2756476095</v>
      </c>
      <c r="D22" s="183"/>
      <c r="E22" s="108">
        <f>ROUND(SUM('[13]Monthly TD Calc-PY1-3'!AY462:AY462),2)+ROUND(SUM('[13]Monthly TD Calc-PY4'!AY470:AY470),2)+ROUND(SUM('[13]Monthly TD Calc-PY5'!AY570:AY570),2)</f>
        <v>981888.99</v>
      </c>
      <c r="F22" s="108">
        <f>ROUND(SUM('[13]Monthly TD Calc-PY1-3'!AZ462:AZ462),2)+ROUND(SUM('[13]Monthly TD Calc-PY4'!AZ470:AZ470),2)+ROUND(SUM('[13]Monthly TD Calc-PY5'!AZ570:AZ570),2)</f>
        <v>1061075.5</v>
      </c>
      <c r="G22" s="108">
        <f>ROUND(SUM('[13]Monthly TD Calc-PY1-3'!BA462:BA462),2)+ROUND(SUM('[13]Monthly TD Calc-PY4'!BA470:BA470),2)+ROUND(SUM('[13]Monthly TD Calc-PY5'!BA570:BA570),2)</f>
        <v>1257720.17</v>
      </c>
      <c r="H22" s="73">
        <f>ROUND(SUM('[13]Monthly TD Calc-PY1-3'!BB462:BB462),2)+ROUND(SUM('[13]Monthly TD Calc-PY4'!BB470:BB470),2)+ROUND(SUM('[13]Monthly TD Calc-PY5'!BB570:BB570),2)</f>
        <v>1212116.3400000001</v>
      </c>
      <c r="I22" s="74">
        <f>ROUND(SUM('[13]Monthly TD Calc-PY1-3'!BC462:BC462),2)+ROUND(SUM('[13]Monthly TD Calc-PY4'!BC470:BC470),2)+ROUND(SUM('[13]Monthly TD Calc-PY5'!BC570:BC570),2)</f>
        <v>1367330.43</v>
      </c>
      <c r="J22" s="157">
        <f>ROUND(SUM('[13]Monthly TD Calc-PY1-3'!BD462:BD462),2)+ROUND(SUM('[13]Monthly TD Calc-PY4'!BD470:BD470),2)+ROUND(SUM('[13]Monthly TD Calc-PY5'!BD570:BD570),2)</f>
        <v>1331898.82</v>
      </c>
      <c r="K22" s="148">
        <f>ROUND(SUM('[13]Monthly TD Calc-PY1-3'!BE462:BE462),2)+ROUND(SUM('[13]Monthly TD Calc-PY4'!BE470:BE470),2)+ROUND(SUM('[13]Monthly TD Calc-PY5'!BE570:BE570),2)</f>
        <v>1442147.96</v>
      </c>
      <c r="L22" s="134">
        <f>ROUND(SUM('[13]Monthly TD Calc-PY1-3'!BF462:BF462),2)+ROUND(SUM('[13]Monthly TD Calc-PY4'!BF470:BF470),2)+ROUND(SUM('[13]Monthly TD Calc-PY5'!BF570:BF570),2)</f>
        <v>1453951.26</v>
      </c>
      <c r="M22" s="79"/>
      <c r="N22" s="59">
        <f t="shared" ref="N22:N24" si="8">SUM(C22:L22)</f>
        <v>8084709.1943523902</v>
      </c>
      <c r="P22" s="174">
        <f t="shared" si="7"/>
        <v>-2896099.2199999997</v>
      </c>
    </row>
    <row r="23" spans="1:16" x14ac:dyDescent="0.35">
      <c r="A23" s="46" t="s">
        <v>106</v>
      </c>
      <c r="C23" s="178">
        <v>-3743797.3077981547</v>
      </c>
      <c r="D23" s="183"/>
      <c r="E23" s="108">
        <f>ROUND(SUM('[13]Monthly TD Calc-PY1-3'!AY464:AY464),2)+ROUND(SUM('[13]Monthly TD Calc-PY4'!AY472:AY472),2)+ROUND(SUM('[13]Monthly TD Calc-PY5'!AY572:AY572),2)</f>
        <v>1835608.24</v>
      </c>
      <c r="F23" s="108">
        <f>ROUND(SUM('[13]Monthly TD Calc-PY1-3'!AZ464:AZ464),2)+ROUND(SUM('[13]Monthly TD Calc-PY4'!AZ472:AZ472),2)+ROUND(SUM('[13]Monthly TD Calc-PY5'!AZ572:AZ572),2)</f>
        <v>1958250.76</v>
      </c>
      <c r="G23" s="108">
        <f>ROUND(SUM('[13]Monthly TD Calc-PY1-3'!BA464:BA464),2)+ROUND(SUM('[13]Monthly TD Calc-PY4'!BA472:BA472),2)+ROUND(SUM('[13]Monthly TD Calc-PY5'!BA572:BA572),2)</f>
        <v>2290347.0100000002</v>
      </c>
      <c r="H23" s="73">
        <f>ROUND(SUM('[13]Monthly TD Calc-PY1-3'!BB464:BB464),2)+ROUND(SUM('[13]Monthly TD Calc-PY4'!BB472:BB472),2)+ROUND(SUM('[13]Monthly TD Calc-PY5'!BB572:BB572),2)</f>
        <v>2174955.6100000003</v>
      </c>
      <c r="I23" s="74">
        <f>ROUND(SUM('[13]Monthly TD Calc-PY1-3'!BC464:BC464),2)+ROUND(SUM('[13]Monthly TD Calc-PY4'!BC472:BC472),2)+ROUND(SUM('[13]Monthly TD Calc-PY5'!BC572:BC572),2)</f>
        <v>2424855.6</v>
      </c>
      <c r="J23" s="157">
        <f>ROUND(SUM('[13]Monthly TD Calc-PY1-3'!BD464:BD464),2)+ROUND(SUM('[13]Monthly TD Calc-PY4'!BD472:BD472),2)+ROUND(SUM('[13]Monthly TD Calc-PY5'!BD572:BD572),2)</f>
        <v>2324260.25</v>
      </c>
      <c r="K23" s="148">
        <f>ROUND(SUM('[13]Monthly TD Calc-PY1-3'!BE464:BE464),2)+ROUND(SUM('[13]Monthly TD Calc-PY4'!BE472:BE472),2)+ROUND(SUM('[13]Monthly TD Calc-PY5'!BE572:BE572),2)</f>
        <v>2468212.6800000002</v>
      </c>
      <c r="L23" s="134">
        <f>ROUND(SUM('[13]Monthly TD Calc-PY1-3'!BF464:BF464),2)+ROUND(SUM('[13]Monthly TD Calc-PY4'!BF472:BF472),2)+ROUND(SUM('[13]Monthly TD Calc-PY5'!BF572:BF572),2)</f>
        <v>2435188.2599999998</v>
      </c>
      <c r="M23" s="79"/>
      <c r="N23" s="59">
        <f t="shared" si="8"/>
        <v>14167881.102201845</v>
      </c>
      <c r="P23" s="174">
        <f t="shared" si="7"/>
        <v>-4903400.9399999995</v>
      </c>
    </row>
    <row r="24" spans="1:16" x14ac:dyDescent="0.35">
      <c r="A24" s="46" t="s">
        <v>107</v>
      </c>
      <c r="C24" s="178">
        <v>-983483.30701104715</v>
      </c>
      <c r="D24" s="183"/>
      <c r="E24" s="108">
        <f>ROUND(SUM('[13]Monthly TD Calc-PY1-3'!AY465:AY465),2)+ROUND(SUM('[13]Monthly TD Calc-PY4'!AY473:AY473),2)+ROUND(SUM('[13]Monthly TD Calc-PY5'!AY573:AY573),2)</f>
        <v>453606.06</v>
      </c>
      <c r="F24" s="108">
        <f>ROUND(SUM('[13]Monthly TD Calc-PY1-3'!AZ465:AZ465),2)+ROUND(SUM('[13]Monthly TD Calc-PY4'!AZ473:AZ473),2)+ROUND(SUM('[13]Monthly TD Calc-PY5'!AZ573:AZ573),2)</f>
        <v>513665.19999999995</v>
      </c>
      <c r="G24" s="108">
        <f>ROUND(SUM('[13]Monthly TD Calc-PY1-3'!BA465:BA465),2)+ROUND(SUM('[13]Monthly TD Calc-PY4'!BA473:BA473),2)+ROUND(SUM('[13]Monthly TD Calc-PY5'!BA573:BA573),2)</f>
        <v>701674.84</v>
      </c>
      <c r="H24" s="73">
        <f>ROUND(SUM('[13]Monthly TD Calc-PY1-3'!BB465:BB465),2)+ROUND(SUM('[13]Monthly TD Calc-PY4'!BB473:BB473),2)+ROUND(SUM('[13]Monthly TD Calc-PY5'!BB573:BB573),2)</f>
        <v>723403.52</v>
      </c>
      <c r="I24" s="74">
        <f>ROUND(SUM('[13]Monthly TD Calc-PY1-3'!BC465:BC465),2)+ROUND(SUM('[13]Monthly TD Calc-PY4'!BC473:BC473),2)+ROUND(SUM('[13]Monthly TD Calc-PY5'!BC573:BC573),2)</f>
        <v>808939.35</v>
      </c>
      <c r="J24" s="157">
        <f>ROUND(SUM('[13]Monthly TD Calc-PY1-3'!BD465:BD465),2)+ROUND(SUM('[13]Monthly TD Calc-PY4'!BD473:BD473),2)+ROUND(SUM('[13]Monthly TD Calc-PY5'!BD573:BD573),2)</f>
        <v>798686.41999999993</v>
      </c>
      <c r="K24" s="148">
        <f>ROUND(SUM('[13]Monthly TD Calc-PY1-3'!BE465:BE465),2)+ROUND(SUM('[13]Monthly TD Calc-PY4'!BE473:BE473),2)+ROUND(SUM('[13]Monthly TD Calc-PY5'!BE573:BE573),2)</f>
        <v>887049.07000000007</v>
      </c>
      <c r="L24" s="134">
        <f>ROUND(SUM('[13]Monthly TD Calc-PY1-3'!BF465:BF465),2)+ROUND(SUM('[13]Monthly TD Calc-PY4'!BF473:BF473),2)+ROUND(SUM('[13]Monthly TD Calc-PY5'!BF573:BF573),2)</f>
        <v>901328.29</v>
      </c>
      <c r="M24" s="79"/>
      <c r="N24" s="59">
        <f t="shared" si="8"/>
        <v>4804869.4429889526</v>
      </c>
      <c r="P24" s="174">
        <f t="shared" si="7"/>
        <v>-1788377.36</v>
      </c>
    </row>
    <row r="25" spans="1:16" x14ac:dyDescent="0.35">
      <c r="C25" s="67"/>
      <c r="D25" s="182"/>
      <c r="E25" s="342"/>
      <c r="F25" s="342"/>
      <c r="G25" s="37"/>
      <c r="H25" s="36"/>
      <c r="I25" s="342"/>
      <c r="J25" s="158"/>
      <c r="K25" s="52"/>
      <c r="L25" s="56"/>
      <c r="M25" s="13"/>
    </row>
    <row r="26" spans="1:16" x14ac:dyDescent="0.35">
      <c r="A26" s="46" t="s">
        <v>67</v>
      </c>
      <c r="C26" s="36"/>
      <c r="D26" s="184"/>
      <c r="E26" s="37"/>
      <c r="F26" s="37"/>
      <c r="G26" s="37"/>
      <c r="H26" s="36"/>
      <c r="I26" s="37"/>
      <c r="J26" s="158"/>
      <c r="K26" s="52"/>
      <c r="L26" s="52"/>
      <c r="M26" s="38"/>
    </row>
    <row r="27" spans="1:16" x14ac:dyDescent="0.35">
      <c r="A27" s="46" t="s">
        <v>24</v>
      </c>
      <c r="C27" s="177">
        <v>-190648.93</v>
      </c>
      <c r="D27" s="180"/>
      <c r="E27" s="106">
        <f>+ROUND(SUM('[13]Monthly TD Calc-PY4'!AY575:AY575),2)+ROUND(SUM('[13]Monthly TD Calc-PY5'!AY701:AY701),2)+ROUND(SUM('[13]Monthly TD Calc-PY1-3'!AY563:AY563),2)</f>
        <v>95501.51</v>
      </c>
      <c r="F27" s="106">
        <f>+ROUND(SUM('[13]Monthly TD Calc-PY4'!AZ575:AZ575),2)+ROUND(SUM('[13]Monthly TD Calc-PY5'!AZ701:AZ701),2)+ROUND(SUM('[13]Monthly TD Calc-PY1-3'!AZ563:AZ563),2)</f>
        <v>101532.20999999999</v>
      </c>
      <c r="G27" s="106">
        <f>+ROUND(SUM('[13]Monthly TD Calc-PY4'!BA575:BA575),2)+ROUND(SUM('[13]Monthly TD Calc-PY5'!BA701:BA701),2)+ROUND(SUM('[13]Monthly TD Calc-PY1-3'!BA563:BA563),2)</f>
        <v>92074.93</v>
      </c>
      <c r="H27" s="16">
        <f>+ROUND(SUM('[13]Monthly TD Calc-PY4'!BB575:BB575),2)+ROUND(SUM('[13]Monthly TD Calc-PY5'!BB701:BB701),2)+ROUND(SUM('[13]Monthly TD Calc-PY1-3'!BB563:BB563),2)</f>
        <v>84825.56</v>
      </c>
      <c r="I27" s="55">
        <f>+ROUND(SUM('[13]Monthly TD Calc-PY4'!BC575:BC575),2)+ROUND(SUM('[13]Monthly TD Calc-PY5'!BC701:BC701),2)+ROUND(SUM('[13]Monthly TD Calc-PY1-3'!BC563:BC563),2)</f>
        <v>97370.91</v>
      </c>
      <c r="J27" s="232">
        <f>+ROUND(SUM('[13]Monthly TD Calc-PY4'!BD575:BD575),2)+ROUND(SUM('[13]Monthly TD Calc-PY5'!BD701:BD701),2)+ROUND(SUM('[13]Monthly TD Calc-PY1-3'!BD563:BD563),2)</f>
        <v>98632.41</v>
      </c>
      <c r="K27" s="149">
        <f>+ROUND(SUM('[13]Monthly TD Calc-PY4'!BE575:BE575),2)+ROUND(SUM('[13]Monthly TD Calc-PY5'!BE701:BE701),2)+ROUND(SUM('[13]Monthly TD Calc-PY1-3'!BE563:BE563),2)</f>
        <v>109360.61</v>
      </c>
      <c r="L27" s="149">
        <f>+ROUND(SUM('[13]Monthly TD Calc-PY4'!BF575:BF575),2)+ROUND(SUM('[13]Monthly TD Calc-PY5'!BF701:BF701),2)+ROUND(SUM('[13]Monthly TD Calc-PY1-3'!BF563:BF563),2)</f>
        <v>212253.5</v>
      </c>
      <c r="M27" s="78"/>
      <c r="P27" s="174">
        <f t="shared" ref="P27:P32" si="9">-SUM(K27:M27)</f>
        <v>-321614.11</v>
      </c>
    </row>
    <row r="28" spans="1:16" x14ac:dyDescent="0.35">
      <c r="A28" s="46" t="s">
        <v>105</v>
      </c>
      <c r="C28" s="177">
        <v>-68060.800000000003</v>
      </c>
      <c r="D28" s="180"/>
      <c r="E28" s="106">
        <f>+ROUND(SUM('[13]Monthly TD Calc-PY4'!AY576:AY576),2)+ROUND(SUM('[13]Monthly TD Calc-PY5'!AY702:AY702),2)+ROUND(SUM('[13]Monthly TD Calc-PY1-3'!AY564:AY564),2)</f>
        <v>34197.11</v>
      </c>
      <c r="F28" s="106">
        <f>+ROUND(SUM('[13]Monthly TD Calc-PY4'!AZ576:AZ576),2)+ROUND(SUM('[13]Monthly TD Calc-PY5'!AZ702:AZ702),2)+ROUND(SUM('[13]Monthly TD Calc-PY1-3'!AZ564:AZ564),2)</f>
        <v>35781.25</v>
      </c>
      <c r="G28" s="106">
        <f>+ROUND(SUM('[13]Monthly TD Calc-PY4'!BA576:BA576),2)+ROUND(SUM('[13]Monthly TD Calc-PY5'!BA702:BA702),2)+ROUND(SUM('[13]Monthly TD Calc-PY1-3'!BA564:BA564),2)</f>
        <v>42982.130000000005</v>
      </c>
      <c r="H28" s="16">
        <f>+ROUND(SUM('[13]Monthly TD Calc-PY4'!BB576:BB576),2)+ROUND(SUM('[13]Monthly TD Calc-PY5'!BB702:BB702),2)+ROUND(SUM('[13]Monthly TD Calc-PY1-3'!BB564:BB564),2)</f>
        <v>40337.57</v>
      </c>
      <c r="I28" s="55">
        <f>+ROUND(SUM('[13]Monthly TD Calc-PY4'!BC576:BC576),2)+ROUND(SUM('[13]Monthly TD Calc-PY5'!BC702:BC702),2)+ROUND(SUM('[13]Monthly TD Calc-PY1-3'!BC564:BC564),2)</f>
        <v>47360.979999999996</v>
      </c>
      <c r="J28" s="232">
        <f>+ROUND(SUM('[13]Monthly TD Calc-PY4'!BD576:BD576),2)+ROUND(SUM('[13]Monthly TD Calc-PY5'!BD702:BD702),2)+ROUND(SUM('[13]Monthly TD Calc-PY1-3'!BD564:BD564),2)</f>
        <v>49060.790000000008</v>
      </c>
      <c r="K28" s="149">
        <f>+ROUND(SUM('[13]Monthly TD Calc-PY4'!BE576:BE576),2)+ROUND(SUM('[13]Monthly TD Calc-PY5'!BE702:BE702),2)+ROUND(SUM('[13]Monthly TD Calc-PY1-3'!BE564:BE564),2)</f>
        <v>54142.99</v>
      </c>
      <c r="L28" s="149">
        <f>+ROUND(SUM('[13]Monthly TD Calc-PY4'!BF576:BF576),2)+ROUND(SUM('[13]Monthly TD Calc-PY5'!BF702:BF702),2)+ROUND(SUM('[13]Monthly TD Calc-PY1-3'!BF564:BF564),2)</f>
        <v>85517.25</v>
      </c>
      <c r="M28" s="78"/>
      <c r="P28" s="174">
        <f t="shared" si="9"/>
        <v>-139660.24</v>
      </c>
    </row>
    <row r="29" spans="1:16" x14ac:dyDescent="0.35">
      <c r="A29" s="46" t="s">
        <v>106</v>
      </c>
      <c r="C29" s="177">
        <v>-70349.8</v>
      </c>
      <c r="D29" s="180"/>
      <c r="E29" s="106">
        <f>+ROUND(SUM('[13]Monthly TD Calc-PY4'!AY578:AY578),2)+ROUND(SUM('[13]Monthly TD Calc-PY5'!AY704:AY704),2)+ROUND(SUM('[13]Monthly TD Calc-PY1-3'!AY566:AY566),2)</f>
        <v>37700.85</v>
      </c>
      <c r="F29" s="106">
        <f>+ROUND(SUM('[13]Monthly TD Calc-PY4'!AZ578:AZ578),2)+ROUND(SUM('[13]Monthly TD Calc-PY5'!AZ704:AZ704),2)+ROUND(SUM('[13]Monthly TD Calc-PY1-3'!AZ566:AZ566),2)</f>
        <v>37349.22</v>
      </c>
      <c r="G29" s="106">
        <f>+ROUND(SUM('[13]Monthly TD Calc-PY4'!BA578:BA578),2)+ROUND(SUM('[13]Monthly TD Calc-PY5'!BA704:BA704),2)+ROUND(SUM('[13]Monthly TD Calc-PY1-3'!BA566:BA566),2)</f>
        <v>41943.06</v>
      </c>
      <c r="H29" s="16">
        <f>+ROUND(SUM('[13]Monthly TD Calc-PY4'!BB578:BB578),2)+ROUND(SUM('[13]Monthly TD Calc-PY5'!BB704:BB704),2)+ROUND(SUM('[13]Monthly TD Calc-PY1-3'!BB566:BB566),2)</f>
        <v>40118.449999999997</v>
      </c>
      <c r="I29" s="55">
        <f>+ROUND(SUM('[13]Monthly TD Calc-PY4'!BC578:BC578),2)+ROUND(SUM('[13]Monthly TD Calc-PY5'!BC704:BC704),2)+ROUND(SUM('[13]Monthly TD Calc-PY1-3'!BC566:BC566),2)</f>
        <v>48074.8</v>
      </c>
      <c r="J29" s="232">
        <f>+ROUND(SUM('[13]Monthly TD Calc-PY4'!BD578:BD578),2)+ROUND(SUM('[13]Monthly TD Calc-PY5'!BD704:BD704),2)+ROUND(SUM('[13]Monthly TD Calc-PY1-3'!BD566:BD566),2)</f>
        <v>48834.880000000005</v>
      </c>
      <c r="K29" s="149">
        <f>+ROUND(SUM('[13]Monthly TD Calc-PY4'!BE578:BE578),2)+ROUND(SUM('[13]Monthly TD Calc-PY5'!BE704:BE704),2)+ROUND(SUM('[13]Monthly TD Calc-PY1-3'!BE566:BE566),2)</f>
        <v>55057.520000000004</v>
      </c>
      <c r="L29" s="149">
        <f>+ROUND(SUM('[13]Monthly TD Calc-PY4'!BF578:BF578),2)+ROUND(SUM('[13]Monthly TD Calc-PY5'!BF704:BF704),2)+ROUND(SUM('[13]Monthly TD Calc-PY1-3'!BF566:BF566),2)</f>
        <v>67387.25</v>
      </c>
      <c r="M29" s="78"/>
      <c r="P29" s="174">
        <f t="shared" si="9"/>
        <v>-122444.77</v>
      </c>
    </row>
    <row r="30" spans="1:16" x14ac:dyDescent="0.35">
      <c r="A30" s="46" t="s">
        <v>107</v>
      </c>
      <c r="C30" s="177">
        <v>-3671.48</v>
      </c>
      <c r="D30" s="180"/>
      <c r="E30" s="106">
        <f>+ROUND(SUM('[13]Monthly TD Calc-PY4'!AY579:AY579),2)+ROUND(SUM('[13]Monthly TD Calc-PY5'!AY705:AY705),2)+ROUND(SUM('[13]Monthly TD Calc-PY1-3'!AY567:AY567),2)</f>
        <v>4046.41</v>
      </c>
      <c r="F30" s="106">
        <f>+ROUND(SUM('[13]Monthly TD Calc-PY4'!AZ579:AZ579),2)+ROUND(SUM('[13]Monthly TD Calc-PY5'!AZ705:AZ705),2)+ROUND(SUM('[13]Monthly TD Calc-PY1-3'!AZ567:AZ567),2)</f>
        <v>4262.8100000000004</v>
      </c>
      <c r="G30" s="106">
        <f>+ROUND(SUM('[13]Monthly TD Calc-PY4'!BA579:BA579),2)+ROUND(SUM('[13]Monthly TD Calc-PY5'!BA705:BA705),2)+ROUND(SUM('[13]Monthly TD Calc-PY1-3'!BA567:BA567),2)</f>
        <v>4912.87</v>
      </c>
      <c r="H30" s="16">
        <f>+ROUND(SUM('[13]Monthly TD Calc-PY4'!BB579:BB579),2)+ROUND(SUM('[13]Monthly TD Calc-PY5'!BB705:BB705),2)+ROUND(SUM('[13]Monthly TD Calc-PY1-3'!BB567:BB567),2)</f>
        <v>4659.22</v>
      </c>
      <c r="I30" s="55">
        <f>+ROUND(SUM('[13]Monthly TD Calc-PY4'!BC579:BC579),2)+ROUND(SUM('[13]Monthly TD Calc-PY5'!BC705:BC705),2)+ROUND(SUM('[13]Monthly TD Calc-PY1-3'!BC567:BC567),2)</f>
        <v>5641.01</v>
      </c>
      <c r="J30" s="232">
        <f>+ROUND(SUM('[13]Monthly TD Calc-PY4'!BD579:BD579),2)+ROUND(SUM('[13]Monthly TD Calc-PY5'!BD705:BD705),2)+ROUND(SUM('[13]Monthly TD Calc-PY1-3'!BD567:BD567),2)</f>
        <v>5636.32</v>
      </c>
      <c r="K30" s="149">
        <f>+ROUND(SUM('[13]Monthly TD Calc-PY4'!BE579:BE579),2)+ROUND(SUM('[13]Monthly TD Calc-PY5'!BE705:BE705),2)+ROUND(SUM('[13]Monthly TD Calc-PY1-3'!BE567:BE567),2)</f>
        <v>6365.08</v>
      </c>
      <c r="L30" s="149">
        <f>+ROUND(SUM('[13]Monthly TD Calc-PY4'!BF579:BF579),2)+ROUND(SUM('[13]Monthly TD Calc-PY5'!BF705:BF705),2)+ROUND(SUM('[13]Monthly TD Calc-PY1-3'!BF567:BF567),2)</f>
        <v>12852.09</v>
      </c>
      <c r="M30" s="78"/>
      <c r="O30" s="47"/>
      <c r="P30" s="174">
        <f t="shared" si="9"/>
        <v>-19217.169999999998</v>
      </c>
    </row>
    <row r="31" spans="1:16" x14ac:dyDescent="0.35">
      <c r="C31" s="98"/>
      <c r="D31" s="181"/>
      <c r="E31" s="18"/>
      <c r="F31" s="18"/>
      <c r="G31" s="18"/>
      <c r="H31" s="90"/>
      <c r="I31" s="18"/>
      <c r="J31" s="155"/>
      <c r="K31" s="56"/>
      <c r="L31" s="56"/>
      <c r="M31" s="13"/>
    </row>
    <row r="32" spans="1:16" ht="15" thickBot="1" x14ac:dyDescent="0.4">
      <c r="A32" s="3" t="s">
        <v>15</v>
      </c>
      <c r="B32" s="3"/>
      <c r="C32" s="179">
        <v>3402.38</v>
      </c>
      <c r="D32" s="185">
        <v>0.14999999999999947</v>
      </c>
      <c r="E32" s="126">
        <v>-1694.3700000000001</v>
      </c>
      <c r="F32" s="126">
        <v>-1466.9</v>
      </c>
      <c r="G32" s="127">
        <v>-1410.17</v>
      </c>
      <c r="H32" s="26">
        <v>-1560.9599999999998</v>
      </c>
      <c r="I32" s="115">
        <v>-1611.4199999999998</v>
      </c>
      <c r="J32" s="159">
        <v>-1408.24</v>
      </c>
      <c r="K32" s="150">
        <f>ROUND((SUM(J41:J44)+SUM(J48:J51)+SUM(K35:K38)/2)*K$46,2)</f>
        <v>-1112.21</v>
      </c>
      <c r="L32" s="135">
        <f>ROUND((SUM(K41:K44)+SUM(K48:K51)+SUM(L35:L38)/2)*L$46,2)</f>
        <v>-412.54</v>
      </c>
      <c r="M32" s="81"/>
      <c r="P32" s="174">
        <f t="shared" si="9"/>
        <v>1524.75</v>
      </c>
    </row>
    <row r="33" spans="1:16" x14ac:dyDescent="0.35">
      <c r="C33" s="64"/>
      <c r="D33" s="188"/>
      <c r="E33" s="66"/>
      <c r="F33" s="66"/>
      <c r="G33" s="33"/>
      <c r="H33" s="64"/>
      <c r="I33" s="33"/>
      <c r="J33" s="160"/>
      <c r="K33" s="34"/>
      <c r="L33" s="34"/>
      <c r="M33" s="60"/>
    </row>
    <row r="34" spans="1:16" x14ac:dyDescent="0.35">
      <c r="A34" s="46" t="s">
        <v>51</v>
      </c>
      <c r="C34" s="65"/>
      <c r="D34" s="189"/>
      <c r="E34" s="35"/>
      <c r="F34" s="35"/>
      <c r="G34" s="35"/>
      <c r="H34" s="65"/>
      <c r="I34" s="35"/>
      <c r="J34" s="161"/>
      <c r="K34" s="34"/>
      <c r="L34" s="34"/>
      <c r="M34" s="60"/>
    </row>
    <row r="35" spans="1:16" x14ac:dyDescent="0.35">
      <c r="A35" s="46" t="s">
        <v>24</v>
      </c>
      <c r="C35" s="186">
        <f t="shared" ref="C35:M35" si="10">C27-C15</f>
        <v>152667.82</v>
      </c>
      <c r="D35" s="190">
        <f t="shared" si="10"/>
        <v>0</v>
      </c>
      <c r="E35" s="41">
        <f t="shared" si="10"/>
        <v>18296.76999999999</v>
      </c>
      <c r="F35" s="41">
        <f t="shared" si="10"/>
        <v>-1395.6600000000035</v>
      </c>
      <c r="G35" s="105">
        <f t="shared" si="10"/>
        <v>-43824.800000000017</v>
      </c>
      <c r="H35" s="40">
        <f t="shared" si="10"/>
        <v>-58450.16</v>
      </c>
      <c r="I35" s="41">
        <f t="shared" si="10"/>
        <v>-1299.8699999999953</v>
      </c>
      <c r="J35" s="61">
        <f t="shared" si="10"/>
        <v>8734.8800000000047</v>
      </c>
      <c r="K35" s="116">
        <f t="shared" si="10"/>
        <v>20674.270000000004</v>
      </c>
      <c r="L35" s="41">
        <f t="shared" si="10"/>
        <v>101540.89</v>
      </c>
      <c r="M35" s="61">
        <f t="shared" si="10"/>
        <v>-154966.84</v>
      </c>
    </row>
    <row r="36" spans="1:16" x14ac:dyDescent="0.35">
      <c r="A36" s="46" t="s">
        <v>105</v>
      </c>
      <c r="C36" s="186">
        <f t="shared" ref="C36:M36" si="11">C28-C16</f>
        <v>-21844.5</v>
      </c>
      <c r="D36" s="190">
        <f t="shared" si="11"/>
        <v>0</v>
      </c>
      <c r="E36" s="41">
        <f t="shared" si="11"/>
        <v>19419.400000000001</v>
      </c>
      <c r="F36" s="41">
        <f t="shared" si="11"/>
        <v>21485.239999999998</v>
      </c>
      <c r="G36" s="105">
        <f t="shared" si="11"/>
        <v>24030.840000000004</v>
      </c>
      <c r="H36" s="40">
        <f t="shared" si="11"/>
        <v>3762.4499999999971</v>
      </c>
      <c r="I36" s="41">
        <f t="shared" si="11"/>
        <v>17237.809999999998</v>
      </c>
      <c r="J36" s="61">
        <f t="shared" si="11"/>
        <v>19883.840000000007</v>
      </c>
      <c r="K36" s="116">
        <f t="shared" si="11"/>
        <v>22739.609999999997</v>
      </c>
      <c r="L36" s="41">
        <f t="shared" si="11"/>
        <v>50752</v>
      </c>
      <c r="M36" s="61">
        <f t="shared" si="11"/>
        <v>-39159.599999999999</v>
      </c>
    </row>
    <row r="37" spans="1:16" x14ac:dyDescent="0.35">
      <c r="A37" s="46" t="s">
        <v>106</v>
      </c>
      <c r="C37" s="186">
        <f t="shared" ref="C37:M37" si="12">C29-C17</f>
        <v>23193.87999999999</v>
      </c>
      <c r="D37" s="190">
        <f t="shared" si="12"/>
        <v>0</v>
      </c>
      <c r="E37" s="41">
        <f t="shared" si="12"/>
        <v>8819</v>
      </c>
      <c r="F37" s="41">
        <f t="shared" si="12"/>
        <v>4343.0299999999988</v>
      </c>
      <c r="G37" s="105">
        <f t="shared" si="12"/>
        <v>11315.369999999999</v>
      </c>
      <c r="H37" s="40">
        <f t="shared" si="12"/>
        <v>3929.75</v>
      </c>
      <c r="I37" s="41">
        <f t="shared" si="12"/>
        <v>13953.620000000003</v>
      </c>
      <c r="J37" s="61">
        <f t="shared" si="12"/>
        <v>11895.510000000002</v>
      </c>
      <c r="K37" s="116">
        <f t="shared" si="12"/>
        <v>20147.730000000003</v>
      </c>
      <c r="L37" s="41">
        <f t="shared" si="12"/>
        <v>28740.22</v>
      </c>
      <c r="M37" s="61">
        <f t="shared" si="12"/>
        <v>-43532.04</v>
      </c>
    </row>
    <row r="38" spans="1:16" x14ac:dyDescent="0.35">
      <c r="A38" s="46" t="s">
        <v>107</v>
      </c>
      <c r="C38" s="186">
        <f t="shared" ref="C38:M38" si="13">C30-C18</f>
        <v>9.9000000000000909</v>
      </c>
      <c r="D38" s="190">
        <f t="shared" si="13"/>
        <v>0</v>
      </c>
      <c r="E38" s="41">
        <f t="shared" si="13"/>
        <v>2868.2</v>
      </c>
      <c r="F38" s="41">
        <f t="shared" si="13"/>
        <v>3106.42</v>
      </c>
      <c r="G38" s="105">
        <f t="shared" si="13"/>
        <v>3117.46</v>
      </c>
      <c r="H38" s="40">
        <f t="shared" si="13"/>
        <v>2401.96</v>
      </c>
      <c r="I38" s="41">
        <f t="shared" si="13"/>
        <v>3424.46</v>
      </c>
      <c r="J38" s="61">
        <f t="shared" si="13"/>
        <v>3313.5699999999997</v>
      </c>
      <c r="K38" s="116">
        <f t="shared" si="13"/>
        <v>4011.19</v>
      </c>
      <c r="L38" s="41">
        <f t="shared" si="13"/>
        <v>10246.209999999999</v>
      </c>
      <c r="M38" s="61">
        <f t="shared" si="13"/>
        <v>-2935.27</v>
      </c>
    </row>
    <row r="39" spans="1:16" x14ac:dyDescent="0.35">
      <c r="C39" s="98"/>
      <c r="D39" s="181"/>
      <c r="E39" s="17"/>
      <c r="F39" s="17"/>
      <c r="G39" s="17"/>
      <c r="H39" s="10"/>
      <c r="I39" s="17"/>
      <c r="J39" s="11"/>
      <c r="K39" s="17"/>
      <c r="L39" s="17"/>
      <c r="M39" s="11"/>
    </row>
    <row r="40" spans="1:16" ht="15" thickBot="1" x14ac:dyDescent="0.4">
      <c r="A40" s="46" t="s">
        <v>52</v>
      </c>
      <c r="C40" s="98"/>
      <c r="D40" s="181"/>
      <c r="E40" s="17"/>
      <c r="F40" s="17"/>
      <c r="G40" s="17"/>
      <c r="H40" s="10"/>
      <c r="I40" s="17"/>
      <c r="J40" s="11"/>
      <c r="K40" s="17"/>
      <c r="L40" s="17"/>
      <c r="M40" s="11"/>
    </row>
    <row r="41" spans="1:16" x14ac:dyDescent="0.35">
      <c r="A41" s="46" t="s">
        <v>24</v>
      </c>
      <c r="B41" s="310">
        <v>-216678.61999999976</v>
      </c>
      <c r="C41" s="186">
        <f t="shared" ref="C41:M41" si="14">+B41+C35+B48</f>
        <v>-64010.799999999756</v>
      </c>
      <c r="D41" s="190">
        <f t="shared" si="14"/>
        <v>-63320.299999999756</v>
      </c>
      <c r="E41" s="41">
        <f t="shared" si="14"/>
        <v>-45023.529999999766</v>
      </c>
      <c r="F41" s="41">
        <f t="shared" si="14"/>
        <v>-46720.849999999773</v>
      </c>
      <c r="G41" s="105">
        <f t="shared" si="14"/>
        <v>-90798.029999999795</v>
      </c>
      <c r="H41" s="40">
        <f t="shared" si="14"/>
        <v>-149624.88999999981</v>
      </c>
      <c r="I41" s="41">
        <f t="shared" si="14"/>
        <v>-151581.5699999998</v>
      </c>
      <c r="J41" s="61">
        <f t="shared" si="14"/>
        <v>-143670.51999999979</v>
      </c>
      <c r="K41" s="116">
        <f t="shared" si="14"/>
        <v>-123803.46999999978</v>
      </c>
      <c r="L41" s="41">
        <f t="shared" si="14"/>
        <v>-22994.019999999782</v>
      </c>
      <c r="M41" s="61">
        <f t="shared" si="14"/>
        <v>-178363.07999999978</v>
      </c>
    </row>
    <row r="42" spans="1:16" x14ac:dyDescent="0.35">
      <c r="A42" s="46" t="s">
        <v>105</v>
      </c>
      <c r="B42" s="317">
        <v>-203345.02000000002</v>
      </c>
      <c r="C42" s="186">
        <f t="shared" ref="C42:M42" si="15">+B42+C36+B49</f>
        <v>-225189.52000000002</v>
      </c>
      <c r="D42" s="190">
        <f t="shared" si="15"/>
        <v>-222897.65000000002</v>
      </c>
      <c r="E42" s="41">
        <f t="shared" si="15"/>
        <v>-203478.25000000003</v>
      </c>
      <c r="F42" s="41">
        <f t="shared" si="15"/>
        <v>-183180.17000000004</v>
      </c>
      <c r="G42" s="105">
        <f t="shared" si="15"/>
        <v>-160212.76000000004</v>
      </c>
      <c r="H42" s="40">
        <f t="shared" si="15"/>
        <v>-157392.13000000006</v>
      </c>
      <c r="I42" s="41">
        <f t="shared" si="15"/>
        <v>-141023.19000000006</v>
      </c>
      <c r="J42" s="61">
        <f t="shared" si="15"/>
        <v>-121956.14000000004</v>
      </c>
      <c r="K42" s="116">
        <f t="shared" si="15"/>
        <v>-99935.740000000049</v>
      </c>
      <c r="L42" s="41">
        <f t="shared" si="15"/>
        <v>-49790.660000000047</v>
      </c>
      <c r="M42" s="61">
        <f t="shared" si="15"/>
        <v>-89360.130000000034</v>
      </c>
    </row>
    <row r="43" spans="1:16" x14ac:dyDescent="0.35">
      <c r="A43" s="46" t="s">
        <v>106</v>
      </c>
      <c r="B43" s="317">
        <v>-58094.289999999928</v>
      </c>
      <c r="C43" s="186">
        <f t="shared" ref="C43:M43" si="16">+B43+C37+B50</f>
        <v>-34900.409999999938</v>
      </c>
      <c r="D43" s="190">
        <f t="shared" si="16"/>
        <v>-34566.319999999942</v>
      </c>
      <c r="E43" s="41">
        <f t="shared" si="16"/>
        <v>-25747.319999999942</v>
      </c>
      <c r="F43" s="41">
        <f t="shared" si="16"/>
        <v>-21572.219999999943</v>
      </c>
      <c r="G43" s="105">
        <f t="shared" si="16"/>
        <v>-10387.059999999943</v>
      </c>
      <c r="H43" s="40">
        <f t="shared" si="16"/>
        <v>-6545.0499999999429</v>
      </c>
      <c r="I43" s="41">
        <f t="shared" si="16"/>
        <v>7362.1500000000597</v>
      </c>
      <c r="J43" s="61">
        <f t="shared" si="16"/>
        <v>19259.76000000006</v>
      </c>
      <c r="K43" s="116">
        <f t="shared" si="16"/>
        <v>39480.08000000006</v>
      </c>
      <c r="L43" s="41">
        <f t="shared" si="16"/>
        <v>68380.650000000067</v>
      </c>
      <c r="M43" s="61">
        <f t="shared" si="16"/>
        <v>25143.120000000064</v>
      </c>
    </row>
    <row r="44" spans="1:16" ht="15" thickBot="1" x14ac:dyDescent="0.4">
      <c r="A44" s="46" t="s">
        <v>107</v>
      </c>
      <c r="B44" s="311">
        <v>-8286.5999999999804</v>
      </c>
      <c r="C44" s="186">
        <f t="shared" ref="C44:M44" si="17">+B44+C38+B51</f>
        <v>-8276.6999999999807</v>
      </c>
      <c r="D44" s="190">
        <f t="shared" si="17"/>
        <v>-8190.7799999999806</v>
      </c>
      <c r="E44" s="41">
        <f t="shared" si="17"/>
        <v>-5322.5799999999808</v>
      </c>
      <c r="F44" s="41">
        <f t="shared" si="17"/>
        <v>-2253.7899999999809</v>
      </c>
      <c r="G44" s="105">
        <f t="shared" si="17"/>
        <v>842.79000000001918</v>
      </c>
      <c r="H44" s="40">
        <f t="shared" si="17"/>
        <v>3240.830000000019</v>
      </c>
      <c r="I44" s="41">
        <f t="shared" si="17"/>
        <v>6676.4200000000192</v>
      </c>
      <c r="J44" s="61">
        <f t="shared" si="17"/>
        <v>10017.09000000002</v>
      </c>
      <c r="K44" s="116">
        <f t="shared" si="17"/>
        <v>14073.870000000021</v>
      </c>
      <c r="L44" s="41">
        <f t="shared" si="17"/>
        <v>24385.890000000021</v>
      </c>
      <c r="M44" s="61">
        <f t="shared" si="17"/>
        <v>21555.660000000022</v>
      </c>
    </row>
    <row r="45" spans="1:16" x14ac:dyDescent="0.35">
      <c r="C45" s="98"/>
      <c r="D45" s="181"/>
      <c r="E45" s="17"/>
      <c r="F45" s="17"/>
      <c r="G45" s="17"/>
      <c r="H45" s="10"/>
      <c r="I45" s="17"/>
      <c r="J45" s="11"/>
      <c r="K45" s="17"/>
      <c r="L45" s="17"/>
      <c r="M45" s="11"/>
    </row>
    <row r="46" spans="1:16" x14ac:dyDescent="0.35">
      <c r="A46" s="39" t="s">
        <v>121</v>
      </c>
      <c r="B46" s="39"/>
      <c r="C46" s="101"/>
      <c r="D46" s="191"/>
      <c r="E46" s="323">
        <f>+'PCR Cycle 3'!E45</f>
        <v>5.5686099999999999E-3</v>
      </c>
      <c r="F46" s="323">
        <f>+'PCR Cycle 3'!F45</f>
        <v>5.4837899999999997E-3</v>
      </c>
      <c r="G46" s="323">
        <f>+'PCR Cycle 3'!G45</f>
        <v>5.4684599999999996E-3</v>
      </c>
      <c r="H46" s="324">
        <f>+'PCR Cycle 3'!H45</f>
        <v>5.4552200000000002E-3</v>
      </c>
      <c r="I46" s="323">
        <f>+'PCR Cycle 3'!I45</f>
        <v>5.4582900000000002E-3</v>
      </c>
      <c r="J46" s="325">
        <f>+'PCR Cycle 3'!J45</f>
        <v>5.45277E-3</v>
      </c>
      <c r="K46" s="82">
        <f>+'PCR Cycle 2'!J47</f>
        <v>5.45277E-3</v>
      </c>
      <c r="L46" s="82">
        <f>+'PCR Cycle 2'!K47</f>
        <v>5.45277E-3</v>
      </c>
      <c r="M46" s="84"/>
    </row>
    <row r="47" spans="1:16" x14ac:dyDescent="0.35">
      <c r="A47" s="39" t="s">
        <v>36</v>
      </c>
      <c r="B47" s="39"/>
      <c r="C47" s="103"/>
      <c r="D47" s="192"/>
      <c r="E47" s="82"/>
      <c r="F47" s="82"/>
      <c r="G47" s="82"/>
      <c r="H47" s="83"/>
      <c r="I47" s="82"/>
      <c r="J47" s="84"/>
      <c r="K47" s="82"/>
      <c r="L47" s="82"/>
      <c r="M47" s="84"/>
    </row>
    <row r="48" spans="1:16" x14ac:dyDescent="0.35">
      <c r="A48" s="46" t="s">
        <v>24</v>
      </c>
      <c r="C48" s="318">
        <v>690.5</v>
      </c>
      <c r="D48" s="190"/>
      <c r="E48" s="41">
        <f t="shared" ref="E48:M48" si="18">ROUND((D41+D48+E35/2)*E$46,2)</f>
        <v>-301.66000000000003</v>
      </c>
      <c r="F48" s="41">
        <f t="shared" si="18"/>
        <v>-252.38</v>
      </c>
      <c r="G48" s="105">
        <f t="shared" si="18"/>
        <v>-376.7</v>
      </c>
      <c r="H48" s="40">
        <f t="shared" si="18"/>
        <v>-656.81</v>
      </c>
      <c r="I48" s="116">
        <f t="shared" si="18"/>
        <v>-823.83</v>
      </c>
      <c r="J48" s="61">
        <f t="shared" si="18"/>
        <v>-807.22</v>
      </c>
      <c r="K48" s="151">
        <f t="shared" si="18"/>
        <v>-731.44</v>
      </c>
      <c r="L48" s="105">
        <f t="shared" si="18"/>
        <v>-402.22</v>
      </c>
      <c r="M48" s="61">
        <f t="shared" si="18"/>
        <v>0</v>
      </c>
      <c r="P48" s="174">
        <f t="shared" ref="P48:P51" si="19">-SUM(K48:M48)</f>
        <v>1133.6600000000001</v>
      </c>
    </row>
    <row r="49" spans="1:16" x14ac:dyDescent="0.35">
      <c r="A49" s="46" t="s">
        <v>105</v>
      </c>
      <c r="C49" s="318">
        <v>2291.87</v>
      </c>
      <c r="D49" s="190"/>
      <c r="E49" s="41">
        <f t="shared" ref="E49:L49" si="20">ROUND((D42+D49+E36/2)*E$46,2)</f>
        <v>-1187.1600000000001</v>
      </c>
      <c r="F49" s="41">
        <f t="shared" si="20"/>
        <v>-1063.43</v>
      </c>
      <c r="G49" s="105">
        <f t="shared" si="20"/>
        <v>-941.82</v>
      </c>
      <c r="H49" s="40">
        <f t="shared" si="20"/>
        <v>-868.87</v>
      </c>
      <c r="I49" s="116">
        <f t="shared" si="20"/>
        <v>-816.79</v>
      </c>
      <c r="J49" s="61">
        <f t="shared" si="20"/>
        <v>-719.21</v>
      </c>
      <c r="K49" s="151">
        <f t="shared" si="20"/>
        <v>-606.91999999999996</v>
      </c>
      <c r="L49" s="105">
        <f t="shared" si="20"/>
        <v>-409.87</v>
      </c>
      <c r="M49" s="61"/>
      <c r="P49" s="174">
        <f t="shared" si="19"/>
        <v>1016.79</v>
      </c>
    </row>
    <row r="50" spans="1:16" x14ac:dyDescent="0.35">
      <c r="A50" s="46" t="s">
        <v>106</v>
      </c>
      <c r="C50" s="318">
        <v>334.09000000000003</v>
      </c>
      <c r="D50" s="190"/>
      <c r="E50" s="41">
        <f t="shared" ref="E50:L50" si="21">ROUND((D43+D50+E37/2)*E$46,2)</f>
        <v>-167.93</v>
      </c>
      <c r="F50" s="41">
        <f t="shared" si="21"/>
        <v>-130.21</v>
      </c>
      <c r="G50" s="105">
        <f t="shared" si="21"/>
        <v>-87.74</v>
      </c>
      <c r="H50" s="40">
        <f t="shared" si="21"/>
        <v>-46.42</v>
      </c>
      <c r="I50" s="116">
        <f t="shared" si="21"/>
        <v>2.1</v>
      </c>
      <c r="J50" s="61">
        <f t="shared" si="21"/>
        <v>72.59</v>
      </c>
      <c r="K50" s="151">
        <f t="shared" si="21"/>
        <v>160.35</v>
      </c>
      <c r="L50" s="105">
        <f t="shared" si="21"/>
        <v>294.51</v>
      </c>
      <c r="M50" s="61"/>
      <c r="P50" s="174">
        <f t="shared" si="19"/>
        <v>-454.86</v>
      </c>
    </row>
    <row r="51" spans="1:16" ht="15" thickBot="1" x14ac:dyDescent="0.4">
      <c r="A51" s="46" t="s">
        <v>107</v>
      </c>
      <c r="C51" s="318">
        <v>85.92</v>
      </c>
      <c r="D51" s="190"/>
      <c r="E51" s="41">
        <f t="shared" ref="E51:L51" si="22">ROUND((D44+D51+E38/2)*E$46,2)</f>
        <v>-37.630000000000003</v>
      </c>
      <c r="F51" s="41">
        <f t="shared" si="22"/>
        <v>-20.88</v>
      </c>
      <c r="G51" s="105">
        <f t="shared" si="22"/>
        <v>-3.92</v>
      </c>
      <c r="H51" s="40">
        <f t="shared" si="22"/>
        <v>11.13</v>
      </c>
      <c r="I51" s="116">
        <f t="shared" si="22"/>
        <v>27.1</v>
      </c>
      <c r="J51" s="61">
        <f t="shared" si="22"/>
        <v>45.59</v>
      </c>
      <c r="K51" s="151">
        <f t="shared" si="22"/>
        <v>65.81</v>
      </c>
      <c r="L51" s="105">
        <f t="shared" si="22"/>
        <v>105.04</v>
      </c>
      <c r="M51" s="61">
        <f>ROUND((L44+L51+M38/2)*M$46,2)</f>
        <v>0</v>
      </c>
      <c r="P51" s="174">
        <f t="shared" si="19"/>
        <v>-170.85000000000002</v>
      </c>
    </row>
    <row r="52" spans="1:16" ht="15.5" thickTop="1" thickBot="1" x14ac:dyDescent="0.4">
      <c r="A52" s="54" t="s">
        <v>22</v>
      </c>
      <c r="B52" s="54"/>
      <c r="C52" s="187">
        <v>0</v>
      </c>
      <c r="D52" s="193"/>
      <c r="E52" s="42">
        <f t="shared" ref="E52:M52" si="23">SUM(E48:E51)+SUM(E41:E44)-E55</f>
        <v>0</v>
      </c>
      <c r="F52" s="42">
        <f t="shared" si="23"/>
        <v>0</v>
      </c>
      <c r="G52" s="50">
        <f t="shared" si="23"/>
        <v>0</v>
      </c>
      <c r="H52" s="51">
        <f t="shared" si="23"/>
        <v>0</v>
      </c>
      <c r="I52" s="42">
        <f t="shared" si="23"/>
        <v>0</v>
      </c>
      <c r="J52" s="62">
        <f t="shared" si="23"/>
        <v>0</v>
      </c>
      <c r="K52" s="152">
        <f t="shared" si="23"/>
        <v>0</v>
      </c>
      <c r="L52" s="50">
        <f t="shared" si="23"/>
        <v>-4.3655745685100555E-11</v>
      </c>
      <c r="M52" s="62">
        <f t="shared" si="23"/>
        <v>0</v>
      </c>
    </row>
    <row r="53" spans="1:16" ht="15.5" thickTop="1" thickBot="1" x14ac:dyDescent="0.4">
      <c r="A53" s="54" t="s">
        <v>23</v>
      </c>
      <c r="B53" s="54"/>
      <c r="C53" s="187">
        <v>0</v>
      </c>
      <c r="D53" s="193"/>
      <c r="E53" s="42">
        <f t="shared" ref="E53:M53" si="24">SUM(E48:E51)-E32</f>
        <v>-1.0000000000218279E-2</v>
      </c>
      <c r="F53" s="42">
        <f t="shared" si="24"/>
        <v>0</v>
      </c>
      <c r="G53" s="50">
        <f t="shared" si="24"/>
        <v>-9.9999999999909051E-3</v>
      </c>
      <c r="H53" s="51">
        <f t="shared" si="24"/>
        <v>-9.9999999999909051E-3</v>
      </c>
      <c r="I53" s="42">
        <f t="shared" si="24"/>
        <v>0</v>
      </c>
      <c r="J53" s="62">
        <f t="shared" si="24"/>
        <v>-1.0000000000218279E-2</v>
      </c>
      <c r="K53" s="153">
        <f>SUM(K48:K51)-K32</f>
        <v>9.9999999997635314E-3</v>
      </c>
      <c r="L53" s="42">
        <f t="shared" si="24"/>
        <v>0</v>
      </c>
      <c r="M53" s="42">
        <f t="shared" si="24"/>
        <v>0</v>
      </c>
    </row>
    <row r="54" spans="1:16" ht="15.5" thickTop="1" thickBot="1" x14ac:dyDescent="0.4">
      <c r="C54" s="98"/>
      <c r="D54" s="181"/>
      <c r="E54" s="17"/>
      <c r="F54" s="17"/>
      <c r="G54" s="17"/>
      <c r="H54" s="10"/>
      <c r="I54" s="17"/>
      <c r="J54" s="11"/>
      <c r="K54" s="17"/>
      <c r="L54" s="17"/>
      <c r="M54" s="11"/>
    </row>
    <row r="55" spans="1:16" ht="15" thickBot="1" x14ac:dyDescent="0.4">
      <c r="A55" s="46" t="s">
        <v>35</v>
      </c>
      <c r="B55" s="113">
        <f>SUM(B41:B44)</f>
        <v>-486404.52999999968</v>
      </c>
      <c r="C55" s="186">
        <f t="shared" ref="C55:M55" si="25">(C12-SUM(C15:C18))+SUM(C48:C51)+B55</f>
        <v>-328975.0499999997</v>
      </c>
      <c r="D55" s="190">
        <f t="shared" si="25"/>
        <v>-328975.0499999997</v>
      </c>
      <c r="E55" s="41">
        <f t="shared" si="25"/>
        <v>-281266.05999999971</v>
      </c>
      <c r="F55" s="41">
        <f t="shared" si="25"/>
        <v>-255193.92999999973</v>
      </c>
      <c r="G55" s="105">
        <f t="shared" si="25"/>
        <v>-261965.23999999976</v>
      </c>
      <c r="H55" s="40">
        <f t="shared" si="25"/>
        <v>-311882.20999999973</v>
      </c>
      <c r="I55" s="41">
        <f t="shared" si="25"/>
        <v>-280177.60999999969</v>
      </c>
      <c r="J55" s="61">
        <f t="shared" si="25"/>
        <v>-237758.05999999968</v>
      </c>
      <c r="K55" s="151">
        <f t="shared" si="25"/>
        <v>-171297.45999999973</v>
      </c>
      <c r="L55" s="105">
        <f t="shared" si="25"/>
        <v>19569.320000000298</v>
      </c>
      <c r="M55" s="61">
        <f t="shared" si="25"/>
        <v>-221024.4299999997</v>
      </c>
    </row>
    <row r="56" spans="1:16" x14ac:dyDescent="0.35">
      <c r="A56" s="46" t="s">
        <v>12</v>
      </c>
      <c r="C56" s="114"/>
      <c r="D56" s="194"/>
      <c r="E56" s="17"/>
      <c r="F56" s="17"/>
      <c r="G56" s="17"/>
      <c r="H56" s="10"/>
      <c r="I56" s="17"/>
      <c r="J56" s="11"/>
      <c r="K56" s="17"/>
      <c r="L56" s="17"/>
      <c r="M56" s="11"/>
    </row>
    <row r="57" spans="1:16" ht="15" thickBot="1" x14ac:dyDescent="0.4">
      <c r="A57" s="37"/>
      <c r="B57" s="37"/>
      <c r="C57" s="138"/>
      <c r="D57" s="195"/>
      <c r="E57" s="44"/>
      <c r="F57" s="44"/>
      <c r="G57" s="44"/>
      <c r="H57" s="43"/>
      <c r="I57" s="44"/>
      <c r="J57" s="45"/>
      <c r="K57" s="44"/>
      <c r="L57" s="44"/>
      <c r="M57" s="45"/>
    </row>
    <row r="59" spans="1:16" x14ac:dyDescent="0.35">
      <c r="A59" s="69" t="s">
        <v>11</v>
      </c>
      <c r="B59" s="69"/>
      <c r="C59" s="69"/>
      <c r="D59" s="69"/>
    </row>
    <row r="60" spans="1:16" ht="28.9" customHeight="1" x14ac:dyDescent="0.35">
      <c r="A60" s="368" t="s">
        <v>297</v>
      </c>
      <c r="B60" s="368"/>
      <c r="C60" s="368"/>
      <c r="D60" s="368"/>
      <c r="E60" s="368"/>
      <c r="F60" s="368"/>
      <c r="G60" s="368"/>
      <c r="H60" s="368"/>
      <c r="I60" s="368"/>
      <c r="J60" s="368"/>
      <c r="K60" s="355"/>
      <c r="L60" s="355"/>
      <c r="M60" s="217"/>
    </row>
    <row r="61" spans="1:16" ht="30.65" customHeight="1" x14ac:dyDescent="0.35">
      <c r="A61" s="384" t="s">
        <v>298</v>
      </c>
      <c r="B61" s="384"/>
      <c r="C61" s="384"/>
      <c r="D61" s="384"/>
      <c r="E61" s="384"/>
      <c r="F61" s="384"/>
      <c r="G61" s="384"/>
      <c r="H61" s="384"/>
      <c r="I61" s="384"/>
      <c r="J61" s="384"/>
      <c r="K61" s="384"/>
      <c r="L61" s="384"/>
      <c r="M61" s="217"/>
    </row>
    <row r="62" spans="1:16" ht="33.75" customHeight="1" x14ac:dyDescent="0.35">
      <c r="A62" s="368" t="s">
        <v>299</v>
      </c>
      <c r="B62" s="368"/>
      <c r="C62" s="368"/>
      <c r="D62" s="368"/>
      <c r="E62" s="368"/>
      <c r="F62" s="368"/>
      <c r="G62" s="368"/>
      <c r="H62" s="368"/>
      <c r="I62" s="368"/>
      <c r="J62" s="368"/>
      <c r="K62" s="355"/>
      <c r="L62" s="355"/>
      <c r="M62" s="217"/>
    </row>
    <row r="63" spans="1:16" x14ac:dyDescent="0.35">
      <c r="A63" s="368" t="s">
        <v>305</v>
      </c>
      <c r="B63" s="368"/>
      <c r="C63" s="368"/>
      <c r="D63" s="368"/>
      <c r="E63" s="368"/>
      <c r="F63" s="368"/>
      <c r="G63" s="368"/>
      <c r="H63" s="368"/>
      <c r="I63" s="368"/>
      <c r="J63" s="368"/>
      <c r="K63" s="39"/>
      <c r="L63" s="39"/>
    </row>
    <row r="64" spans="1:16" x14ac:dyDescent="0.35">
      <c r="A64" s="63" t="s">
        <v>296</v>
      </c>
      <c r="B64" s="63"/>
      <c r="C64" s="63"/>
      <c r="D64" s="63"/>
      <c r="E64" s="39"/>
      <c r="F64" s="39"/>
      <c r="G64" s="39"/>
      <c r="H64" s="39"/>
      <c r="I64" s="39"/>
      <c r="J64" s="39"/>
      <c r="K64" s="39"/>
      <c r="L64" s="39"/>
    </row>
    <row r="65" spans="1:12" x14ac:dyDescent="0.35">
      <c r="A65" s="63" t="s">
        <v>68</v>
      </c>
      <c r="B65" s="63"/>
      <c r="C65" s="63"/>
      <c r="D65" s="63"/>
      <c r="E65" s="39"/>
      <c r="F65" s="39"/>
      <c r="G65" s="39"/>
      <c r="H65" s="39"/>
      <c r="I65" s="39"/>
      <c r="J65" s="39"/>
      <c r="K65" s="39"/>
      <c r="L65" s="39"/>
    </row>
    <row r="66" spans="1:12" x14ac:dyDescent="0.35">
      <c r="A66" s="3"/>
      <c r="B66" s="3"/>
      <c r="C66" s="3"/>
      <c r="D66" s="3"/>
    </row>
  </sheetData>
  <mergeCells count="7">
    <mergeCell ref="A63:J63"/>
    <mergeCell ref="A62:J62"/>
    <mergeCell ref="E10:G10"/>
    <mergeCell ref="H10:J10"/>
    <mergeCell ref="K10:M10"/>
    <mergeCell ref="A60:J60"/>
    <mergeCell ref="A61:L61"/>
  </mergeCells>
  <pageMargins left="0.2" right="0.2" top="0.75" bottom="0.25" header="0.3" footer="0.3"/>
  <pageSetup scale="49" orientation="landscape" r:id="rId1"/>
  <headerFooter>
    <oddHeader>&amp;C&amp;F &amp;A&amp;R&amp;"Arial"&amp;10&amp;K000000CONFIDENTIAL</oddHeader>
    <oddFooter xml:space="preserve">&amp;R_x000D_&amp;1#&amp;"Calibri"&amp;10&amp;KA80000 Restricted – Sensitive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97"/>
  <sheetViews>
    <sheetView workbookViewId="0">
      <pane ySplit="4" topLeftCell="A5" activePane="bottomLeft" state="frozen"/>
      <selection activeCell="E10" sqref="E10"/>
      <selection pane="bottomLeft" activeCell="E10" sqref="E10"/>
    </sheetView>
  </sheetViews>
  <sheetFormatPr defaultRowHeight="14.5" x14ac:dyDescent="0.35"/>
  <cols>
    <col min="1" max="1" width="23.7265625" customWidth="1"/>
    <col min="2" max="2" width="15.26953125" bestFit="1" customWidth="1"/>
    <col min="3" max="3" width="14.26953125" style="46" customWidth="1"/>
    <col min="4" max="4" width="13.26953125" bestFit="1" customWidth="1"/>
    <col min="5" max="5" width="9.7265625" bestFit="1" customWidth="1"/>
    <col min="6" max="6" width="12.54296875" bestFit="1" customWidth="1"/>
    <col min="7" max="7" width="13.1796875" customWidth="1"/>
    <col min="9" max="9" width="10.453125" bestFit="1" customWidth="1"/>
    <col min="11" max="11" width="9.453125" bestFit="1" customWidth="1"/>
  </cols>
  <sheetData>
    <row r="1" spans="1:7" x14ac:dyDescent="0.35">
      <c r="A1" s="63" t="str">
        <f>+'PPC Cycle 3'!A1</f>
        <v>Evergy Missouri West, Inc. - DSIM Rider Update Filed 06/01/2024</v>
      </c>
      <c r="B1" s="46"/>
      <c r="D1" s="46"/>
      <c r="E1" s="46"/>
    </row>
    <row r="2" spans="1:7" x14ac:dyDescent="0.35">
      <c r="A2" s="9" t="str">
        <f>+'PPC Cycle 3'!A2</f>
        <v>Projections for Cycle 3 July 2024 - June 2025 DSIM</v>
      </c>
      <c r="B2" s="46"/>
      <c r="D2" s="46"/>
      <c r="E2" s="46"/>
    </row>
    <row r="3" spans="1:7" ht="45.75" customHeight="1" x14ac:dyDescent="0.35">
      <c r="A3" s="46"/>
      <c r="B3" s="367" t="s">
        <v>96</v>
      </c>
      <c r="C3" s="367"/>
      <c r="D3" s="367"/>
      <c r="E3" s="46"/>
    </row>
    <row r="4" spans="1:7" ht="87" x14ac:dyDescent="0.35">
      <c r="A4" s="46"/>
      <c r="B4" s="70" t="s">
        <v>98</v>
      </c>
      <c r="C4" s="70" t="s">
        <v>99</v>
      </c>
      <c r="D4" s="70" t="s">
        <v>102</v>
      </c>
      <c r="E4" s="70" t="s">
        <v>100</v>
      </c>
      <c r="F4" s="70" t="s">
        <v>97</v>
      </c>
      <c r="G4" s="70" t="s">
        <v>103</v>
      </c>
    </row>
    <row r="5" spans="1:7" s="46" customFormat="1" x14ac:dyDescent="0.35">
      <c r="A5" s="20"/>
      <c r="B5" s="70"/>
      <c r="C5" s="70"/>
      <c r="D5" s="145"/>
    </row>
    <row r="6" spans="1:7" s="46" customFormat="1" x14ac:dyDescent="0.35">
      <c r="A6" s="234" t="s">
        <v>151</v>
      </c>
      <c r="B6" s="70"/>
      <c r="C6" s="70"/>
      <c r="D6" s="144"/>
    </row>
    <row r="7" spans="1:7" s="46" customFormat="1" x14ac:dyDescent="0.35">
      <c r="A7" s="20" t="s">
        <v>24</v>
      </c>
      <c r="B7" s="215">
        <f>+B18+B29+B40+B50+B60+B70+B80</f>
        <v>6580575.5600000005</v>
      </c>
      <c r="C7" s="215">
        <f t="shared" ref="C7:E7" si="0">+C18+C29+C40+C50+C60+C70+C80</f>
        <v>-1695365.81</v>
      </c>
      <c r="D7" s="215">
        <f t="shared" si="0"/>
        <v>-1361421.68</v>
      </c>
      <c r="E7" s="215">
        <f t="shared" si="0"/>
        <v>-87775.260000000024</v>
      </c>
      <c r="F7" s="215">
        <f>SUM(B7:E7)</f>
        <v>3436012.81</v>
      </c>
      <c r="G7" s="215">
        <f t="shared" ref="G7:G8" si="1">+G18+G29+G40+G50+G60+G70+G80</f>
        <v>-14253.630000000001</v>
      </c>
    </row>
    <row r="8" spans="1:7" s="46" customFormat="1" x14ac:dyDescent="0.35">
      <c r="A8" s="20" t="s">
        <v>25</v>
      </c>
      <c r="B8" s="215">
        <f t="shared" ref="B8:E8" si="2">+B19+B30+B41+B51+B61+B71+B81</f>
        <v>6141489.0100000007</v>
      </c>
      <c r="C8" s="215">
        <f t="shared" si="2"/>
        <v>917589.42999999993</v>
      </c>
      <c r="D8" s="215">
        <f t="shared" si="2"/>
        <v>-160545.48000000001</v>
      </c>
      <c r="E8" s="215">
        <f t="shared" si="2"/>
        <v>65611.53</v>
      </c>
      <c r="F8" s="215">
        <f>SUM(B8:E8)</f>
        <v>6964144.4900000002</v>
      </c>
      <c r="G8" s="215">
        <f t="shared" si="1"/>
        <v>-201.19000000000005</v>
      </c>
    </row>
    <row r="9" spans="1:7" s="46" customFormat="1" x14ac:dyDescent="0.35">
      <c r="A9" s="20" t="s">
        <v>5</v>
      </c>
      <c r="B9" s="207">
        <f t="shared" ref="B9:E9" si="3">SUM(B7:B8)</f>
        <v>12722064.57</v>
      </c>
      <c r="C9" s="207">
        <f t="shared" si="3"/>
        <v>-777776.38000000012</v>
      </c>
      <c r="D9" s="207">
        <f t="shared" si="3"/>
        <v>-1521967.16</v>
      </c>
      <c r="E9" s="207">
        <f t="shared" si="3"/>
        <v>-22163.730000000025</v>
      </c>
      <c r="F9" s="207">
        <f t="shared" ref="F9:G9" si="4">SUM(F7:F8)</f>
        <v>10400157.300000001</v>
      </c>
      <c r="G9" s="207">
        <f t="shared" si="4"/>
        <v>-14454.820000000002</v>
      </c>
    </row>
    <row r="10" spans="1:7" s="46" customFormat="1" x14ac:dyDescent="0.35">
      <c r="B10" s="204"/>
      <c r="C10" s="204"/>
      <c r="D10" s="205"/>
    </row>
    <row r="11" spans="1:7" s="46" customFormat="1" x14ac:dyDescent="0.35">
      <c r="A11" s="20" t="s">
        <v>105</v>
      </c>
      <c r="B11" s="207">
        <f t="shared" ref="B11:E11" si="5">+B22+B33+B44+B54+B64+B74+B84</f>
        <v>2400450.7000000002</v>
      </c>
      <c r="C11" s="207">
        <f t="shared" si="5"/>
        <v>394893.28</v>
      </c>
      <c r="D11" s="207">
        <f t="shared" si="5"/>
        <v>-42963.699999999975</v>
      </c>
      <c r="E11" s="207">
        <f t="shared" si="5"/>
        <v>29785.539999999997</v>
      </c>
      <c r="F11" s="207">
        <f t="shared" ref="F11:F13" si="6">SUM(B11:E11)</f>
        <v>2782165.8200000003</v>
      </c>
      <c r="G11" s="207">
        <f t="shared" ref="G11:G13" si="7">+G22+G33+G44+G54+G64+G74+G84</f>
        <v>271.20000000000005</v>
      </c>
    </row>
    <row r="12" spans="1:7" s="46" customFormat="1" x14ac:dyDescent="0.35">
      <c r="A12" s="20" t="s">
        <v>106</v>
      </c>
      <c r="B12" s="207">
        <f t="shared" ref="B12:E12" si="8">+B23+B34+B45+B55+B65+B75+B85</f>
        <v>2683377.23</v>
      </c>
      <c r="C12" s="207">
        <f t="shared" si="8"/>
        <v>480798.51</v>
      </c>
      <c r="D12" s="207">
        <f t="shared" si="8"/>
        <v>-107219.15</v>
      </c>
      <c r="E12" s="207">
        <f t="shared" si="8"/>
        <v>31959.200000000001</v>
      </c>
      <c r="F12" s="207">
        <f t="shared" si="6"/>
        <v>3088915.7900000005</v>
      </c>
      <c r="G12" s="207">
        <f t="shared" si="7"/>
        <v>-205.76000000000002</v>
      </c>
    </row>
    <row r="13" spans="1:7" s="46" customFormat="1" x14ac:dyDescent="0.35">
      <c r="A13" s="20" t="s">
        <v>107</v>
      </c>
      <c r="B13" s="207">
        <f t="shared" ref="B13:E13" si="9">+B24+B35+B46+B56+B66+B76+B86</f>
        <v>1057661.06</v>
      </c>
      <c r="C13" s="207">
        <f t="shared" si="9"/>
        <v>41897.640000000007</v>
      </c>
      <c r="D13" s="207">
        <f t="shared" si="9"/>
        <v>-10362.630000000001</v>
      </c>
      <c r="E13" s="207">
        <f t="shared" si="9"/>
        <v>3866.7900000000004</v>
      </c>
      <c r="F13" s="207">
        <f t="shared" si="6"/>
        <v>1093062.8600000001</v>
      </c>
      <c r="G13" s="207">
        <f t="shared" si="7"/>
        <v>-266.63</v>
      </c>
    </row>
    <row r="14" spans="1:7" s="46" customFormat="1" x14ac:dyDescent="0.35">
      <c r="A14" s="30" t="s">
        <v>109</v>
      </c>
      <c r="B14" s="207">
        <f t="shared" ref="B14:E14" si="10">SUM(B11:B13)</f>
        <v>6141488.9900000002</v>
      </c>
      <c r="C14" s="207">
        <f t="shared" si="10"/>
        <v>917589.43</v>
      </c>
      <c r="D14" s="207">
        <f t="shared" si="10"/>
        <v>-160545.47999999998</v>
      </c>
      <c r="E14" s="207">
        <f t="shared" si="10"/>
        <v>65611.53</v>
      </c>
      <c r="F14" s="207">
        <f t="shared" ref="F14:G14" si="11">SUM(F11:F13)</f>
        <v>6964144.4700000016</v>
      </c>
      <c r="G14" s="207">
        <f t="shared" si="11"/>
        <v>-201.18999999999997</v>
      </c>
    </row>
    <row r="15" spans="1:7" s="46" customFormat="1" x14ac:dyDescent="0.35">
      <c r="A15" s="20"/>
      <c r="B15" s="70"/>
      <c r="C15" s="70"/>
      <c r="D15" s="144"/>
    </row>
    <row r="16" spans="1:7" s="46" customFormat="1" x14ac:dyDescent="0.35">
      <c r="A16" s="20"/>
      <c r="B16" s="70"/>
      <c r="C16" s="70"/>
      <c r="D16" s="144"/>
    </row>
    <row r="17" spans="1:11" s="46" customFormat="1" x14ac:dyDescent="0.35">
      <c r="A17" s="234" t="s">
        <v>157</v>
      </c>
      <c r="B17" s="70"/>
      <c r="C17" s="70"/>
      <c r="D17" s="144"/>
    </row>
    <row r="18" spans="1:11" s="46" customFormat="1" x14ac:dyDescent="0.35">
      <c r="A18" s="20" t="s">
        <v>24</v>
      </c>
      <c r="B18" s="25">
        <v>5181939.6500000004</v>
      </c>
      <c r="C18" s="25">
        <v>-722286.33</v>
      </c>
      <c r="D18" s="25">
        <v>574414.55000000005</v>
      </c>
      <c r="E18" s="226">
        <v>2229.4899999999998</v>
      </c>
      <c r="F18" s="215">
        <f>SUM(B18:E18)</f>
        <v>5036297.3600000003</v>
      </c>
      <c r="G18" s="227">
        <f>ROUND(F18/24*0,2)</f>
        <v>0</v>
      </c>
    </row>
    <row r="19" spans="1:11" s="46" customFormat="1" x14ac:dyDescent="0.35">
      <c r="A19" s="20" t="s">
        <v>25</v>
      </c>
      <c r="B19" s="206">
        <v>5060008.6900000004</v>
      </c>
      <c r="C19" s="206">
        <v>194085.35</v>
      </c>
      <c r="D19" s="206">
        <v>562321.14</v>
      </c>
      <c r="E19" s="228">
        <v>20418.36</v>
      </c>
      <c r="F19" s="215">
        <f>SUM(B19:E19)</f>
        <v>5836833.54</v>
      </c>
      <c r="G19" s="227">
        <f>ROUND(F19/24*0,2)</f>
        <v>0</v>
      </c>
    </row>
    <row r="20" spans="1:11" s="46" customFormat="1" x14ac:dyDescent="0.35">
      <c r="A20" s="20" t="s">
        <v>5</v>
      </c>
      <c r="B20" s="207">
        <f t="shared" ref="B20:G20" si="12">SUM(B18:B19)</f>
        <v>10241948.34</v>
      </c>
      <c r="C20" s="207">
        <f t="shared" si="12"/>
        <v>-528200.98</v>
      </c>
      <c r="D20" s="207">
        <f t="shared" si="12"/>
        <v>1136735.69</v>
      </c>
      <c r="E20" s="229">
        <f t="shared" si="12"/>
        <v>22647.85</v>
      </c>
      <c r="F20" s="207">
        <f t="shared" si="12"/>
        <v>10873130.9</v>
      </c>
      <c r="G20" s="230">
        <f t="shared" si="12"/>
        <v>0</v>
      </c>
    </row>
    <row r="21" spans="1:11" s="46" customFormat="1" x14ac:dyDescent="0.35">
      <c r="B21" s="204"/>
      <c r="C21" s="204"/>
      <c r="D21" s="205"/>
    </row>
    <row r="22" spans="1:11" x14ac:dyDescent="0.35">
      <c r="A22" s="20" t="s">
        <v>105</v>
      </c>
      <c r="B22" s="25">
        <v>1943830.05</v>
      </c>
      <c r="C22" s="25">
        <v>62654.27</v>
      </c>
      <c r="D22" s="25">
        <v>289519.26</v>
      </c>
      <c r="E22" s="206">
        <v>9487.83</v>
      </c>
      <c r="F22" s="207">
        <f t="shared" ref="F22:F24" si="13">SUM(B22:E22)</f>
        <v>2305491.41</v>
      </c>
      <c r="G22" s="236">
        <f>ROUND(F22/24*0,2)</f>
        <v>0</v>
      </c>
      <c r="J22" s="46"/>
      <c r="K22" s="46"/>
    </row>
    <row r="23" spans="1:11" x14ac:dyDescent="0.35">
      <c r="A23" s="20" t="s">
        <v>106</v>
      </c>
      <c r="B23" s="25">
        <v>2196160.91</v>
      </c>
      <c r="C23" s="25">
        <v>122990.05</v>
      </c>
      <c r="D23" s="25">
        <v>233118.96</v>
      </c>
      <c r="E23" s="25">
        <v>9593.31</v>
      </c>
      <c r="F23" s="207">
        <f t="shared" si="13"/>
        <v>2561863.23</v>
      </c>
      <c r="G23" s="236">
        <f>ROUND(F23/24*0,2)</f>
        <v>0</v>
      </c>
      <c r="J23" s="46"/>
      <c r="K23" s="46"/>
    </row>
    <row r="24" spans="1:11" x14ac:dyDescent="0.35">
      <c r="A24" s="20" t="s">
        <v>107</v>
      </c>
      <c r="B24" s="206">
        <v>920017.71</v>
      </c>
      <c r="C24" s="206">
        <v>8441.0300000000007</v>
      </c>
      <c r="D24" s="206">
        <v>39682.92</v>
      </c>
      <c r="E24" s="206">
        <v>1337.22</v>
      </c>
      <c r="F24" s="207">
        <f t="shared" si="13"/>
        <v>969478.88</v>
      </c>
      <c r="G24" s="236">
        <f>ROUND(F24/24*0,2)</f>
        <v>0</v>
      </c>
      <c r="J24" s="46"/>
      <c r="K24" s="46"/>
    </row>
    <row r="25" spans="1:11" x14ac:dyDescent="0.35">
      <c r="A25" s="30" t="s">
        <v>109</v>
      </c>
      <c r="B25" s="207">
        <f>SUM(B22:B24)</f>
        <v>5060008.67</v>
      </c>
      <c r="C25" s="207">
        <f>SUM(C22:C24)</f>
        <v>194085.35</v>
      </c>
      <c r="D25" s="207">
        <f t="shared" ref="D25:G25" si="14">SUM(D22:D24)</f>
        <v>562321.14</v>
      </c>
      <c r="E25" s="207">
        <f t="shared" si="14"/>
        <v>20418.36</v>
      </c>
      <c r="F25" s="207">
        <f t="shared" si="14"/>
        <v>5836833.5200000005</v>
      </c>
      <c r="G25" s="207">
        <f t="shared" si="14"/>
        <v>0</v>
      </c>
      <c r="J25" s="46"/>
      <c r="K25" s="46"/>
    </row>
    <row r="26" spans="1:11" s="39" customFormat="1" x14ac:dyDescent="0.35">
      <c r="A26" s="30"/>
      <c r="B26" s="235"/>
      <c r="C26" s="235"/>
      <c r="D26" s="235"/>
      <c r="E26" s="235"/>
      <c r="F26" s="235"/>
      <c r="G26" s="235"/>
      <c r="J26" s="46"/>
      <c r="K26" s="46"/>
    </row>
    <row r="27" spans="1:11" s="39" customFormat="1" x14ac:dyDescent="0.35">
      <c r="A27" s="30"/>
      <c r="B27" s="235"/>
      <c r="C27" s="235"/>
      <c r="D27" s="235"/>
      <c r="E27" s="235"/>
      <c r="F27" s="235"/>
      <c r="G27" s="235"/>
      <c r="J27" s="46"/>
      <c r="K27" s="46"/>
    </row>
    <row r="28" spans="1:11" s="46" customFormat="1" x14ac:dyDescent="0.35">
      <c r="A28" s="234" t="s">
        <v>158</v>
      </c>
      <c r="B28" s="70"/>
      <c r="C28" s="70"/>
      <c r="D28" s="144"/>
    </row>
    <row r="29" spans="1:11" s="46" customFormat="1" x14ac:dyDescent="0.35">
      <c r="A29" s="20" t="s">
        <v>24</v>
      </c>
      <c r="B29" s="25">
        <v>1398635.91</v>
      </c>
      <c r="C29" s="25">
        <v>-801107.23</v>
      </c>
      <c r="D29" s="25">
        <v>-1374859.37</v>
      </c>
      <c r="E29" s="226">
        <v>-42421.68</v>
      </c>
      <c r="F29" s="215">
        <f>SUM(B29:E29)</f>
        <v>-819752.37000000023</v>
      </c>
      <c r="G29" s="227">
        <f>ROUND(F29/24*0,2)</f>
        <v>0</v>
      </c>
    </row>
    <row r="30" spans="1:11" s="46" customFormat="1" x14ac:dyDescent="0.35">
      <c r="A30" s="20" t="s">
        <v>25</v>
      </c>
      <c r="B30" s="206">
        <v>1081480.32</v>
      </c>
      <c r="C30" s="206">
        <v>524350.93999999994</v>
      </c>
      <c r="D30" s="206">
        <v>-536449.89</v>
      </c>
      <c r="E30" s="228">
        <v>37990.920000000006</v>
      </c>
      <c r="F30" s="215">
        <f>SUM(B30:E30)</f>
        <v>1107372.29</v>
      </c>
      <c r="G30" s="227">
        <f>ROUND(F30/24*0,2)</f>
        <v>0</v>
      </c>
    </row>
    <row r="31" spans="1:11" s="46" customFormat="1" x14ac:dyDescent="0.35">
      <c r="A31" s="20" t="s">
        <v>5</v>
      </c>
      <c r="B31" s="207">
        <f t="shared" ref="B31:G31" si="15">SUM(B29:B30)</f>
        <v>2480116.23</v>
      </c>
      <c r="C31" s="207">
        <f t="shared" si="15"/>
        <v>-276756.29000000004</v>
      </c>
      <c r="D31" s="207">
        <f t="shared" si="15"/>
        <v>-1911309.2600000002</v>
      </c>
      <c r="E31" s="229">
        <f t="shared" si="15"/>
        <v>-4430.7599999999948</v>
      </c>
      <c r="F31" s="207">
        <f t="shared" si="15"/>
        <v>287619.91999999981</v>
      </c>
      <c r="G31" s="230">
        <f t="shared" si="15"/>
        <v>0</v>
      </c>
    </row>
    <row r="32" spans="1:11" s="46" customFormat="1" x14ac:dyDescent="0.35">
      <c r="B32" s="204"/>
      <c r="C32" s="204"/>
      <c r="D32" s="205"/>
    </row>
    <row r="33" spans="1:11" s="46" customFormat="1" x14ac:dyDescent="0.35">
      <c r="A33" s="20" t="s">
        <v>105</v>
      </c>
      <c r="B33" s="25">
        <v>456620.65</v>
      </c>
      <c r="C33" s="25">
        <v>238713.51</v>
      </c>
      <c r="D33" s="25">
        <v>-250839.18</v>
      </c>
      <c r="E33" s="206">
        <v>16987.560000000001</v>
      </c>
      <c r="F33" s="207">
        <f t="shared" ref="F33:F35" si="16">SUM(B33:E33)</f>
        <v>461482.54000000004</v>
      </c>
      <c r="G33" s="236">
        <f>ROUND(F33/24*0,2)</f>
        <v>0</v>
      </c>
    </row>
    <row r="34" spans="1:11" s="46" customFormat="1" x14ac:dyDescent="0.35">
      <c r="A34" s="20" t="s">
        <v>106</v>
      </c>
      <c r="B34" s="25">
        <v>487216.32</v>
      </c>
      <c r="C34" s="25">
        <v>261085.55</v>
      </c>
      <c r="D34" s="25">
        <v>-248789.11</v>
      </c>
      <c r="E34" s="25">
        <v>18676.650000000001</v>
      </c>
      <c r="F34" s="207">
        <f t="shared" si="16"/>
        <v>518189.41000000003</v>
      </c>
      <c r="G34" s="236">
        <f>ROUND(F34/24*0,2)</f>
        <v>0</v>
      </c>
    </row>
    <row r="35" spans="1:11" s="46" customFormat="1" x14ac:dyDescent="0.35">
      <c r="A35" s="20" t="s">
        <v>107</v>
      </c>
      <c r="B35" s="206">
        <v>137643.35</v>
      </c>
      <c r="C35" s="206">
        <v>24551.88</v>
      </c>
      <c r="D35" s="206">
        <v>-36821.599999999999</v>
      </c>
      <c r="E35" s="206">
        <v>2326.71</v>
      </c>
      <c r="F35" s="207">
        <f t="shared" si="16"/>
        <v>127700.34000000001</v>
      </c>
      <c r="G35" s="236">
        <f>ROUND(F35/24*0,2)</f>
        <v>0</v>
      </c>
    </row>
    <row r="36" spans="1:11" s="46" customFormat="1" x14ac:dyDescent="0.35">
      <c r="A36" s="30" t="s">
        <v>109</v>
      </c>
      <c r="B36" s="207">
        <f>SUM(B33:B35)</f>
        <v>1081480.32</v>
      </c>
      <c r="C36" s="207">
        <f>SUM(C33:C35)</f>
        <v>524350.93999999994</v>
      </c>
      <c r="D36" s="207">
        <f t="shared" ref="D36:G36" si="17">SUM(D33:D35)</f>
        <v>-536449.89</v>
      </c>
      <c r="E36" s="207">
        <f t="shared" si="17"/>
        <v>37990.920000000006</v>
      </c>
      <c r="F36" s="207">
        <f t="shared" si="17"/>
        <v>1107372.29</v>
      </c>
      <c r="G36" s="207">
        <f t="shared" si="17"/>
        <v>0</v>
      </c>
    </row>
    <row r="37" spans="1:11" x14ac:dyDescent="0.35">
      <c r="A37" s="30"/>
      <c r="B37" s="235"/>
      <c r="C37" s="235"/>
      <c r="D37" s="235"/>
      <c r="E37" s="235"/>
      <c r="F37" s="235"/>
      <c r="G37" s="235"/>
      <c r="J37" s="46"/>
      <c r="K37" s="46"/>
    </row>
    <row r="38" spans="1:11" s="39" customFormat="1" x14ac:dyDescent="0.35">
      <c r="A38" s="30"/>
      <c r="B38" s="235"/>
      <c r="C38" s="235"/>
      <c r="D38" s="235"/>
      <c r="E38" s="235"/>
      <c r="F38" s="235"/>
      <c r="G38" s="235"/>
      <c r="J38" s="46"/>
      <c r="K38" s="46"/>
    </row>
    <row r="39" spans="1:11" s="46" customFormat="1" x14ac:dyDescent="0.35">
      <c r="A39" s="234" t="s">
        <v>159</v>
      </c>
      <c r="B39" s="70"/>
      <c r="C39" s="70"/>
      <c r="D39" s="144"/>
    </row>
    <row r="40" spans="1:11" s="46" customFormat="1" x14ac:dyDescent="0.35">
      <c r="A40" s="20" t="s">
        <v>24</v>
      </c>
      <c r="B40" s="25">
        <v>0</v>
      </c>
      <c r="C40" s="25">
        <v>-188195.82</v>
      </c>
      <c r="D40" s="25">
        <v>-520190.41</v>
      </c>
      <c r="E40" s="226">
        <v>-19391.330000000002</v>
      </c>
      <c r="F40" s="215">
        <f>SUM(B40:E40)</f>
        <v>-727777.55999999994</v>
      </c>
      <c r="G40" s="227">
        <f>ROUND(F40/24*0,2)</f>
        <v>0</v>
      </c>
    </row>
    <row r="41" spans="1:11" s="46" customFormat="1" x14ac:dyDescent="0.35">
      <c r="A41" s="20" t="s">
        <v>25</v>
      </c>
      <c r="B41" s="206">
        <v>0</v>
      </c>
      <c r="C41" s="206">
        <v>185348.24</v>
      </c>
      <c r="D41" s="206">
        <v>-173130.57</v>
      </c>
      <c r="E41" s="228">
        <v>5685.3399999999992</v>
      </c>
      <c r="F41" s="215">
        <f>SUM(B41:E41)</f>
        <v>17903.009999999984</v>
      </c>
      <c r="G41" s="227">
        <f>ROUND(F41/24*0,2)</f>
        <v>0</v>
      </c>
    </row>
    <row r="42" spans="1:11" s="46" customFormat="1" x14ac:dyDescent="0.35">
      <c r="A42" s="20" t="s">
        <v>5</v>
      </c>
      <c r="B42" s="207">
        <f t="shared" ref="B42:G42" si="18">SUM(B40:B41)</f>
        <v>0</v>
      </c>
      <c r="C42" s="207">
        <f t="shared" si="18"/>
        <v>-2847.5800000000163</v>
      </c>
      <c r="D42" s="207">
        <f t="shared" si="18"/>
        <v>-693320.98</v>
      </c>
      <c r="E42" s="229">
        <f t="shared" si="18"/>
        <v>-13705.990000000002</v>
      </c>
      <c r="F42" s="207">
        <f t="shared" si="18"/>
        <v>-709874.54999999993</v>
      </c>
      <c r="G42" s="230">
        <f t="shared" si="18"/>
        <v>0</v>
      </c>
    </row>
    <row r="43" spans="1:11" s="46" customFormat="1" x14ac:dyDescent="0.35">
      <c r="B43" s="204"/>
      <c r="C43" s="204"/>
      <c r="D43" s="205"/>
    </row>
    <row r="44" spans="1:11" s="46" customFormat="1" x14ac:dyDescent="0.35">
      <c r="A44" s="20" t="s">
        <v>105</v>
      </c>
      <c r="B44" s="25">
        <v>0</v>
      </c>
      <c r="C44" s="25">
        <v>87398.02</v>
      </c>
      <c r="D44" s="25">
        <v>-76386.149999999994</v>
      </c>
      <c r="E44" s="206">
        <v>2490.44</v>
      </c>
      <c r="F44" s="207">
        <f t="shared" ref="F44:F46" si="19">SUM(B44:E44)</f>
        <v>13502.31000000001</v>
      </c>
      <c r="G44" s="236">
        <f>ROUND(F44/24*0,2)</f>
        <v>0</v>
      </c>
    </row>
    <row r="45" spans="1:11" s="46" customFormat="1" x14ac:dyDescent="0.35">
      <c r="A45" s="20" t="s">
        <v>106</v>
      </c>
      <c r="B45" s="25">
        <v>0</v>
      </c>
      <c r="C45" s="25">
        <v>89708.28</v>
      </c>
      <c r="D45" s="25">
        <v>-84622.720000000001</v>
      </c>
      <c r="E45" s="25">
        <v>2915.7</v>
      </c>
      <c r="F45" s="207">
        <f t="shared" si="19"/>
        <v>8001.2599999999975</v>
      </c>
      <c r="G45" s="236">
        <f>ROUND(F45/24*0,2)</f>
        <v>0</v>
      </c>
    </row>
    <row r="46" spans="1:11" s="46" customFormat="1" x14ac:dyDescent="0.35">
      <c r="A46" s="20" t="s">
        <v>107</v>
      </c>
      <c r="B46" s="206">
        <v>0</v>
      </c>
      <c r="C46" s="25">
        <v>8241.94</v>
      </c>
      <c r="D46" s="206">
        <v>-12121.7</v>
      </c>
      <c r="E46" s="206">
        <v>279.2</v>
      </c>
      <c r="F46" s="207">
        <f t="shared" si="19"/>
        <v>-3600.5600000000004</v>
      </c>
      <c r="G46" s="236">
        <f>ROUND(F46/24*0,2)</f>
        <v>0</v>
      </c>
    </row>
    <row r="47" spans="1:11" s="46" customFormat="1" x14ac:dyDescent="0.35">
      <c r="A47" s="30" t="s">
        <v>109</v>
      </c>
      <c r="B47" s="207">
        <f>SUM(B44:B46)</f>
        <v>0</v>
      </c>
      <c r="C47" s="207">
        <f>SUM(C44:C46)</f>
        <v>185348.24</v>
      </c>
      <c r="D47" s="207">
        <f t="shared" ref="D47:G47" si="20">SUM(D44:D46)</f>
        <v>-173130.57</v>
      </c>
      <c r="E47" s="207">
        <f t="shared" si="20"/>
        <v>5685.3399999999992</v>
      </c>
      <c r="F47" s="207">
        <f t="shared" si="20"/>
        <v>17903.010000000006</v>
      </c>
      <c r="G47" s="207">
        <f t="shared" si="20"/>
        <v>0</v>
      </c>
    </row>
    <row r="48" spans="1:11" s="46" customFormat="1" x14ac:dyDescent="0.35">
      <c r="A48" s="30"/>
      <c r="B48" s="231"/>
      <c r="C48" s="231"/>
      <c r="D48" s="231"/>
      <c r="E48" s="231"/>
      <c r="F48" s="231"/>
      <c r="G48" s="231"/>
    </row>
    <row r="49" spans="1:7" s="46" customFormat="1" x14ac:dyDescent="0.35">
      <c r="A49" s="234" t="s">
        <v>161</v>
      </c>
      <c r="B49" s="70"/>
      <c r="C49" s="70"/>
      <c r="D49" s="144"/>
    </row>
    <row r="50" spans="1:7" s="46" customFormat="1" x14ac:dyDescent="0.35">
      <c r="A50" s="20" t="s">
        <v>24</v>
      </c>
      <c r="B50" s="25">
        <v>0</v>
      </c>
      <c r="C50" s="25">
        <v>0</v>
      </c>
      <c r="D50" s="25">
        <v>0</v>
      </c>
      <c r="E50" s="226">
        <v>-10950.18</v>
      </c>
      <c r="F50" s="215">
        <f>SUM(B50:E50)</f>
        <v>-10950.18</v>
      </c>
      <c r="G50" s="227">
        <f>ROUND(F50/24*0,2)</f>
        <v>0</v>
      </c>
    </row>
    <row r="51" spans="1:7" s="46" customFormat="1" x14ac:dyDescent="0.35">
      <c r="A51" s="20" t="s">
        <v>25</v>
      </c>
      <c r="B51" s="206">
        <v>0</v>
      </c>
      <c r="C51" s="206">
        <v>0</v>
      </c>
      <c r="D51" s="206">
        <v>0</v>
      </c>
      <c r="E51" s="228">
        <v>1989.22</v>
      </c>
      <c r="F51" s="215">
        <f>SUM(B51:E51)</f>
        <v>1989.22</v>
      </c>
      <c r="G51" s="227">
        <f>SUM(G54:G56)</f>
        <v>0</v>
      </c>
    </row>
    <row r="52" spans="1:7" s="46" customFormat="1" x14ac:dyDescent="0.35">
      <c r="A52" s="20" t="s">
        <v>5</v>
      </c>
      <c r="B52" s="207">
        <f t="shared" ref="B52:G52" si="21">SUM(B50:B51)</f>
        <v>0</v>
      </c>
      <c r="C52" s="207">
        <f t="shared" si="21"/>
        <v>0</v>
      </c>
      <c r="D52" s="207">
        <f t="shared" si="21"/>
        <v>0</v>
      </c>
      <c r="E52" s="229">
        <f t="shared" si="21"/>
        <v>-8960.9600000000009</v>
      </c>
      <c r="F52" s="207">
        <f t="shared" si="21"/>
        <v>-8960.9600000000009</v>
      </c>
      <c r="G52" s="230">
        <f t="shared" si="21"/>
        <v>0</v>
      </c>
    </row>
    <row r="53" spans="1:7" s="46" customFormat="1" x14ac:dyDescent="0.35">
      <c r="B53" s="204"/>
      <c r="C53" s="204"/>
      <c r="D53" s="205"/>
    </row>
    <row r="54" spans="1:7" s="46" customFormat="1" x14ac:dyDescent="0.35">
      <c r="A54" s="20" t="s">
        <v>105</v>
      </c>
      <c r="B54" s="25">
        <v>0</v>
      </c>
      <c r="C54" s="25">
        <v>0</v>
      </c>
      <c r="D54" s="25">
        <v>0</v>
      </c>
      <c r="E54" s="206">
        <v>869.87</v>
      </c>
      <c r="F54" s="207">
        <f t="shared" ref="F54:F56" si="22">SUM(B54:E54)</f>
        <v>869.87</v>
      </c>
      <c r="G54" s="236">
        <f>ROUND(F54/24*0,2)</f>
        <v>0</v>
      </c>
    </row>
    <row r="55" spans="1:7" s="46" customFormat="1" x14ac:dyDescent="0.35">
      <c r="A55" s="20" t="s">
        <v>106</v>
      </c>
      <c r="B55" s="25">
        <v>0</v>
      </c>
      <c r="C55" s="25">
        <v>0</v>
      </c>
      <c r="D55" s="25">
        <v>0</v>
      </c>
      <c r="E55" s="25">
        <v>1045.55</v>
      </c>
      <c r="F55" s="207">
        <f t="shared" si="22"/>
        <v>1045.55</v>
      </c>
      <c r="G55" s="236">
        <f>ROUND(F55/24*0,2)</f>
        <v>0</v>
      </c>
    </row>
    <row r="56" spans="1:7" s="46" customFormat="1" x14ac:dyDescent="0.35">
      <c r="A56" s="20" t="s">
        <v>107</v>
      </c>
      <c r="B56" s="206">
        <v>0</v>
      </c>
      <c r="C56" s="25">
        <v>0</v>
      </c>
      <c r="D56" s="206">
        <v>0</v>
      </c>
      <c r="E56" s="206">
        <v>73.8</v>
      </c>
      <c r="F56" s="207">
        <f t="shared" si="22"/>
        <v>73.8</v>
      </c>
      <c r="G56" s="236">
        <f>ROUND(F56/24*0,2)</f>
        <v>0</v>
      </c>
    </row>
    <row r="57" spans="1:7" s="46" customFormat="1" x14ac:dyDescent="0.35">
      <c r="A57" s="30" t="s">
        <v>109</v>
      </c>
      <c r="B57" s="207">
        <f>SUM(B54:B56)</f>
        <v>0</v>
      </c>
      <c r="C57" s="207">
        <f>SUM(C54:C56)</f>
        <v>0</v>
      </c>
      <c r="D57" s="207">
        <f t="shared" ref="D57:G57" si="23">SUM(D54:D56)</f>
        <v>0</v>
      </c>
      <c r="E57" s="207">
        <f t="shared" si="23"/>
        <v>1989.22</v>
      </c>
      <c r="F57" s="207">
        <f t="shared" si="23"/>
        <v>1989.22</v>
      </c>
      <c r="G57" s="207">
        <f t="shared" si="23"/>
        <v>0</v>
      </c>
    </row>
    <row r="58" spans="1:7" s="46" customFormat="1" x14ac:dyDescent="0.35">
      <c r="A58" s="30"/>
      <c r="B58" s="231"/>
      <c r="C58" s="231"/>
      <c r="D58" s="231"/>
      <c r="E58" s="231"/>
      <c r="F58" s="231"/>
      <c r="G58" s="231"/>
    </row>
    <row r="59" spans="1:7" s="46" customFormat="1" x14ac:dyDescent="0.35">
      <c r="A59" s="234" t="s">
        <v>163</v>
      </c>
      <c r="B59" s="70"/>
      <c r="C59" s="70"/>
      <c r="D59" s="144"/>
    </row>
    <row r="60" spans="1:7" s="46" customFormat="1" x14ac:dyDescent="0.35">
      <c r="A60" s="20" t="s">
        <v>24</v>
      </c>
      <c r="B60" s="25">
        <v>0</v>
      </c>
      <c r="C60" s="25">
        <v>0</v>
      </c>
      <c r="D60" s="25">
        <v>0</v>
      </c>
      <c r="E60" s="226">
        <v>-12711.64</v>
      </c>
      <c r="F60" s="215">
        <f>SUM(B60:E60)</f>
        <v>-12711.64</v>
      </c>
      <c r="G60" s="227">
        <f>ROUND(F60/24*1,2)</f>
        <v>-529.65</v>
      </c>
    </row>
    <row r="61" spans="1:7" s="46" customFormat="1" x14ac:dyDescent="0.35">
      <c r="A61" s="20" t="s">
        <v>25</v>
      </c>
      <c r="B61" s="206">
        <v>0</v>
      </c>
      <c r="C61" s="206">
        <v>0</v>
      </c>
      <c r="D61" s="206">
        <v>0</v>
      </c>
      <c r="E61" s="228">
        <v>935.53000000000009</v>
      </c>
      <c r="F61" s="215">
        <f>SUM(B61:E61)</f>
        <v>935.53000000000009</v>
      </c>
      <c r="G61" s="227">
        <f>SUM(G64:G66)</f>
        <v>38.979999999999997</v>
      </c>
    </row>
    <row r="62" spans="1:7" s="46" customFormat="1" x14ac:dyDescent="0.35">
      <c r="A62" s="20" t="s">
        <v>5</v>
      </c>
      <c r="B62" s="207">
        <f t="shared" ref="B62:G62" si="24">SUM(B60:B61)</f>
        <v>0</v>
      </c>
      <c r="C62" s="207">
        <f t="shared" si="24"/>
        <v>0</v>
      </c>
      <c r="D62" s="207">
        <f t="shared" si="24"/>
        <v>0</v>
      </c>
      <c r="E62" s="229">
        <f t="shared" si="24"/>
        <v>-11776.109999999999</v>
      </c>
      <c r="F62" s="207">
        <f t="shared" si="24"/>
        <v>-11776.109999999999</v>
      </c>
      <c r="G62" s="230">
        <f t="shared" si="24"/>
        <v>-490.66999999999996</v>
      </c>
    </row>
    <row r="63" spans="1:7" s="46" customFormat="1" x14ac:dyDescent="0.35">
      <c r="B63" s="204"/>
      <c r="C63" s="204"/>
      <c r="D63" s="205"/>
    </row>
    <row r="64" spans="1:7" s="46" customFormat="1" x14ac:dyDescent="0.35">
      <c r="A64" s="20" t="s">
        <v>105</v>
      </c>
      <c r="B64" s="25">
        <v>0</v>
      </c>
      <c r="C64" s="25">
        <v>0</v>
      </c>
      <c r="D64" s="25">
        <v>0</v>
      </c>
      <c r="E64" s="206">
        <v>463.05</v>
      </c>
      <c r="F64" s="207">
        <f t="shared" ref="F64:F66" si="25">SUM(B64:E64)</f>
        <v>463.05</v>
      </c>
      <c r="G64" s="227">
        <f>ROUND(F64/24*1,2)</f>
        <v>19.29</v>
      </c>
    </row>
    <row r="65" spans="1:7" s="46" customFormat="1" x14ac:dyDescent="0.35">
      <c r="A65" s="20" t="s">
        <v>106</v>
      </c>
      <c r="B65" s="25">
        <v>0</v>
      </c>
      <c r="C65" s="25">
        <v>0</v>
      </c>
      <c r="D65" s="25">
        <v>0</v>
      </c>
      <c r="E65" s="25">
        <v>489.36</v>
      </c>
      <c r="F65" s="207">
        <f t="shared" si="25"/>
        <v>489.36</v>
      </c>
      <c r="G65" s="227">
        <f>ROUND(F65/24*1,2)</f>
        <v>20.39</v>
      </c>
    </row>
    <row r="66" spans="1:7" s="46" customFormat="1" x14ac:dyDescent="0.35">
      <c r="A66" s="20" t="s">
        <v>107</v>
      </c>
      <c r="B66" s="206">
        <v>0</v>
      </c>
      <c r="C66" s="25">
        <v>0</v>
      </c>
      <c r="D66" s="206">
        <v>0</v>
      </c>
      <c r="E66" s="206">
        <v>-16.88</v>
      </c>
      <c r="F66" s="207">
        <f t="shared" si="25"/>
        <v>-16.88</v>
      </c>
      <c r="G66" s="227">
        <f>ROUND(F66/24*1,2)</f>
        <v>-0.7</v>
      </c>
    </row>
    <row r="67" spans="1:7" s="46" customFormat="1" x14ac:dyDescent="0.35">
      <c r="A67" s="30" t="s">
        <v>109</v>
      </c>
      <c r="B67" s="207">
        <f>SUM(B64:B66)</f>
        <v>0</v>
      </c>
      <c r="C67" s="207">
        <f>SUM(C64:C66)</f>
        <v>0</v>
      </c>
      <c r="D67" s="207">
        <f t="shared" ref="D67:G67" si="26">SUM(D64:D66)</f>
        <v>0</v>
      </c>
      <c r="E67" s="207">
        <f t="shared" si="26"/>
        <v>935.53000000000009</v>
      </c>
      <c r="F67" s="207">
        <f t="shared" si="26"/>
        <v>935.53000000000009</v>
      </c>
      <c r="G67" s="207">
        <f t="shared" si="26"/>
        <v>38.979999999999997</v>
      </c>
    </row>
    <row r="68" spans="1:7" s="46" customFormat="1" x14ac:dyDescent="0.35">
      <c r="A68" s="30"/>
      <c r="B68" s="231"/>
      <c r="C68" s="231"/>
      <c r="D68" s="231"/>
      <c r="E68" s="231"/>
      <c r="F68" s="231"/>
      <c r="G68" s="231"/>
    </row>
    <row r="69" spans="1:7" s="46" customFormat="1" x14ac:dyDescent="0.35">
      <c r="A69" s="276" t="s">
        <v>175</v>
      </c>
      <c r="B69" s="70"/>
      <c r="C69" s="70"/>
      <c r="D69" s="144"/>
    </row>
    <row r="70" spans="1:7" s="46" customFormat="1" x14ac:dyDescent="0.35">
      <c r="A70" s="20" t="s">
        <v>24</v>
      </c>
      <c r="B70" s="25">
        <v>0</v>
      </c>
      <c r="C70" s="25">
        <v>0</v>
      </c>
      <c r="D70" s="25">
        <v>0</v>
      </c>
      <c r="E70" s="226">
        <v>-3947.6</v>
      </c>
      <c r="F70" s="215">
        <f>SUM(B70:E70)</f>
        <v>-3947.6</v>
      </c>
      <c r="G70" s="227">
        <f>ROUND(F70/24*7,2)</f>
        <v>-1151.3800000000001</v>
      </c>
    </row>
    <row r="71" spans="1:7" s="46" customFormat="1" x14ac:dyDescent="0.35">
      <c r="A71" s="20" t="s">
        <v>25</v>
      </c>
      <c r="B71" s="206">
        <v>0</v>
      </c>
      <c r="C71" s="206">
        <v>0</v>
      </c>
      <c r="D71" s="206">
        <v>0</v>
      </c>
      <c r="E71" s="228">
        <v>-980.94</v>
      </c>
      <c r="F71" s="215">
        <f>SUM(B71:E71)</f>
        <v>-980.94</v>
      </c>
      <c r="G71" s="227">
        <f>SUM(G74:G76)</f>
        <v>-286.10000000000002</v>
      </c>
    </row>
    <row r="72" spans="1:7" s="46" customFormat="1" x14ac:dyDescent="0.35">
      <c r="A72" s="20" t="s">
        <v>5</v>
      </c>
      <c r="B72" s="207">
        <f t="shared" ref="B72:G72" si="27">SUM(B70:B71)</f>
        <v>0</v>
      </c>
      <c r="C72" s="207">
        <f t="shared" si="27"/>
        <v>0</v>
      </c>
      <c r="D72" s="207">
        <f t="shared" si="27"/>
        <v>0</v>
      </c>
      <c r="E72" s="229">
        <f t="shared" si="27"/>
        <v>-4928.54</v>
      </c>
      <c r="F72" s="207">
        <f t="shared" si="27"/>
        <v>-4928.54</v>
      </c>
      <c r="G72" s="230">
        <f t="shared" si="27"/>
        <v>-1437.48</v>
      </c>
    </row>
    <row r="73" spans="1:7" s="46" customFormat="1" x14ac:dyDescent="0.35">
      <c r="B73" s="204"/>
      <c r="C73" s="204"/>
      <c r="D73" s="205"/>
    </row>
    <row r="74" spans="1:7" s="46" customFormat="1" x14ac:dyDescent="0.35">
      <c r="A74" s="20" t="s">
        <v>105</v>
      </c>
      <c r="B74" s="25">
        <v>0</v>
      </c>
      <c r="C74" s="25">
        <v>0</v>
      </c>
      <c r="D74" s="25">
        <v>0</v>
      </c>
      <c r="E74" s="206">
        <v>-353.19</v>
      </c>
      <c r="F74" s="207">
        <f t="shared" ref="F74:F76" si="28">SUM(B74:E74)</f>
        <v>-353.19</v>
      </c>
      <c r="G74" s="227">
        <f>ROUND(F74/24*7,2)</f>
        <v>-103.01</v>
      </c>
    </row>
    <row r="75" spans="1:7" s="46" customFormat="1" x14ac:dyDescent="0.35">
      <c r="A75" s="20" t="s">
        <v>106</v>
      </c>
      <c r="B75" s="25">
        <v>0</v>
      </c>
      <c r="C75" s="25">
        <v>0</v>
      </c>
      <c r="D75" s="25">
        <v>0</v>
      </c>
      <c r="E75" s="25">
        <v>-529.69000000000005</v>
      </c>
      <c r="F75" s="207">
        <f t="shared" si="28"/>
        <v>-529.69000000000005</v>
      </c>
      <c r="G75" s="227">
        <f>ROUND(F75/24*7,2)</f>
        <v>-154.49</v>
      </c>
    </row>
    <row r="76" spans="1:7" s="46" customFormat="1" x14ac:dyDescent="0.35">
      <c r="A76" s="20" t="s">
        <v>107</v>
      </c>
      <c r="B76" s="206">
        <v>0</v>
      </c>
      <c r="C76" s="25">
        <v>0</v>
      </c>
      <c r="D76" s="206">
        <v>0</v>
      </c>
      <c r="E76" s="206">
        <v>-98.06</v>
      </c>
      <c r="F76" s="207">
        <f t="shared" si="28"/>
        <v>-98.06</v>
      </c>
      <c r="G76" s="227">
        <f>ROUND(F76/24*7,2)</f>
        <v>-28.6</v>
      </c>
    </row>
    <row r="77" spans="1:7" s="46" customFormat="1" x14ac:dyDescent="0.35">
      <c r="A77" s="30" t="s">
        <v>109</v>
      </c>
      <c r="B77" s="207">
        <f>SUM(B74:B76)</f>
        <v>0</v>
      </c>
      <c r="C77" s="207">
        <f>SUM(C74:C76)</f>
        <v>0</v>
      </c>
      <c r="D77" s="207">
        <f t="shared" ref="D77:G77" si="29">SUM(D74:D76)</f>
        <v>0</v>
      </c>
      <c r="E77" s="207">
        <f t="shared" si="29"/>
        <v>-980.94</v>
      </c>
      <c r="F77" s="207">
        <f t="shared" si="29"/>
        <v>-980.94</v>
      </c>
      <c r="G77" s="207">
        <f t="shared" si="29"/>
        <v>-286.10000000000002</v>
      </c>
    </row>
    <row r="78" spans="1:7" s="46" customFormat="1" x14ac:dyDescent="0.35">
      <c r="A78" s="30"/>
      <c r="B78" s="231"/>
      <c r="C78" s="231"/>
      <c r="D78" s="231"/>
      <c r="E78" s="231"/>
      <c r="F78" s="231"/>
      <c r="G78" s="231"/>
    </row>
    <row r="79" spans="1:7" s="46" customFormat="1" x14ac:dyDescent="0.35">
      <c r="A79" s="279" t="s">
        <v>176</v>
      </c>
      <c r="B79" s="70"/>
      <c r="C79" s="70"/>
      <c r="D79" s="144"/>
    </row>
    <row r="80" spans="1:7" s="46" customFormat="1" x14ac:dyDescent="0.35">
      <c r="A80" s="20" t="s">
        <v>24</v>
      </c>
      <c r="B80" s="25">
        <v>0</v>
      </c>
      <c r="C80" s="25">
        <v>16223.57</v>
      </c>
      <c r="D80" s="25">
        <v>-40786.449999999997</v>
      </c>
      <c r="E80" s="226">
        <v>-582.32000000000005</v>
      </c>
      <c r="F80" s="215">
        <f>SUM(B80:E80)</f>
        <v>-25145.199999999997</v>
      </c>
      <c r="G80" s="227">
        <f>ROUND(F80/24*12,2)</f>
        <v>-12572.6</v>
      </c>
    </row>
    <row r="81" spans="1:12" s="46" customFormat="1" x14ac:dyDescent="0.35">
      <c r="A81" s="20" t="s">
        <v>25</v>
      </c>
      <c r="B81" s="206">
        <f>SUM(B84:B86)</f>
        <v>0</v>
      </c>
      <c r="C81" s="206">
        <f t="shared" ref="C81:E81" si="30">SUM(C84:C86)</f>
        <v>13804.900000000001</v>
      </c>
      <c r="D81" s="206">
        <f t="shared" si="30"/>
        <v>-13286.16</v>
      </c>
      <c r="E81" s="228">
        <f t="shared" si="30"/>
        <v>-426.90000000000003</v>
      </c>
      <c r="F81" s="215">
        <f>SUM(B81:E81)</f>
        <v>91.840000000001567</v>
      </c>
      <c r="G81" s="227">
        <f>SUM(G84:G86)</f>
        <v>45.929999999999978</v>
      </c>
    </row>
    <row r="82" spans="1:12" s="46" customFormat="1" x14ac:dyDescent="0.35">
      <c r="A82" s="20" t="s">
        <v>5</v>
      </c>
      <c r="B82" s="207">
        <f t="shared" ref="B82:G82" si="31">SUM(B80:B81)</f>
        <v>0</v>
      </c>
      <c r="C82" s="207">
        <f t="shared" si="31"/>
        <v>30028.47</v>
      </c>
      <c r="D82" s="207">
        <f t="shared" si="31"/>
        <v>-54072.61</v>
      </c>
      <c r="E82" s="229">
        <f t="shared" si="31"/>
        <v>-1009.22</v>
      </c>
      <c r="F82" s="207">
        <f t="shared" si="31"/>
        <v>-25053.359999999997</v>
      </c>
      <c r="G82" s="230">
        <f t="shared" si="31"/>
        <v>-12526.67</v>
      </c>
    </row>
    <row r="83" spans="1:12" s="46" customFormat="1" x14ac:dyDescent="0.35">
      <c r="B83" s="204"/>
      <c r="C83" s="204"/>
      <c r="D83" s="205"/>
    </row>
    <row r="84" spans="1:12" s="46" customFormat="1" x14ac:dyDescent="0.35">
      <c r="A84" s="20" t="s">
        <v>105</v>
      </c>
      <c r="B84" s="25">
        <v>0</v>
      </c>
      <c r="C84" s="25">
        <v>6127.48</v>
      </c>
      <c r="D84" s="25">
        <v>-5257.63</v>
      </c>
      <c r="E84" s="206">
        <v>-160.02000000000001</v>
      </c>
      <c r="F84" s="207">
        <f t="shared" ref="F84:F86" si="32">SUM(B84:E84)</f>
        <v>709.82999999999947</v>
      </c>
      <c r="G84" s="236">
        <f>ROUND(F84/24*12,2)</f>
        <v>354.92</v>
      </c>
    </row>
    <row r="85" spans="1:12" s="46" customFormat="1" x14ac:dyDescent="0.35">
      <c r="A85" s="20" t="s">
        <v>106</v>
      </c>
      <c r="B85" s="25">
        <v>0</v>
      </c>
      <c r="C85" s="25">
        <v>7014.63</v>
      </c>
      <c r="D85" s="25">
        <v>-6926.28</v>
      </c>
      <c r="E85" s="206">
        <v>-231.68</v>
      </c>
      <c r="F85" s="207">
        <f t="shared" si="32"/>
        <v>-143.32999999999964</v>
      </c>
      <c r="G85" s="236">
        <f t="shared" ref="G85:G86" si="33">ROUND(F85/24*12,2)</f>
        <v>-71.66</v>
      </c>
    </row>
    <row r="86" spans="1:12" s="46" customFormat="1" x14ac:dyDescent="0.35">
      <c r="A86" s="20" t="s">
        <v>107</v>
      </c>
      <c r="B86" s="206">
        <v>0</v>
      </c>
      <c r="C86" s="25">
        <v>662.79</v>
      </c>
      <c r="D86" s="206">
        <v>-1102.25</v>
      </c>
      <c r="E86" s="206">
        <v>-35.200000000000003</v>
      </c>
      <c r="F86" s="207">
        <f t="shared" si="32"/>
        <v>-474.66</v>
      </c>
      <c r="G86" s="236">
        <f t="shared" si="33"/>
        <v>-237.33</v>
      </c>
    </row>
    <row r="87" spans="1:12" s="46" customFormat="1" x14ac:dyDescent="0.35">
      <c r="A87" s="30" t="s">
        <v>109</v>
      </c>
      <c r="B87" s="207">
        <f>SUM(B84:B86)</f>
        <v>0</v>
      </c>
      <c r="C87" s="207">
        <f>SUM(C84:C86)</f>
        <v>13804.900000000001</v>
      </c>
      <c r="D87" s="207">
        <f t="shared" ref="D87:G87" si="34">SUM(D84:D86)</f>
        <v>-13286.16</v>
      </c>
      <c r="E87" s="207">
        <f t="shared" si="34"/>
        <v>-426.90000000000003</v>
      </c>
      <c r="F87" s="207">
        <f t="shared" si="34"/>
        <v>91.839999999999748</v>
      </c>
      <c r="G87" s="207">
        <f t="shared" si="34"/>
        <v>45.929999999999978</v>
      </c>
    </row>
    <row r="88" spans="1:12" s="46" customFormat="1" x14ac:dyDescent="0.35">
      <c r="A88" s="30"/>
      <c r="B88" s="231"/>
      <c r="C88" s="231"/>
      <c r="D88" s="231"/>
      <c r="E88" s="231"/>
      <c r="F88" s="231"/>
      <c r="G88" s="231"/>
    </row>
    <row r="89" spans="1:12" x14ac:dyDescent="0.35">
      <c r="A89" s="3" t="s">
        <v>226</v>
      </c>
      <c r="B89" s="46"/>
      <c r="D89" s="46"/>
      <c r="E89" s="46"/>
      <c r="F89" s="46"/>
      <c r="G89" s="46"/>
      <c r="J89" s="46"/>
      <c r="K89" s="46"/>
    </row>
    <row r="90" spans="1:12" x14ac:dyDescent="0.35">
      <c r="A90" s="3" t="s">
        <v>227</v>
      </c>
      <c r="B90" s="46"/>
      <c r="D90" s="46"/>
      <c r="E90" s="46"/>
      <c r="F90" s="46"/>
      <c r="G90" s="46"/>
    </row>
    <row r="91" spans="1:12" x14ac:dyDescent="0.35">
      <c r="A91" s="3" t="s">
        <v>228</v>
      </c>
      <c r="B91" s="46"/>
      <c r="D91" s="46"/>
      <c r="E91" s="46"/>
      <c r="F91" s="46"/>
      <c r="G91" s="46"/>
    </row>
    <row r="92" spans="1:12" x14ac:dyDescent="0.35">
      <c r="A92" s="63" t="s">
        <v>229</v>
      </c>
      <c r="B92" s="39"/>
      <c r="C92" s="39"/>
      <c r="D92" s="39"/>
      <c r="E92" s="39"/>
      <c r="F92" s="39"/>
      <c r="G92" s="39"/>
    </row>
    <row r="93" spans="1:12" s="46" customFormat="1" x14ac:dyDescent="0.35">
      <c r="A93" s="63" t="s">
        <v>152</v>
      </c>
      <c r="B93" s="39"/>
      <c r="C93" s="39"/>
      <c r="D93" s="39"/>
      <c r="E93" s="39"/>
      <c r="F93" s="39"/>
      <c r="G93" s="39"/>
    </row>
    <row r="94" spans="1:12" s="46" customFormat="1" ht="63" customHeight="1" x14ac:dyDescent="0.35">
      <c r="A94" s="366" t="s">
        <v>272</v>
      </c>
      <c r="B94" s="366"/>
      <c r="C94" s="366"/>
      <c r="D94" s="366"/>
      <c r="E94" s="366"/>
      <c r="F94" s="366"/>
      <c r="G94" s="366"/>
      <c r="H94" s="366"/>
      <c r="I94" s="366"/>
      <c r="J94" s="366"/>
      <c r="K94" s="366"/>
      <c r="L94" s="366"/>
    </row>
    <row r="95" spans="1:12" x14ac:dyDescent="0.35">
      <c r="A95" s="3"/>
      <c r="B95" s="46"/>
      <c r="D95" s="46"/>
      <c r="E95" s="46"/>
    </row>
    <row r="96" spans="1:12" s="46" customFormat="1" x14ac:dyDescent="0.35">
      <c r="A96" s="3"/>
    </row>
    <row r="97" spans="1:1" x14ac:dyDescent="0.35">
      <c r="A97" s="3"/>
    </row>
  </sheetData>
  <mergeCells count="2">
    <mergeCell ref="B3:D3"/>
    <mergeCell ref="A94:L94"/>
  </mergeCells>
  <pageMargins left="0.2" right="0.2" top="0.75" bottom="0.25" header="0.3" footer="0.3"/>
  <pageSetup orientation="landscape" r:id="rId1"/>
  <headerFooter>
    <oddHeader>&amp;C&amp;F &amp;A&amp;R&amp;"Arial"&amp;10&amp;K000000CONFIDENTIAL</oddHeader>
    <oddFooter xml:space="preserve">&amp;R_x000D_&amp;1#&amp;"Calibri"&amp;10&amp;KA80000 Restricted – Sensitive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8475B-D546-4319-B398-EF50E74D6379}">
  <sheetPr>
    <pageSetUpPr fitToPage="1"/>
  </sheetPr>
  <dimension ref="A1:O124"/>
  <sheetViews>
    <sheetView workbookViewId="0">
      <pane ySplit="4" topLeftCell="A5" activePane="bottomLeft" state="frozen"/>
      <selection activeCell="E10" sqref="E10"/>
      <selection pane="bottomLeft" activeCell="E10" sqref="E10"/>
    </sheetView>
  </sheetViews>
  <sheetFormatPr defaultColWidth="8.7265625" defaultRowHeight="14.5" outlineLevelRow="1" x14ac:dyDescent="0.35"/>
  <cols>
    <col min="1" max="1" width="23.7265625" style="46" customWidth="1"/>
    <col min="2" max="2" width="15.26953125" style="46" bestFit="1" customWidth="1"/>
    <col min="3" max="3" width="14.26953125" style="46" customWidth="1"/>
    <col min="4" max="4" width="13.26953125" style="46" bestFit="1" customWidth="1"/>
    <col min="5" max="5" width="9.7265625" style="46" bestFit="1" customWidth="1"/>
    <col min="6" max="6" width="12.54296875" style="46" bestFit="1" customWidth="1"/>
    <col min="7" max="7" width="13.1796875" style="46" customWidth="1"/>
    <col min="8" max="10" width="8.7265625" style="46"/>
    <col min="11" max="11" width="11.54296875" style="46" bestFit="1" customWidth="1"/>
    <col min="12" max="12" width="12.26953125" style="46" bestFit="1" customWidth="1"/>
    <col min="13" max="13" width="9.54296875" style="46" bestFit="1" customWidth="1"/>
    <col min="14" max="16384" width="8.7265625" style="46"/>
  </cols>
  <sheetData>
    <row r="1" spans="1:7" x14ac:dyDescent="0.35">
      <c r="A1" s="63" t="str">
        <f>+'PPC Cycle 3'!A1</f>
        <v>Evergy Missouri West, Inc. - DSIM Rider Update Filed 06/01/2024</v>
      </c>
    </row>
    <row r="2" spans="1:7" x14ac:dyDescent="0.35">
      <c r="A2" s="9" t="str">
        <f>+'PPC Cycle 3'!A2</f>
        <v>Projections for Cycle 3 July 2024 - June 2025 DSIM</v>
      </c>
    </row>
    <row r="3" spans="1:7" ht="45.75" customHeight="1" x14ac:dyDescent="0.35">
      <c r="B3" s="367" t="s">
        <v>154</v>
      </c>
      <c r="C3" s="367"/>
      <c r="D3" s="367"/>
    </row>
    <row r="4" spans="1:7" ht="87" x14ac:dyDescent="0.35">
      <c r="B4" s="70" t="s">
        <v>98</v>
      </c>
      <c r="C4" s="70" t="s">
        <v>99</v>
      </c>
      <c r="D4" s="70" t="s">
        <v>102</v>
      </c>
      <c r="E4" s="70" t="s">
        <v>100</v>
      </c>
      <c r="F4" s="70" t="s">
        <v>97</v>
      </c>
      <c r="G4" s="70" t="s">
        <v>156</v>
      </c>
    </row>
    <row r="5" spans="1:7" x14ac:dyDescent="0.35">
      <c r="A5" s="20"/>
      <c r="B5" s="70"/>
      <c r="C5" s="70"/>
      <c r="D5" s="145"/>
    </row>
    <row r="6" spans="1:7" x14ac:dyDescent="0.35">
      <c r="A6" s="234" t="s">
        <v>155</v>
      </c>
      <c r="B6" s="70"/>
      <c r="C6" s="70"/>
      <c r="D6" s="144"/>
    </row>
    <row r="7" spans="1:7" x14ac:dyDescent="0.35">
      <c r="A7" s="20" t="s">
        <v>24</v>
      </c>
      <c r="B7" s="215">
        <f>SUMIFS(B$17:B$136,$A$17:$A$136,$A7)</f>
        <v>6912134.79</v>
      </c>
      <c r="C7" s="215">
        <f t="shared" ref="C7:E7" si="0">SUMIFS(C$17:C$136,$A$17:$A$136,$A7)</f>
        <v>401115.62000000005</v>
      </c>
      <c r="D7" s="215">
        <f t="shared" si="0"/>
        <v>-804992.04999999993</v>
      </c>
      <c r="E7" s="215">
        <f t="shared" si="0"/>
        <v>-6022.08</v>
      </c>
      <c r="F7" s="215">
        <f>SUM(B7:E7)</f>
        <v>6502236.2800000003</v>
      </c>
      <c r="G7" s="215">
        <f>SUMIFS(G$17:G$136,$A$17:$A$136,$A7)</f>
        <v>2407260.75</v>
      </c>
    </row>
    <row r="8" spans="1:7" x14ac:dyDescent="0.35">
      <c r="A8" s="20" t="s">
        <v>25</v>
      </c>
      <c r="B8" s="215">
        <f>B14</f>
        <v>4350328.18</v>
      </c>
      <c r="C8" s="215">
        <f>C14</f>
        <v>22972.050000000007</v>
      </c>
      <c r="D8" s="215">
        <f>D14</f>
        <v>-67355.09</v>
      </c>
      <c r="E8" s="215">
        <f>E14</f>
        <v>-676.34</v>
      </c>
      <c r="F8" s="215">
        <f>SUM(B8:E8)</f>
        <v>4305268.8</v>
      </c>
      <c r="G8" s="215">
        <f>G14</f>
        <v>1785547.6600000001</v>
      </c>
    </row>
    <row r="9" spans="1:7" x14ac:dyDescent="0.35">
      <c r="A9" s="20" t="s">
        <v>5</v>
      </c>
      <c r="B9" s="207">
        <f t="shared" ref="B9" si="1">SUM(B7:B8)</f>
        <v>11262462.969999999</v>
      </c>
      <c r="C9" s="207">
        <f t="shared" ref="C9:E9" si="2">SUM(C7:C8)</f>
        <v>424087.67000000004</v>
      </c>
      <c r="D9" s="207">
        <f t="shared" si="2"/>
        <v>-872347.1399999999</v>
      </c>
      <c r="E9" s="207">
        <f t="shared" si="2"/>
        <v>-6698.42</v>
      </c>
      <c r="F9" s="207">
        <f t="shared" ref="F9" si="3">SUM(F7:F8)</f>
        <v>10807505.08</v>
      </c>
      <c r="G9" s="207">
        <f t="shared" ref="G9" si="4">SUM(G7:G8)</f>
        <v>4192808.41</v>
      </c>
    </row>
    <row r="10" spans="1:7" x14ac:dyDescent="0.35">
      <c r="B10" s="204"/>
      <c r="C10" s="204"/>
      <c r="D10" s="204"/>
      <c r="E10" s="204"/>
      <c r="G10" s="204"/>
    </row>
    <row r="11" spans="1:7" x14ac:dyDescent="0.35">
      <c r="A11" s="20" t="s">
        <v>105</v>
      </c>
      <c r="B11" s="215">
        <f t="shared" ref="B11:E13" si="5">SUMIFS(B$17:B$136,$A$17:$A$136,$A11)</f>
        <v>1247545.8099999998</v>
      </c>
      <c r="C11" s="215">
        <f t="shared" si="5"/>
        <v>15606.660000000005</v>
      </c>
      <c r="D11" s="215">
        <f t="shared" si="5"/>
        <v>-16679.239999999998</v>
      </c>
      <c r="E11" s="215">
        <f t="shared" si="5"/>
        <v>-147.58000000000007</v>
      </c>
      <c r="F11" s="207">
        <f t="shared" ref="F11:F13" si="6">SUM(B11:E11)</f>
        <v>1246325.6499999997</v>
      </c>
      <c r="G11" s="215">
        <f>SUMIFS(G$17:G$136,$A$17:$A$136,$A11)</f>
        <v>512940.4</v>
      </c>
    </row>
    <row r="12" spans="1:7" x14ac:dyDescent="0.35">
      <c r="A12" s="20" t="s">
        <v>106</v>
      </c>
      <c r="B12" s="215">
        <f t="shared" si="5"/>
        <v>1865861.8199999998</v>
      </c>
      <c r="C12" s="215">
        <f t="shared" si="5"/>
        <v>6099.92</v>
      </c>
      <c r="D12" s="215">
        <f t="shared" si="5"/>
        <v>-41665.85</v>
      </c>
      <c r="E12" s="215">
        <f t="shared" si="5"/>
        <v>-415.33</v>
      </c>
      <c r="F12" s="207">
        <f t="shared" si="6"/>
        <v>1829880.5599999996</v>
      </c>
      <c r="G12" s="215">
        <f>SUMIFS(G$17:G$136,$A$17:$A$136,$A12)</f>
        <v>725434.74</v>
      </c>
    </row>
    <row r="13" spans="1:7" x14ac:dyDescent="0.35">
      <c r="A13" s="20" t="s">
        <v>107</v>
      </c>
      <c r="B13" s="215">
        <f t="shared" si="5"/>
        <v>1236920.55</v>
      </c>
      <c r="C13" s="215">
        <f t="shared" si="5"/>
        <v>1265.4699999999996</v>
      </c>
      <c r="D13" s="215">
        <f t="shared" si="5"/>
        <v>-9009.9999999999982</v>
      </c>
      <c r="E13" s="215">
        <f t="shared" si="5"/>
        <v>-113.42999999999998</v>
      </c>
      <c r="F13" s="207">
        <f t="shared" si="6"/>
        <v>1229062.5900000001</v>
      </c>
      <c r="G13" s="215">
        <f>SUMIFS(G$17:G$136,$A$17:$A$136,$A13)</f>
        <v>547172.52</v>
      </c>
    </row>
    <row r="14" spans="1:7" x14ac:dyDescent="0.35">
      <c r="A14" s="30" t="s">
        <v>109</v>
      </c>
      <c r="B14" s="207">
        <f t="shared" ref="B14" si="7">SUM(B11:B13)</f>
        <v>4350328.18</v>
      </c>
      <c r="C14" s="207">
        <f t="shared" ref="C14:E14" si="8">SUM(C11:C13)</f>
        <v>22972.050000000007</v>
      </c>
      <c r="D14" s="207">
        <f t="shared" si="8"/>
        <v>-67355.09</v>
      </c>
      <c r="E14" s="207">
        <f t="shared" si="8"/>
        <v>-676.34</v>
      </c>
      <c r="F14" s="207">
        <f t="shared" ref="F14" si="9">SUM(F11:F13)</f>
        <v>4305268.7999999989</v>
      </c>
      <c r="G14" s="207">
        <f t="shared" ref="G14" si="10">SUM(G11:G13)</f>
        <v>1785547.6600000001</v>
      </c>
    </row>
    <row r="15" spans="1:7" x14ac:dyDescent="0.35">
      <c r="A15" s="20"/>
      <c r="B15" s="70"/>
      <c r="C15" s="70"/>
      <c r="D15" s="144"/>
    </row>
    <row r="16" spans="1:7" x14ac:dyDescent="0.35">
      <c r="A16" s="20"/>
      <c r="B16" s="70"/>
      <c r="C16" s="70"/>
      <c r="D16" s="144"/>
    </row>
    <row r="17" spans="1:13" x14ac:dyDescent="0.35">
      <c r="A17" s="234" t="s">
        <v>160</v>
      </c>
      <c r="B17" s="70"/>
      <c r="C17" s="70"/>
      <c r="D17" s="144"/>
    </row>
    <row r="18" spans="1:13" x14ac:dyDescent="0.35">
      <c r="A18" s="20" t="s">
        <v>24</v>
      </c>
      <c r="B18" s="25">
        <f>ROUND('[14]EO Matrix @Meter'!$R$20,2)</f>
        <v>1600473.26</v>
      </c>
      <c r="C18" s="25">
        <f>ROUND(SUM('[15]Ex Post Gross TD Calc'!$E$571:$Z$571),2)</f>
        <v>575236.4</v>
      </c>
      <c r="D18" s="25">
        <f>ROUND(SUM('[15]NTG TD Calc'!$E$436:$Z$436),2)</f>
        <v>-545792.23</v>
      </c>
      <c r="E18" s="226">
        <f>ROUND(SUM('[15]EO TD Carrying Costs'!$C$55:$X$55),2)</f>
        <v>6704.6</v>
      </c>
      <c r="F18" s="215">
        <f>SUM(B18:E18)</f>
        <v>1636622.0300000003</v>
      </c>
      <c r="G18" s="227">
        <f>ROUND(F18/12*0,2)</f>
        <v>0</v>
      </c>
      <c r="K18" s="354"/>
      <c r="L18" s="354"/>
      <c r="M18" s="354"/>
    </row>
    <row r="19" spans="1:13" x14ac:dyDescent="0.35">
      <c r="A19" s="20" t="s">
        <v>25</v>
      </c>
      <c r="B19" s="206">
        <f>SUM(B22:B24)</f>
        <v>893810.55</v>
      </c>
      <c r="C19" s="206">
        <f t="shared" ref="C19:E19" si="11">SUM(C22:C24)</f>
        <v>48777.71</v>
      </c>
      <c r="D19" s="206">
        <f t="shared" si="11"/>
        <v>-18883.82</v>
      </c>
      <c r="E19" s="228">
        <f t="shared" si="11"/>
        <v>299.14999999999998</v>
      </c>
      <c r="F19" s="215">
        <f>SUM(B19:E19)</f>
        <v>924003.59000000008</v>
      </c>
      <c r="G19" s="227">
        <f>ROUND(F19/12*0,2)</f>
        <v>0</v>
      </c>
      <c r="K19" s="354"/>
      <c r="L19" s="354"/>
      <c r="M19" s="354"/>
    </row>
    <row r="20" spans="1:13" x14ac:dyDescent="0.35">
      <c r="A20" s="20" t="s">
        <v>5</v>
      </c>
      <c r="B20" s="207">
        <f t="shared" ref="B20:G20" si="12">SUM(B18:B19)</f>
        <v>2494283.81</v>
      </c>
      <c r="C20" s="207">
        <f t="shared" si="12"/>
        <v>624014.11</v>
      </c>
      <c r="D20" s="207">
        <f t="shared" si="12"/>
        <v>-564676.04999999993</v>
      </c>
      <c r="E20" s="229">
        <f t="shared" si="12"/>
        <v>7003.75</v>
      </c>
      <c r="F20" s="207">
        <f t="shared" si="12"/>
        <v>2560625.62</v>
      </c>
      <c r="G20" s="230">
        <f t="shared" si="12"/>
        <v>0</v>
      </c>
    </row>
    <row r="21" spans="1:13" x14ac:dyDescent="0.35">
      <c r="B21" s="204"/>
      <c r="C21" s="204"/>
      <c r="D21" s="205"/>
    </row>
    <row r="22" spans="1:13" x14ac:dyDescent="0.35">
      <c r="A22" s="20" t="s">
        <v>105</v>
      </c>
      <c r="B22" s="25">
        <f>ROUND('[14]EO Matrix @Meter'!$V$20,2)</f>
        <v>310910.24</v>
      </c>
      <c r="C22" s="25">
        <f>ROUND(SUM('[15]Ex Post Gross TD Calc'!$E$572:$Z$572),2)</f>
        <v>31691.65</v>
      </c>
      <c r="D22" s="25">
        <f>ROUND(SUM('[15]NTG TD Calc'!$E$437:$Z$437),2)</f>
        <v>-8282.43</v>
      </c>
      <c r="E22" s="226">
        <f>ROUND(SUM('[15]EO TD Carrying Costs'!$C$56:$X$56),2)</f>
        <v>207.66</v>
      </c>
      <c r="F22" s="207">
        <f t="shared" ref="F22:F24" si="13">SUM(B22:E22)</f>
        <v>334527.12</v>
      </c>
      <c r="G22" s="236">
        <f>ROUND(F22/12*0,2)</f>
        <v>0</v>
      </c>
      <c r="K22" s="354"/>
      <c r="L22" s="354"/>
      <c r="M22" s="354"/>
    </row>
    <row r="23" spans="1:13" x14ac:dyDescent="0.35">
      <c r="A23" s="20" t="s">
        <v>106</v>
      </c>
      <c r="B23" s="25">
        <f>ROUND('[14]EO Matrix @Meter'!$X$20,2)</f>
        <v>318131.55</v>
      </c>
      <c r="C23" s="25">
        <f>ROUND(SUM('[15]Ex Post Gross TD Calc'!$E$574:$Z$574),2)</f>
        <v>14779.57</v>
      </c>
      <c r="D23" s="25">
        <f>ROUND(SUM('[15]NTG TD Calc'!$E$439:$Z$439),2)</f>
        <v>-5434.16</v>
      </c>
      <c r="E23" s="226">
        <f>ROUND(SUM('[15]EO TD Carrying Costs'!$C$58:$X$58),2)</f>
        <v>118.71</v>
      </c>
      <c r="F23" s="207">
        <f t="shared" si="13"/>
        <v>327595.67000000004</v>
      </c>
      <c r="G23" s="236">
        <f>ROUND(F23/12*0,2)</f>
        <v>0</v>
      </c>
      <c r="K23" s="354"/>
      <c r="L23" s="354"/>
      <c r="M23" s="354"/>
    </row>
    <row r="24" spans="1:13" x14ac:dyDescent="0.35">
      <c r="A24" s="20" t="s">
        <v>107</v>
      </c>
      <c r="B24" s="25">
        <f>ROUND('[14]EO Matrix @Meter'!$Y$20,2)</f>
        <v>264768.76</v>
      </c>
      <c r="C24" s="25">
        <f>ROUND(SUM('[15]Ex Post Gross TD Calc'!$E$575:$Z$575),2)</f>
        <v>2306.4899999999998</v>
      </c>
      <c r="D24" s="25">
        <f>ROUND(SUM('[15]NTG TD Calc'!$E$440:$Z$440),2)</f>
        <v>-5167.2299999999996</v>
      </c>
      <c r="E24" s="226">
        <f>ROUND(SUM('[15]EO TD Carrying Costs'!$C$59:$X$59),2)</f>
        <v>-27.22</v>
      </c>
      <c r="F24" s="207">
        <f t="shared" si="13"/>
        <v>261880.8</v>
      </c>
      <c r="G24" s="236">
        <f>ROUND(F24/12*0,2)</f>
        <v>0</v>
      </c>
      <c r="K24" s="354"/>
      <c r="L24" s="354"/>
      <c r="M24" s="354"/>
    </row>
    <row r="25" spans="1:13" x14ac:dyDescent="0.35">
      <c r="A25" s="30" t="s">
        <v>109</v>
      </c>
      <c r="B25" s="207">
        <f>SUM(B22:B24)</f>
        <v>893810.55</v>
      </c>
      <c r="C25" s="207">
        <f>SUM(C22:C24)</f>
        <v>48777.71</v>
      </c>
      <c r="D25" s="207">
        <f t="shared" ref="D25:G25" si="14">SUM(D22:D24)</f>
        <v>-18883.82</v>
      </c>
      <c r="E25" s="207">
        <f t="shared" si="14"/>
        <v>299.14999999999998</v>
      </c>
      <c r="F25" s="207">
        <f t="shared" si="14"/>
        <v>924003.59000000008</v>
      </c>
      <c r="G25" s="207">
        <f t="shared" si="14"/>
        <v>0</v>
      </c>
    </row>
    <row r="26" spans="1:13" s="39" customFormat="1" x14ac:dyDescent="0.35">
      <c r="A26" s="30"/>
      <c r="B26" s="235"/>
      <c r="C26" s="235"/>
      <c r="D26" s="235"/>
      <c r="E26" s="235"/>
      <c r="F26" s="235"/>
      <c r="G26" s="235"/>
    </row>
    <row r="27" spans="1:13" s="39" customFormat="1" x14ac:dyDescent="0.35">
      <c r="A27" s="30"/>
      <c r="B27" s="235"/>
      <c r="C27" s="235"/>
      <c r="D27" s="235"/>
      <c r="E27" s="235"/>
      <c r="F27" s="235"/>
      <c r="G27" s="235"/>
    </row>
    <row r="28" spans="1:13" x14ac:dyDescent="0.35">
      <c r="A28" s="272" t="s">
        <v>166</v>
      </c>
      <c r="B28" s="70"/>
      <c r="C28" s="70"/>
      <c r="D28" s="144"/>
    </row>
    <row r="29" spans="1:13" x14ac:dyDescent="0.35">
      <c r="A29" s="20" t="s">
        <v>24</v>
      </c>
      <c r="B29" s="25"/>
      <c r="C29" s="25">
        <f>ROUND(SUM('[15]Ex Post Gross TD Calc'!$AA$571:$AF$571),2)</f>
        <v>62492.85</v>
      </c>
      <c r="D29" s="25">
        <f>ROUND(SUM('[15]NTG TD Calc'!$AA$436:$AF$436),2)</f>
        <v>-64533.46</v>
      </c>
      <c r="E29" s="226">
        <f>ROUND(SUM('[15]EO TD Carrying Costs'!$Y$55:$AD$55),2)</f>
        <v>183.74</v>
      </c>
      <c r="F29" s="215">
        <f>SUM(B29:E29)</f>
        <v>-1856.8700000000006</v>
      </c>
      <c r="G29" s="227">
        <f>ROUND(F29/12*0,2)</f>
        <v>0</v>
      </c>
      <c r="K29" s="354"/>
      <c r="L29" s="354"/>
      <c r="M29" s="354"/>
    </row>
    <row r="30" spans="1:13" x14ac:dyDescent="0.35">
      <c r="A30" s="20" t="s">
        <v>25</v>
      </c>
      <c r="B30" s="206"/>
      <c r="C30" s="206">
        <f t="shared" ref="C30:E30" si="15">SUM(C33:C35)</f>
        <v>16556.97</v>
      </c>
      <c r="D30" s="206">
        <f t="shared" si="15"/>
        <v>-2227.92</v>
      </c>
      <c r="E30" s="228">
        <f t="shared" si="15"/>
        <v>448.56</v>
      </c>
      <c r="F30" s="215">
        <f>SUM(B30:E30)</f>
        <v>14777.61</v>
      </c>
      <c r="G30" s="227">
        <f>ROUND(F30/12*0,2)</f>
        <v>0</v>
      </c>
      <c r="K30" s="354"/>
      <c r="L30" s="354"/>
      <c r="M30" s="354"/>
    </row>
    <row r="31" spans="1:13" x14ac:dyDescent="0.35">
      <c r="A31" s="20" t="s">
        <v>5</v>
      </c>
      <c r="B31" s="207">
        <f t="shared" ref="B31:G31" si="16">SUM(B29:B30)</f>
        <v>0</v>
      </c>
      <c r="C31" s="207">
        <f t="shared" si="16"/>
        <v>79049.820000000007</v>
      </c>
      <c r="D31" s="207">
        <f t="shared" si="16"/>
        <v>-66761.38</v>
      </c>
      <c r="E31" s="229">
        <f t="shared" si="16"/>
        <v>632.29999999999995</v>
      </c>
      <c r="F31" s="207">
        <f t="shared" si="16"/>
        <v>12920.74</v>
      </c>
      <c r="G31" s="230">
        <f t="shared" si="16"/>
        <v>0</v>
      </c>
      <c r="K31" s="354"/>
      <c r="L31" s="354"/>
      <c r="M31" s="354"/>
    </row>
    <row r="32" spans="1:13" x14ac:dyDescent="0.35">
      <c r="B32" s="204"/>
      <c r="C32" s="204"/>
      <c r="D32" s="205"/>
      <c r="K32" s="354"/>
      <c r="L32" s="354"/>
      <c r="M32" s="354"/>
    </row>
    <row r="33" spans="1:15" x14ac:dyDescent="0.35">
      <c r="A33" s="20" t="s">
        <v>105</v>
      </c>
      <c r="B33" s="25"/>
      <c r="C33" s="25">
        <f>ROUND(SUM('[15]Ex Post Gross TD Calc'!$AA$572:$AF$572),2)</f>
        <v>10068.67</v>
      </c>
      <c r="D33" s="25">
        <f>ROUND(SUM('[15]NTG TD Calc'!$AA$437:$AF$437),2)</f>
        <v>-753.09</v>
      </c>
      <c r="E33" s="226">
        <f>ROUND(SUM('[15]EO TD Carrying Costs'!$Y$56:$AD$56),2)</f>
        <v>344.55</v>
      </c>
      <c r="F33" s="207">
        <f t="shared" ref="F33:F35" si="17">SUM(B33:E33)</f>
        <v>9660.1299999999992</v>
      </c>
      <c r="G33" s="227">
        <f t="shared" ref="G33:G35" si="18">ROUND(F33/12*0,2)</f>
        <v>0</v>
      </c>
      <c r="K33" s="354"/>
      <c r="L33" s="354"/>
      <c r="M33" s="354"/>
    </row>
    <row r="34" spans="1:15" x14ac:dyDescent="0.35">
      <c r="A34" s="20" t="s">
        <v>106</v>
      </c>
      <c r="B34" s="25"/>
      <c r="C34" s="25">
        <f>ROUND(SUM('[15]Ex Post Gross TD Calc'!$AA$574:$AF$574),2)</f>
        <v>5538.26</v>
      </c>
      <c r="D34" s="25">
        <f>ROUND(SUM('[15]NTG TD Calc'!$AA$439:$AF$439),2)</f>
        <v>-759.03</v>
      </c>
      <c r="E34" s="226">
        <f>ROUND(SUM('[15]EO TD Carrying Costs'!$Y$58:$AD$58),2)</f>
        <v>142</v>
      </c>
      <c r="F34" s="207">
        <f t="shared" si="17"/>
        <v>4921.2300000000005</v>
      </c>
      <c r="G34" s="227">
        <f t="shared" si="18"/>
        <v>0</v>
      </c>
      <c r="K34" s="354"/>
      <c r="L34" s="354"/>
      <c r="M34" s="354"/>
    </row>
    <row r="35" spans="1:15" x14ac:dyDescent="0.35">
      <c r="A35" s="20" t="s">
        <v>107</v>
      </c>
      <c r="B35" s="206"/>
      <c r="C35" s="25">
        <f>ROUND(SUM('[15]Ex Post Gross TD Calc'!$AA$575:$AF$575),2)</f>
        <v>950.04</v>
      </c>
      <c r="D35" s="25">
        <f>ROUND(SUM('[15]NTG TD Calc'!$AA$440:$AF$440),2)</f>
        <v>-715.8</v>
      </c>
      <c r="E35" s="226">
        <f>ROUND(SUM('[15]EO TD Carrying Costs'!$Y$59:$AD$59),2)</f>
        <v>-37.99</v>
      </c>
      <c r="F35" s="207">
        <f t="shared" si="17"/>
        <v>196.25</v>
      </c>
      <c r="G35" s="227">
        <f t="shared" si="18"/>
        <v>0</v>
      </c>
      <c r="K35" s="354"/>
      <c r="L35" s="354"/>
      <c r="M35" s="354"/>
    </row>
    <row r="36" spans="1:15" x14ac:dyDescent="0.35">
      <c r="A36" s="30" t="s">
        <v>109</v>
      </c>
      <c r="B36" s="207">
        <f>SUM(B33:B35)</f>
        <v>0</v>
      </c>
      <c r="C36" s="207">
        <f>SUM(C33:C35)</f>
        <v>16556.97</v>
      </c>
      <c r="D36" s="207">
        <f t="shared" ref="D36:G36" si="19">SUM(D33:D35)</f>
        <v>-2227.92</v>
      </c>
      <c r="E36" s="207">
        <f t="shared" si="19"/>
        <v>448.56</v>
      </c>
      <c r="F36" s="207">
        <f t="shared" si="19"/>
        <v>14777.61</v>
      </c>
      <c r="G36" s="207">
        <f t="shared" si="19"/>
        <v>0</v>
      </c>
    </row>
    <row r="37" spans="1:15" x14ac:dyDescent="0.35">
      <c r="A37" s="30"/>
      <c r="B37" s="231"/>
      <c r="C37" s="231"/>
      <c r="D37" s="231"/>
      <c r="E37" s="231"/>
      <c r="F37" s="231"/>
      <c r="G37" s="231"/>
    </row>
    <row r="38" spans="1:15" s="39" customFormat="1" x14ac:dyDescent="0.35">
      <c r="A38" s="30"/>
      <c r="B38" s="235"/>
      <c r="C38" s="235"/>
      <c r="D38" s="235"/>
      <c r="E38" s="235"/>
      <c r="F38" s="235"/>
      <c r="G38" s="235"/>
    </row>
    <row r="39" spans="1:15" x14ac:dyDescent="0.35">
      <c r="A39" s="277" t="s">
        <v>173</v>
      </c>
      <c r="B39" s="70"/>
      <c r="C39" s="70"/>
      <c r="D39" s="144"/>
    </row>
    <row r="40" spans="1:15" x14ac:dyDescent="0.35">
      <c r="A40" s="20" t="s">
        <v>24</v>
      </c>
      <c r="B40" s="25">
        <v>0</v>
      </c>
      <c r="C40" s="25">
        <f>ROUND(SUM('[15]Ex Post Gross TD Calc'!$AG$571:$AM$571),2)</f>
        <v>71150.52</v>
      </c>
      <c r="D40" s="25">
        <f>ROUND(SUM('[15]NTG TD Calc'!$AG$436:$AM$436),2)</f>
        <v>-0.01</v>
      </c>
      <c r="E40" s="226">
        <f>ROUND(SUM('[15]EO TD Carrying Costs'!$AE$55:$AK$55),2)</f>
        <v>548.88</v>
      </c>
      <c r="F40" s="215">
        <f>SUM(B40:E40)</f>
        <v>71699.390000000014</v>
      </c>
      <c r="G40" s="227">
        <f>ROUND(F40/12*0,2)</f>
        <v>0</v>
      </c>
      <c r="K40" s="354"/>
      <c r="L40" s="354"/>
      <c r="M40" s="354"/>
      <c r="O40" s="340"/>
    </row>
    <row r="41" spans="1:15" x14ac:dyDescent="0.35">
      <c r="A41" s="20" t="s">
        <v>25</v>
      </c>
      <c r="B41" s="206">
        <v>0</v>
      </c>
      <c r="C41" s="206">
        <f t="shared" ref="C41:G41" si="20">SUM(C44:C46)</f>
        <v>28197.040000000001</v>
      </c>
      <c r="D41" s="206">
        <f t="shared" si="20"/>
        <v>-0.02</v>
      </c>
      <c r="E41" s="228">
        <f t="shared" si="20"/>
        <v>443.20999999999992</v>
      </c>
      <c r="F41" s="215">
        <f>SUM(B41:E41)</f>
        <v>28640.23</v>
      </c>
      <c r="G41" s="227">
        <f t="shared" si="20"/>
        <v>0</v>
      </c>
      <c r="K41" s="354"/>
      <c r="L41" s="354"/>
      <c r="M41" s="354"/>
      <c r="O41" s="340"/>
    </row>
    <row r="42" spans="1:15" x14ac:dyDescent="0.35">
      <c r="A42" s="20" t="s">
        <v>5</v>
      </c>
      <c r="B42" s="207">
        <f t="shared" ref="B42:G42" si="21">SUM(B40:B41)</f>
        <v>0</v>
      </c>
      <c r="C42" s="207">
        <f t="shared" si="21"/>
        <v>99347.56</v>
      </c>
      <c r="D42" s="207">
        <f t="shared" si="21"/>
        <v>-0.03</v>
      </c>
      <c r="E42" s="229">
        <f t="shared" si="21"/>
        <v>992.08999999999992</v>
      </c>
      <c r="F42" s="207">
        <f t="shared" si="21"/>
        <v>100339.62000000001</v>
      </c>
      <c r="G42" s="230">
        <f t="shared" si="21"/>
        <v>0</v>
      </c>
      <c r="K42" s="354"/>
      <c r="L42" s="354"/>
      <c r="M42" s="354"/>
    </row>
    <row r="43" spans="1:15" x14ac:dyDescent="0.35">
      <c r="B43" s="204"/>
      <c r="C43" s="204"/>
      <c r="D43" s="205"/>
      <c r="K43" s="354"/>
      <c r="L43" s="354"/>
      <c r="M43" s="354"/>
    </row>
    <row r="44" spans="1:15" x14ac:dyDescent="0.35">
      <c r="A44" s="20" t="s">
        <v>105</v>
      </c>
      <c r="B44" s="25">
        <v>0</v>
      </c>
      <c r="C44" s="25">
        <f>ROUND(SUM('[15]Ex Post Gross TD Calc'!$AG$572:$AM$572),2)</f>
        <v>19392.560000000001</v>
      </c>
      <c r="D44" s="25">
        <f>ROUND(SUM('[15]NTG TD Calc'!$AG$437:$AM$437),2)</f>
        <v>0</v>
      </c>
      <c r="E44" s="226">
        <f>ROUND(SUM('[15]EO TD Carrying Costs'!$AE$56:$AK$56),2)</f>
        <v>322.51</v>
      </c>
      <c r="F44" s="207">
        <f t="shared" ref="F44:F46" si="22">SUM(B44:E44)</f>
        <v>19715.07</v>
      </c>
      <c r="G44" s="227">
        <f t="shared" ref="G44:G46" si="23">ROUND(F44/12*0,2)</f>
        <v>0</v>
      </c>
      <c r="K44" s="354"/>
      <c r="L44" s="354"/>
      <c r="M44" s="354"/>
    </row>
    <row r="45" spans="1:15" x14ac:dyDescent="0.35">
      <c r="A45" s="20" t="s">
        <v>106</v>
      </c>
      <c r="B45" s="25">
        <v>0</v>
      </c>
      <c r="C45" s="25">
        <f>ROUND(SUM('[15]Ex Post Gross TD Calc'!$AG$574:$AM$574),2)</f>
        <v>7522.72</v>
      </c>
      <c r="D45" s="25">
        <f>ROUND(SUM('[15]NTG TD Calc'!$AG$439:$AM$439),2)</f>
        <v>-0.02</v>
      </c>
      <c r="E45" s="226">
        <f>ROUND(SUM('[15]EO TD Carrying Costs'!$AE$58:$AK$58),2)</f>
        <v>134.16999999999999</v>
      </c>
      <c r="F45" s="207">
        <f t="shared" si="22"/>
        <v>7656.87</v>
      </c>
      <c r="G45" s="227">
        <f t="shared" si="23"/>
        <v>0</v>
      </c>
      <c r="K45" s="354"/>
      <c r="L45" s="354"/>
      <c r="M45" s="354"/>
    </row>
    <row r="46" spans="1:15" x14ac:dyDescent="0.35">
      <c r="A46" s="20" t="s">
        <v>107</v>
      </c>
      <c r="B46" s="206">
        <v>0</v>
      </c>
      <c r="C46" s="25">
        <f>ROUND(SUM('[15]Ex Post Gross TD Calc'!$AG$575:$AM$575),2)</f>
        <v>1281.76</v>
      </c>
      <c r="D46" s="25">
        <f>ROUND(SUM('[15]NTG TD Calc'!$AG$440:$AM$440),2)</f>
        <v>0</v>
      </c>
      <c r="E46" s="226">
        <f>ROUND(SUM('[15]EO TD Carrying Costs'!$AE$59:$AK$59),2)</f>
        <v>-13.47</v>
      </c>
      <c r="F46" s="207">
        <f t="shared" si="22"/>
        <v>1268.29</v>
      </c>
      <c r="G46" s="227">
        <f t="shared" si="23"/>
        <v>0</v>
      </c>
      <c r="K46" s="354"/>
      <c r="L46" s="354"/>
      <c r="M46" s="354"/>
    </row>
    <row r="47" spans="1:15" x14ac:dyDescent="0.35">
      <c r="A47" s="30" t="s">
        <v>109</v>
      </c>
      <c r="B47" s="207">
        <f>SUM(B44:B46)</f>
        <v>0</v>
      </c>
      <c r="C47" s="207">
        <f>SUM(C44:C46)</f>
        <v>28197.040000000001</v>
      </c>
      <c r="D47" s="207">
        <f t="shared" ref="D47:G47" si="24">SUM(D44:D46)</f>
        <v>-0.02</v>
      </c>
      <c r="E47" s="207">
        <f t="shared" si="24"/>
        <v>443.20999999999992</v>
      </c>
      <c r="F47" s="207">
        <f t="shared" si="24"/>
        <v>28640.23</v>
      </c>
      <c r="G47" s="207">
        <f t="shared" si="24"/>
        <v>0</v>
      </c>
    </row>
    <row r="48" spans="1:15" x14ac:dyDescent="0.35">
      <c r="A48" s="30"/>
      <c r="B48" s="235"/>
      <c r="C48" s="235"/>
      <c r="D48" s="235"/>
      <c r="E48" s="235"/>
      <c r="F48" s="235"/>
      <c r="G48" s="235"/>
    </row>
    <row r="49" spans="1:7" s="39" customFormat="1" x14ac:dyDescent="0.35">
      <c r="A49" s="30"/>
      <c r="B49" s="235"/>
      <c r="C49" s="235"/>
      <c r="D49" s="235"/>
      <c r="E49" s="235"/>
      <c r="F49" s="235"/>
      <c r="G49" s="235"/>
    </row>
    <row r="50" spans="1:7" s="39" customFormat="1" x14ac:dyDescent="0.35">
      <c r="A50" s="330" t="s">
        <v>236</v>
      </c>
      <c r="B50" s="142"/>
      <c r="C50" s="142"/>
      <c r="D50" s="343"/>
    </row>
    <row r="51" spans="1:7" s="39" customFormat="1" x14ac:dyDescent="0.35">
      <c r="A51" s="20" t="s">
        <v>24</v>
      </c>
      <c r="B51" s="25">
        <v>0</v>
      </c>
      <c r="C51" s="25">
        <f>ROUND(SUM('[15]Ex Post Gross TD Calc'!$AN$571:$AN$571),2)</f>
        <v>10271.9</v>
      </c>
      <c r="D51" s="25">
        <f>ROUND(SUM('[15]NTG TD Calc'!$AN$436:$AN$436),2)</f>
        <v>0</v>
      </c>
      <c r="E51" s="226">
        <f>ROUND(SUM('[15]EO TD Carrying Costs'!$AL$55:$AL$55),2)</f>
        <v>195.78</v>
      </c>
      <c r="F51" s="215">
        <f>SUM(B51:E51)</f>
        <v>10467.68</v>
      </c>
      <c r="G51" s="344">
        <f>ROUND(F51/12*7,2)</f>
        <v>6106.15</v>
      </c>
    </row>
    <row r="52" spans="1:7" s="39" customFormat="1" x14ac:dyDescent="0.35">
      <c r="A52" s="20" t="s">
        <v>25</v>
      </c>
      <c r="B52" s="206">
        <f>SUM(B55:B57)</f>
        <v>0</v>
      </c>
      <c r="C52" s="206">
        <f t="shared" ref="C52:G52" si="25">SUM(C55:C57)</f>
        <v>2693.56</v>
      </c>
      <c r="D52" s="206">
        <f t="shared" si="25"/>
        <v>-0.01</v>
      </c>
      <c r="E52" s="228">
        <f t="shared" si="25"/>
        <v>132.03</v>
      </c>
      <c r="F52" s="215">
        <f>SUM(B52:E52)</f>
        <v>2825.58</v>
      </c>
      <c r="G52" s="344">
        <f t="shared" si="25"/>
        <v>1648.26</v>
      </c>
    </row>
    <row r="53" spans="1:7" s="39" customFormat="1" x14ac:dyDescent="0.35">
      <c r="A53" s="20" t="s">
        <v>5</v>
      </c>
      <c r="B53" s="207">
        <f t="shared" ref="B53:G53" si="26">SUM(B51:B52)</f>
        <v>0</v>
      </c>
      <c r="C53" s="207">
        <f t="shared" si="26"/>
        <v>12965.46</v>
      </c>
      <c r="D53" s="207">
        <f t="shared" si="26"/>
        <v>-0.01</v>
      </c>
      <c r="E53" s="229">
        <f t="shared" si="26"/>
        <v>327.81</v>
      </c>
      <c r="F53" s="207">
        <f t="shared" si="26"/>
        <v>13293.26</v>
      </c>
      <c r="G53" s="230">
        <f t="shared" si="26"/>
        <v>7754.41</v>
      </c>
    </row>
    <row r="54" spans="1:7" s="39" customFormat="1" x14ac:dyDescent="0.35">
      <c r="A54" s="46"/>
      <c r="B54" s="204"/>
      <c r="C54" s="204"/>
      <c r="D54" s="205"/>
      <c r="E54" s="46"/>
      <c r="F54" s="46"/>
      <c r="G54" s="46"/>
    </row>
    <row r="55" spans="1:7" s="39" customFormat="1" x14ac:dyDescent="0.35">
      <c r="A55" s="20" t="s">
        <v>105</v>
      </c>
      <c r="B55" s="25">
        <v>0</v>
      </c>
      <c r="C55" s="25">
        <f>ROUND(SUM('[15]Ex Post Gross TD Calc'!$AN$572:$AN$572),2)</f>
        <v>1616.23</v>
      </c>
      <c r="D55" s="25">
        <f>ROUND(SUM('[15]NTG TD Calc'!$AN$437:$AN$437),2)</f>
        <v>0</v>
      </c>
      <c r="E55" s="226">
        <f>ROUND(SUM('[15]EO TD Carrying Costs'!$AL$56:$AL$56),2)</f>
        <v>94.76</v>
      </c>
      <c r="F55" s="207">
        <f t="shared" ref="F55:F57" si="27">SUM(B55:E55)</f>
        <v>1710.99</v>
      </c>
      <c r="G55" s="344">
        <f t="shared" ref="G55:G57" si="28">ROUND(F55/12*7,2)</f>
        <v>998.08</v>
      </c>
    </row>
    <row r="56" spans="1:7" s="39" customFormat="1" x14ac:dyDescent="0.35">
      <c r="A56" s="20" t="s">
        <v>106</v>
      </c>
      <c r="B56" s="25">
        <v>0</v>
      </c>
      <c r="C56" s="25">
        <f>ROUND(SUM('[15]Ex Post Gross TD Calc'!$AN$574:$AN$574),2)</f>
        <v>912.42</v>
      </c>
      <c r="D56" s="25">
        <f>ROUND(SUM('[15]NTG TD Calc'!$AN$439:$AN$439),2)</f>
        <v>-0.01</v>
      </c>
      <c r="E56" s="226">
        <f>ROUND(SUM('[15]EO TD Carrying Costs'!$AL$58:$AL$58),2)</f>
        <v>39.630000000000003</v>
      </c>
      <c r="F56" s="207">
        <f t="shared" si="27"/>
        <v>952.04</v>
      </c>
      <c r="G56" s="344">
        <f t="shared" si="28"/>
        <v>555.36</v>
      </c>
    </row>
    <row r="57" spans="1:7" s="39" customFormat="1" x14ac:dyDescent="0.35">
      <c r="A57" s="20" t="s">
        <v>107</v>
      </c>
      <c r="B57" s="206">
        <v>0</v>
      </c>
      <c r="C57" s="25">
        <f>ROUND(SUM('[15]Ex Post Gross TD Calc'!$AN$575:$AN$575),2)</f>
        <v>164.91</v>
      </c>
      <c r="D57" s="25">
        <f>ROUND(SUM('[15]NTG TD Calc'!$AN$440:$AN$440),2)</f>
        <v>0</v>
      </c>
      <c r="E57" s="226">
        <f>ROUND(SUM('[15]EO TD Carrying Costs'!$AL$59:$AL$59),2)</f>
        <v>-2.36</v>
      </c>
      <c r="F57" s="207">
        <f t="shared" si="27"/>
        <v>162.54999999999998</v>
      </c>
      <c r="G57" s="344">
        <f t="shared" si="28"/>
        <v>94.82</v>
      </c>
    </row>
    <row r="58" spans="1:7" s="39" customFormat="1" x14ac:dyDescent="0.35">
      <c r="A58" s="20" t="s">
        <v>109</v>
      </c>
      <c r="B58" s="207">
        <f>SUM(B55:B57)</f>
        <v>0</v>
      </c>
      <c r="C58" s="207">
        <f>SUM(C55:C57)</f>
        <v>2693.56</v>
      </c>
      <c r="D58" s="207">
        <f t="shared" ref="D58:G58" si="29">SUM(D55:D57)</f>
        <v>-0.01</v>
      </c>
      <c r="E58" s="207">
        <f t="shared" si="29"/>
        <v>132.03</v>
      </c>
      <c r="F58" s="207">
        <f t="shared" si="29"/>
        <v>2825.58</v>
      </c>
      <c r="G58" s="207">
        <f t="shared" si="29"/>
        <v>1648.26</v>
      </c>
    </row>
    <row r="59" spans="1:7" s="39" customFormat="1" x14ac:dyDescent="0.35">
      <c r="A59" s="30"/>
      <c r="B59" s="235"/>
      <c r="C59" s="235"/>
      <c r="D59" s="235"/>
      <c r="E59" s="235"/>
      <c r="F59" s="235"/>
      <c r="G59" s="235"/>
    </row>
    <row r="60" spans="1:7" s="39" customFormat="1" x14ac:dyDescent="0.35">
      <c r="A60" s="30"/>
      <c r="B60" s="235"/>
      <c r="C60" s="235"/>
      <c r="D60" s="235"/>
      <c r="E60" s="235"/>
      <c r="F60" s="235"/>
      <c r="G60" s="235"/>
    </row>
    <row r="61" spans="1:7" x14ac:dyDescent="0.35">
      <c r="A61" s="277" t="s">
        <v>177</v>
      </c>
      <c r="B61" s="70"/>
      <c r="C61" s="70"/>
      <c r="D61" s="144"/>
    </row>
    <row r="62" spans="1:7" x14ac:dyDescent="0.35">
      <c r="A62" s="20" t="s">
        <v>24</v>
      </c>
      <c r="B62" s="25">
        <f>ROUND('[16]EO Matrix @Meter'!$AL$20,2)</f>
        <v>2070956.04</v>
      </c>
      <c r="C62" s="25">
        <f>ROUND(SUM('[17]Ex Post Gross TD Calc'!$Q$571:$AN$571),2)</f>
        <v>-195811.16</v>
      </c>
      <c r="D62" s="25">
        <f>ROUND(SUM('[17]NTG TD Calc'!$Q$436:$AN$436),2)</f>
        <v>-174531.88</v>
      </c>
      <c r="E62" s="226">
        <f>ROUND(SUM('[17]EO TD Carrying Costs'!$O$55:$AL$55),2)</f>
        <v>-8257.98</v>
      </c>
      <c r="F62" s="215">
        <f>SUM(B62:E62)</f>
        <v>1692355.02</v>
      </c>
      <c r="G62" s="227">
        <f>ROUND(F62/12*1,2)</f>
        <v>141029.59</v>
      </c>
    </row>
    <row r="63" spans="1:7" x14ac:dyDescent="0.35">
      <c r="A63" s="20" t="s">
        <v>25</v>
      </c>
      <c r="B63" s="206">
        <f>SUM(B66:B68)</f>
        <v>1072812.1200000001</v>
      </c>
      <c r="C63" s="206">
        <f t="shared" ref="C63:E63" si="30">SUM(C66:C68)</f>
        <v>1131.53</v>
      </c>
      <c r="D63" s="206">
        <f t="shared" si="30"/>
        <v>-105892.22</v>
      </c>
      <c r="E63" s="228">
        <f t="shared" si="30"/>
        <v>-1408.09</v>
      </c>
      <c r="F63" s="215">
        <f>SUM(B63:E63)</f>
        <v>966643.3400000002</v>
      </c>
      <c r="G63" s="344">
        <f t="shared" ref="G63" si="31">SUM(G66:G68)</f>
        <v>80553.61</v>
      </c>
    </row>
    <row r="64" spans="1:7" x14ac:dyDescent="0.35">
      <c r="A64" s="20" t="s">
        <v>5</v>
      </c>
      <c r="B64" s="207">
        <f t="shared" ref="B64:G64" si="32">SUM(B62:B63)</f>
        <v>3143768.16</v>
      </c>
      <c r="C64" s="207">
        <f t="shared" si="32"/>
        <v>-194679.63</v>
      </c>
      <c r="D64" s="207">
        <f t="shared" si="32"/>
        <v>-280424.09999999998</v>
      </c>
      <c r="E64" s="229">
        <f t="shared" si="32"/>
        <v>-9666.07</v>
      </c>
      <c r="F64" s="207">
        <f t="shared" si="32"/>
        <v>2658998.3600000003</v>
      </c>
      <c r="G64" s="230">
        <f t="shared" si="32"/>
        <v>221583.2</v>
      </c>
    </row>
    <row r="65" spans="1:7" x14ac:dyDescent="0.35">
      <c r="B65" s="204"/>
      <c r="C65" s="204"/>
      <c r="D65" s="205"/>
    </row>
    <row r="66" spans="1:7" x14ac:dyDescent="0.35">
      <c r="A66" s="20" t="s">
        <v>105</v>
      </c>
      <c r="B66" s="25">
        <f>ROUND('[16]EO Matrix @Meter'!$AP$20,2)</f>
        <v>283722.18</v>
      </c>
      <c r="C66" s="25">
        <f>ROUND(SUM('[17]Ex Post Gross TD Calc'!$Q$572:$AN$572),2)</f>
        <v>6564.41</v>
      </c>
      <c r="D66" s="25">
        <f>ROUND(SUM('[17]NTG TD Calc'!$Q$437:$AN$437),2)</f>
        <v>-47566.93</v>
      </c>
      <c r="E66" s="226">
        <f>ROUND(SUM('[17]EO TD Carrying Costs'!$O$56:$AL$56),2)</f>
        <v>-523.69000000000005</v>
      </c>
      <c r="F66" s="207">
        <f t="shared" ref="F66:F68" si="33">SUM(B66:E66)</f>
        <v>242195.96999999997</v>
      </c>
      <c r="G66" s="227">
        <f t="shared" ref="G66:G68" si="34">ROUND(F66/12*1,2)</f>
        <v>20183</v>
      </c>
    </row>
    <row r="67" spans="1:7" x14ac:dyDescent="0.35">
      <c r="A67" s="20" t="s">
        <v>106</v>
      </c>
      <c r="B67" s="25">
        <f>ROUND('[16]EO Matrix @Meter'!$AR$20,2)</f>
        <v>576681.62</v>
      </c>
      <c r="C67" s="25">
        <f>ROUND(SUM('[17]Ex Post Gross TD Calc'!$Q$574:$AN$574),2)</f>
        <v>-3904.58</v>
      </c>
      <c r="D67" s="25">
        <f>ROUND(SUM('[17]NTG TD Calc'!$Q$439:$AN$439),2)</f>
        <v>-52350.95</v>
      </c>
      <c r="E67" s="226">
        <f>ROUND(SUM('[17]EO TD Carrying Costs'!$O$58:$AL$58),2)</f>
        <v>-794.87</v>
      </c>
      <c r="F67" s="207">
        <f t="shared" si="33"/>
        <v>519631.22000000003</v>
      </c>
      <c r="G67" s="227">
        <f t="shared" si="34"/>
        <v>43302.6</v>
      </c>
    </row>
    <row r="68" spans="1:7" x14ac:dyDescent="0.35">
      <c r="A68" s="20" t="s">
        <v>107</v>
      </c>
      <c r="B68" s="25">
        <f>ROUND('[16]EO Matrix @Meter'!$AS$20,2)</f>
        <v>212408.32000000001</v>
      </c>
      <c r="C68" s="25">
        <f>ROUND(SUM('[17]Ex Post Gross TD Calc'!$Q$575:$AN$575),2)</f>
        <v>-1528.3</v>
      </c>
      <c r="D68" s="25">
        <f>ROUND(SUM('[17]NTG TD Calc'!$Q$440:$AN$440),2)</f>
        <v>-5974.34</v>
      </c>
      <c r="E68" s="226">
        <f>ROUND(SUM('[17]EO TD Carrying Costs'!$O$59:$AL$59),2)</f>
        <v>-89.53</v>
      </c>
      <c r="F68" s="207">
        <f t="shared" si="33"/>
        <v>204816.15000000002</v>
      </c>
      <c r="G68" s="227">
        <f t="shared" si="34"/>
        <v>17068.009999999998</v>
      </c>
    </row>
    <row r="69" spans="1:7" x14ac:dyDescent="0.35">
      <c r="A69" s="30" t="s">
        <v>109</v>
      </c>
      <c r="B69" s="207">
        <f>SUM(B66:B68)</f>
        <v>1072812.1200000001</v>
      </c>
      <c r="C69" s="207">
        <f>SUM(C66:C68)</f>
        <v>1131.53</v>
      </c>
      <c r="D69" s="207">
        <f t="shared" ref="D69:G69" si="35">SUM(D66:D68)</f>
        <v>-105892.22</v>
      </c>
      <c r="E69" s="207">
        <f t="shared" si="35"/>
        <v>-1408.09</v>
      </c>
      <c r="F69" s="207">
        <f t="shared" si="35"/>
        <v>966643.34</v>
      </c>
      <c r="G69" s="207">
        <f t="shared" si="35"/>
        <v>80553.61</v>
      </c>
    </row>
    <row r="70" spans="1:7" x14ac:dyDescent="0.35">
      <c r="A70" s="30"/>
      <c r="B70" s="235"/>
      <c r="C70" s="235"/>
      <c r="D70" s="235"/>
      <c r="E70" s="235"/>
      <c r="F70" s="235"/>
      <c r="G70" s="235"/>
    </row>
    <row r="71" spans="1:7" s="39" customFormat="1" x14ac:dyDescent="0.35">
      <c r="A71" s="353"/>
      <c r="B71" s="235"/>
      <c r="C71" s="235"/>
      <c r="D71" s="235"/>
      <c r="E71" s="235"/>
      <c r="F71" s="235"/>
      <c r="G71" s="235"/>
    </row>
    <row r="72" spans="1:7" x14ac:dyDescent="0.35">
      <c r="A72" s="353" t="s">
        <v>230</v>
      </c>
      <c r="B72" s="70"/>
      <c r="C72" s="70"/>
      <c r="D72" s="144"/>
    </row>
    <row r="73" spans="1:7" x14ac:dyDescent="0.35">
      <c r="A73" s="20" t="s">
        <v>24</v>
      </c>
      <c r="B73" s="25">
        <f>ROUND('[18]EO Matrix @Meter'!$AL$22,2)</f>
        <v>1831459.69</v>
      </c>
      <c r="C73" s="25">
        <f>ROUND(SUM('[19]Ex Post Gross TD Calc'!$AC$572:$AX$572),2)</f>
        <v>-87615.35</v>
      </c>
      <c r="D73" s="25">
        <f>ROUND(SUM('[19]NTG TD Calc'!$AC$437:$AX$437),2)</f>
        <v>-16793.62</v>
      </c>
      <c r="E73" s="226">
        <f>ROUND(SUM('[19]EO TD Carrying Costs'!$AA$55:$AV$55),2)</f>
        <v>-1815.93</v>
      </c>
      <c r="F73" s="215">
        <f>SUM(B73:E73)</f>
        <v>1725234.7899999998</v>
      </c>
      <c r="G73" s="227">
        <f>ROUND(F73/12*7,2)</f>
        <v>1006386.96</v>
      </c>
    </row>
    <row r="74" spans="1:7" x14ac:dyDescent="0.35">
      <c r="A74" s="20" t="s">
        <v>25</v>
      </c>
      <c r="B74" s="206">
        <f>SUM(B77:B79)</f>
        <v>1406145.85</v>
      </c>
      <c r="C74" s="206">
        <f t="shared" ref="C74:G74" si="36">SUM(C77:C79)</f>
        <v>-53711.969999999994</v>
      </c>
      <c r="D74" s="206">
        <f t="shared" si="36"/>
        <v>50995.289999999994</v>
      </c>
      <c r="E74" s="206">
        <f t="shared" si="36"/>
        <v>-425.78000000000003</v>
      </c>
      <c r="F74" s="215">
        <f>SUM(B74:E74)</f>
        <v>1403003.3900000001</v>
      </c>
      <c r="G74" s="227">
        <f t="shared" si="36"/>
        <v>818418.64999999991</v>
      </c>
    </row>
    <row r="75" spans="1:7" x14ac:dyDescent="0.35">
      <c r="A75" s="20" t="s">
        <v>5</v>
      </c>
      <c r="B75" s="207">
        <f t="shared" ref="B75:G75" si="37">SUM(B73:B74)</f>
        <v>3237605.54</v>
      </c>
      <c r="C75" s="207">
        <f t="shared" si="37"/>
        <v>-141327.32</v>
      </c>
      <c r="D75" s="207">
        <f t="shared" si="37"/>
        <v>34201.67</v>
      </c>
      <c r="E75" s="229">
        <f t="shared" si="37"/>
        <v>-2241.71</v>
      </c>
      <c r="F75" s="207">
        <f t="shared" si="37"/>
        <v>3128238.1799999997</v>
      </c>
      <c r="G75" s="230">
        <f t="shared" si="37"/>
        <v>1824805.6099999999</v>
      </c>
    </row>
    <row r="76" spans="1:7" x14ac:dyDescent="0.35">
      <c r="B76" s="204"/>
      <c r="C76" s="204"/>
      <c r="D76" s="205"/>
    </row>
    <row r="77" spans="1:7" x14ac:dyDescent="0.35">
      <c r="A77" s="20" t="s">
        <v>105</v>
      </c>
      <c r="B77" s="25">
        <f>ROUND('[18]EO Matrix @Meter'!$AP$22,2)</f>
        <v>286244.42</v>
      </c>
      <c r="C77" s="25">
        <f>ROUND(SUM('[19]Ex Post Gross TD Calc'!$AC$573:$AX$573),2)</f>
        <v>-39368.74</v>
      </c>
      <c r="D77" s="25">
        <f>ROUND(SUM('[19]NTG TD Calc'!$AC$438:$AX$438),2)</f>
        <v>34141.919999999998</v>
      </c>
      <c r="E77" s="226">
        <f>ROUND(SUM('[19]EO TD Carrying Costs'!$AA$56:$AV$56),2)</f>
        <v>-375.54</v>
      </c>
      <c r="F77" s="207">
        <f t="shared" ref="F77:F79" si="38">SUM(B77:E77)</f>
        <v>280642.06</v>
      </c>
      <c r="G77" s="227">
        <f t="shared" ref="G77:G79" si="39">ROUND(F77/12*7,2)</f>
        <v>163707.87</v>
      </c>
    </row>
    <row r="78" spans="1:7" x14ac:dyDescent="0.35">
      <c r="A78" s="20" t="s">
        <v>106</v>
      </c>
      <c r="B78" s="25">
        <f>ROUND('[18]EO Matrix @Meter'!$AR$22,2)</f>
        <v>619125.67000000004</v>
      </c>
      <c r="C78" s="25">
        <f>ROUND(SUM('[19]Ex Post Gross TD Calc'!$AC$575:$AX$575),2)</f>
        <v>-13044.06</v>
      </c>
      <c r="D78" s="25">
        <f>ROUND(SUM('[19]NTG TD Calc'!$AC$440:$AX$440),2)</f>
        <v>14350.67</v>
      </c>
      <c r="E78" s="226">
        <f>ROUND(SUM('[19]EO TD Carrying Costs'!$AA$58:$AV$58),2)</f>
        <v>-72.91</v>
      </c>
      <c r="F78" s="207">
        <f t="shared" si="38"/>
        <v>620359.37</v>
      </c>
      <c r="G78" s="227">
        <f t="shared" si="39"/>
        <v>361876.3</v>
      </c>
    </row>
    <row r="79" spans="1:7" x14ac:dyDescent="0.35">
      <c r="A79" s="20" t="s">
        <v>107</v>
      </c>
      <c r="B79" s="206">
        <f>ROUND('[18]EO Matrix @Meter'!$AS$22,2)</f>
        <v>500775.76</v>
      </c>
      <c r="C79" s="25">
        <f>ROUND(SUM('[19]Ex Post Gross TD Calc'!$AC$576:$AX$576),2)</f>
        <v>-1299.17</v>
      </c>
      <c r="D79" s="25">
        <f>ROUND(SUM('[19]NTG TD Calc'!$AC$441:$AX$441),2)</f>
        <v>2502.6999999999998</v>
      </c>
      <c r="E79" s="226">
        <f>ROUND(SUM('[19]EO TD Carrying Costs'!$AA$59:$AV$59),2)</f>
        <v>22.67</v>
      </c>
      <c r="F79" s="207">
        <f t="shared" si="38"/>
        <v>502001.96</v>
      </c>
      <c r="G79" s="227">
        <f t="shared" si="39"/>
        <v>292834.48</v>
      </c>
    </row>
    <row r="80" spans="1:7" x14ac:dyDescent="0.35">
      <c r="A80" s="30" t="s">
        <v>109</v>
      </c>
      <c r="B80" s="207">
        <f>SUM(B77:B79)</f>
        <v>1406145.85</v>
      </c>
      <c r="C80" s="207">
        <f>SUM(C77:C79)</f>
        <v>-53711.969999999994</v>
      </c>
      <c r="D80" s="207">
        <f t="shared" ref="D80:G80" si="40">SUM(D77:D79)</f>
        <v>50995.289999999994</v>
      </c>
      <c r="E80" s="207">
        <f t="shared" si="40"/>
        <v>-425.78000000000003</v>
      </c>
      <c r="F80" s="207">
        <f t="shared" si="40"/>
        <v>1403003.39</v>
      </c>
      <c r="G80" s="207">
        <f t="shared" si="40"/>
        <v>818418.64999999991</v>
      </c>
    </row>
    <row r="81" spans="1:7" x14ac:dyDescent="0.35">
      <c r="A81" s="30"/>
      <c r="B81" s="235"/>
      <c r="C81" s="235"/>
      <c r="D81" s="235"/>
      <c r="E81" s="235"/>
      <c r="F81" s="235"/>
      <c r="G81" s="235"/>
    </row>
    <row r="82" spans="1:7" s="39" customFormat="1" x14ac:dyDescent="0.35">
      <c r="A82" s="30"/>
      <c r="B82" s="235"/>
      <c r="C82" s="235"/>
      <c r="D82" s="235"/>
      <c r="E82" s="235"/>
      <c r="F82" s="235"/>
      <c r="G82" s="235"/>
    </row>
    <row r="83" spans="1:7" x14ac:dyDescent="0.35">
      <c r="A83" s="353" t="s">
        <v>278</v>
      </c>
      <c r="B83" s="70"/>
      <c r="C83" s="70"/>
      <c r="D83" s="144"/>
    </row>
    <row r="84" spans="1:7" x14ac:dyDescent="0.35">
      <c r="A84" s="20" t="s">
        <v>24</v>
      </c>
      <c r="B84" s="25">
        <v>0</v>
      </c>
      <c r="C84" s="25">
        <f>ROUND((SUM('[19]Ex Post Gross TD Calc'!$AY$572:$BD$572)),2)</f>
        <v>-34609.54</v>
      </c>
      <c r="D84" s="25">
        <f>ROUND((SUM('[19]NTG TD Calc'!$AY$437:$BD$437)),2)</f>
        <v>-3340.85</v>
      </c>
      <c r="E84" s="226">
        <f>ROUND((SUM('[19]EO TD Carrying Costs'!$AW$55:$BB$55)),2)</f>
        <v>-3581.17</v>
      </c>
      <c r="F84" s="215">
        <f>SUM(B84:E84)</f>
        <v>-41531.56</v>
      </c>
      <c r="G84" s="227">
        <f>ROUND(F84/12*11,2)</f>
        <v>-38070.6</v>
      </c>
    </row>
    <row r="85" spans="1:7" x14ac:dyDescent="0.35">
      <c r="A85" s="20" t="s">
        <v>25</v>
      </c>
      <c r="B85" s="206">
        <f>SUM(B88:B90)</f>
        <v>0</v>
      </c>
      <c r="C85" s="206">
        <f t="shared" ref="C85:E85" si="41">SUM(C88:C90)</f>
        <v>-20672.789999999997</v>
      </c>
      <c r="D85" s="206">
        <f t="shared" si="41"/>
        <v>8653.61</v>
      </c>
      <c r="E85" s="206">
        <f t="shared" si="41"/>
        <v>-165.42000000000002</v>
      </c>
      <c r="F85" s="215">
        <f>SUM(B85:E85)</f>
        <v>-12184.599999999997</v>
      </c>
      <c r="G85" s="227">
        <f>ROUND(F85/12*11,2)</f>
        <v>-11169.22</v>
      </c>
    </row>
    <row r="86" spans="1:7" x14ac:dyDescent="0.35">
      <c r="A86" s="20" t="s">
        <v>5</v>
      </c>
      <c r="B86" s="207">
        <f t="shared" ref="B86:G86" si="42">SUM(B84:B85)</f>
        <v>0</v>
      </c>
      <c r="C86" s="207">
        <f t="shared" si="42"/>
        <v>-55282.33</v>
      </c>
      <c r="D86" s="207">
        <f t="shared" si="42"/>
        <v>5312.76</v>
      </c>
      <c r="E86" s="229">
        <f t="shared" si="42"/>
        <v>-3746.59</v>
      </c>
      <c r="F86" s="207">
        <f t="shared" si="42"/>
        <v>-53716.159999999996</v>
      </c>
      <c r="G86" s="230">
        <f t="shared" si="42"/>
        <v>-49239.82</v>
      </c>
    </row>
    <row r="87" spans="1:7" x14ac:dyDescent="0.35">
      <c r="B87" s="204"/>
      <c r="C87" s="204"/>
      <c r="D87" s="205"/>
    </row>
    <row r="88" spans="1:7" x14ac:dyDescent="0.35">
      <c r="A88" s="20" t="s">
        <v>105</v>
      </c>
      <c r="B88" s="25">
        <v>0</v>
      </c>
      <c r="C88" s="25">
        <f>ROUND((SUM('[19]Ex Post Gross TD Calc'!$AY573:$BD573)),2)</f>
        <v>-14358.12</v>
      </c>
      <c r="D88" s="25">
        <f>ROUND((SUM('[19]NTG TD Calc'!$AY438:$BD438)),2)</f>
        <v>5781.29</v>
      </c>
      <c r="E88" s="226">
        <f>ROUND((SUM('[19]EO TD Carrying Costs'!$AW56:$BB56)),2)</f>
        <v>-217.83</v>
      </c>
      <c r="F88" s="207">
        <f t="shared" ref="F88:F90" si="43">SUM(B88:E88)</f>
        <v>-8794.6600000000017</v>
      </c>
      <c r="G88" s="236">
        <f t="shared" ref="G88:G90" si="44">ROUND(F88/12*11,2)</f>
        <v>-8061.77</v>
      </c>
    </row>
    <row r="89" spans="1:7" x14ac:dyDescent="0.35">
      <c r="A89" s="20" t="s">
        <v>106</v>
      </c>
      <c r="B89" s="25">
        <v>0</v>
      </c>
      <c r="C89" s="25">
        <f>ROUND((SUM('[19]Ex Post Gross TD Calc'!$AY575:$BD575)),2)</f>
        <v>-5704.41</v>
      </c>
      <c r="D89" s="25">
        <f>ROUND((SUM('[19]NTG TD Calc'!$AY440:$BD440)),2)</f>
        <v>2527.65</v>
      </c>
      <c r="E89" s="226">
        <f>ROUND((SUM('[19]EO TD Carrying Costs'!$AW58:$BB58)),2)</f>
        <v>17.940000000000001</v>
      </c>
      <c r="F89" s="207">
        <f t="shared" si="43"/>
        <v>-3158.8199999999997</v>
      </c>
      <c r="G89" s="236">
        <f t="shared" si="44"/>
        <v>-2895.59</v>
      </c>
    </row>
    <row r="90" spans="1:7" x14ac:dyDescent="0.35">
      <c r="A90" s="20" t="s">
        <v>107</v>
      </c>
      <c r="B90" s="25">
        <v>0</v>
      </c>
      <c r="C90" s="25">
        <f>ROUND((SUM('[19]Ex Post Gross TD Calc'!$AY576:$BD576)),2)</f>
        <v>-610.26</v>
      </c>
      <c r="D90" s="25">
        <f>ROUND((SUM('[19]NTG TD Calc'!$AY441:$BD441)),2)</f>
        <v>344.67</v>
      </c>
      <c r="E90" s="226">
        <f>ROUND((SUM('[19]EO TD Carrying Costs'!$AW59:$BB59)),2)</f>
        <v>34.47</v>
      </c>
      <c r="F90" s="207">
        <f t="shared" si="43"/>
        <v>-231.11999999999998</v>
      </c>
      <c r="G90" s="236">
        <f t="shared" si="44"/>
        <v>-211.86</v>
      </c>
    </row>
    <row r="91" spans="1:7" x14ac:dyDescent="0.35">
      <c r="A91" s="30" t="s">
        <v>109</v>
      </c>
      <c r="B91" s="207">
        <f>SUM(B88:B90)</f>
        <v>0</v>
      </c>
      <c r="C91" s="207">
        <f>SUM(C88:C90)</f>
        <v>-20672.789999999997</v>
      </c>
      <c r="D91" s="207">
        <f t="shared" ref="D91:G91" si="45">SUM(D88:D90)</f>
        <v>8653.61</v>
      </c>
      <c r="E91" s="207">
        <f t="shared" si="45"/>
        <v>-165.42000000000002</v>
      </c>
      <c r="F91" s="207">
        <f t="shared" si="45"/>
        <v>-12184.600000000002</v>
      </c>
      <c r="G91" s="207">
        <f t="shared" si="45"/>
        <v>-11169.220000000001</v>
      </c>
    </row>
    <row r="92" spans="1:7" x14ac:dyDescent="0.35">
      <c r="A92" s="30"/>
      <c r="B92" s="235"/>
      <c r="C92" s="235"/>
      <c r="D92" s="235"/>
      <c r="E92" s="235"/>
      <c r="F92" s="235"/>
      <c r="G92" s="235"/>
    </row>
    <row r="93" spans="1:7" s="39" customFormat="1" x14ac:dyDescent="0.35">
      <c r="A93" s="30"/>
      <c r="B93" s="235"/>
      <c r="C93" s="235"/>
      <c r="D93" s="235"/>
      <c r="E93" s="235"/>
      <c r="F93" s="235"/>
      <c r="G93" s="235"/>
    </row>
    <row r="94" spans="1:7" x14ac:dyDescent="0.35">
      <c r="A94" s="353" t="s">
        <v>279</v>
      </c>
      <c r="B94" s="70"/>
      <c r="C94" s="70"/>
      <c r="D94" s="144"/>
    </row>
    <row r="95" spans="1:7" x14ac:dyDescent="0.35">
      <c r="A95" s="20" t="s">
        <v>24</v>
      </c>
      <c r="B95" s="25">
        <f>ROUND('[20]PY4 2023 EO'!$E116,2)</f>
        <v>1409245.8</v>
      </c>
      <c r="C95" s="25">
        <v>0</v>
      </c>
      <c r="D95" s="25">
        <v>0</v>
      </c>
      <c r="E95" s="226">
        <v>0</v>
      </c>
      <c r="F95" s="215">
        <f>SUM(B95:E95)</f>
        <v>1409245.8</v>
      </c>
      <c r="G95" s="227">
        <f>ROUND(F95/12*11,2)</f>
        <v>1291808.6499999999</v>
      </c>
    </row>
    <row r="96" spans="1:7" x14ac:dyDescent="0.35">
      <c r="A96" s="20" t="s">
        <v>25</v>
      </c>
      <c r="B96" s="206">
        <f>SUM(B99:B101)</f>
        <v>977559.65999999992</v>
      </c>
      <c r="C96" s="206">
        <f t="shared" ref="C96:E96" si="46">SUM(C99:C101)</f>
        <v>0</v>
      </c>
      <c r="D96" s="206">
        <f t="shared" si="46"/>
        <v>0</v>
      </c>
      <c r="E96" s="206">
        <f t="shared" si="46"/>
        <v>0</v>
      </c>
      <c r="F96" s="215">
        <f>SUM(B96:E96)</f>
        <v>977559.65999999992</v>
      </c>
      <c r="G96" s="227">
        <f>ROUND(F96/12*11,2)</f>
        <v>896096.36</v>
      </c>
    </row>
    <row r="97" spans="1:7" x14ac:dyDescent="0.35">
      <c r="A97" s="20" t="s">
        <v>5</v>
      </c>
      <c r="B97" s="207">
        <f t="shared" ref="B97:G97" si="47">SUM(B95:B96)</f>
        <v>2386805.46</v>
      </c>
      <c r="C97" s="207">
        <f t="shared" si="47"/>
        <v>0</v>
      </c>
      <c r="D97" s="207">
        <f t="shared" si="47"/>
        <v>0</v>
      </c>
      <c r="E97" s="229">
        <f t="shared" si="47"/>
        <v>0</v>
      </c>
      <c r="F97" s="207">
        <f t="shared" si="47"/>
        <v>2386805.46</v>
      </c>
      <c r="G97" s="230">
        <f t="shared" si="47"/>
        <v>2187905.0099999998</v>
      </c>
    </row>
    <row r="98" spans="1:7" x14ac:dyDescent="0.35">
      <c r="B98" s="204"/>
      <c r="C98" s="204"/>
      <c r="D98" s="205"/>
    </row>
    <row r="99" spans="1:7" x14ac:dyDescent="0.35">
      <c r="A99" s="20" t="s">
        <v>105</v>
      </c>
      <c r="B99" s="25">
        <f>ROUND('[20]PY4 2023 EO'!$E117,2)</f>
        <v>366668.97</v>
      </c>
      <c r="C99" s="25">
        <v>0</v>
      </c>
      <c r="D99" s="25">
        <v>0</v>
      </c>
      <c r="E99" s="226">
        <v>0</v>
      </c>
      <c r="F99" s="207">
        <f t="shared" ref="F99:F101" si="48">SUM(B99:E99)</f>
        <v>366668.97</v>
      </c>
      <c r="G99" s="236">
        <f t="shared" ref="G99:G101" si="49">ROUND(F99/12*11,2)</f>
        <v>336113.22</v>
      </c>
    </row>
    <row r="100" spans="1:7" x14ac:dyDescent="0.35">
      <c r="A100" s="20" t="s">
        <v>106</v>
      </c>
      <c r="B100" s="25">
        <f>ROUND('[20]PY4 2023 EO'!$E119,2)</f>
        <v>351922.98</v>
      </c>
      <c r="C100" s="25">
        <v>0</v>
      </c>
      <c r="D100" s="25">
        <v>0</v>
      </c>
      <c r="E100" s="226">
        <v>0</v>
      </c>
      <c r="F100" s="207">
        <f t="shared" si="48"/>
        <v>351922.98</v>
      </c>
      <c r="G100" s="236">
        <f t="shared" si="49"/>
        <v>322596.07</v>
      </c>
    </row>
    <row r="101" spans="1:7" x14ac:dyDescent="0.35">
      <c r="A101" s="20" t="s">
        <v>107</v>
      </c>
      <c r="B101" s="25">
        <f>ROUND('[20]PY4 2023 EO'!$E120,2)</f>
        <v>258967.71</v>
      </c>
      <c r="C101" s="25">
        <v>0</v>
      </c>
      <c r="D101" s="25">
        <v>0</v>
      </c>
      <c r="E101" s="226">
        <v>0</v>
      </c>
      <c r="F101" s="207">
        <f t="shared" si="48"/>
        <v>258967.71</v>
      </c>
      <c r="G101" s="236">
        <f t="shared" si="49"/>
        <v>237387.07</v>
      </c>
    </row>
    <row r="102" spans="1:7" x14ac:dyDescent="0.35">
      <c r="A102" s="30" t="s">
        <v>109</v>
      </c>
      <c r="B102" s="207">
        <f>SUM(B99:B101)</f>
        <v>977559.65999999992</v>
      </c>
      <c r="C102" s="207">
        <f>SUM(C99:C101)</f>
        <v>0</v>
      </c>
      <c r="D102" s="207">
        <f t="shared" ref="D102:G102" si="50">SUM(D99:D101)</f>
        <v>0</v>
      </c>
      <c r="E102" s="207">
        <f t="shared" si="50"/>
        <v>0</v>
      </c>
      <c r="F102" s="207">
        <f t="shared" si="50"/>
        <v>977559.65999999992</v>
      </c>
      <c r="G102" s="207">
        <f t="shared" si="50"/>
        <v>896096.3600000001</v>
      </c>
    </row>
    <row r="103" spans="1:7" x14ac:dyDescent="0.35">
      <c r="A103" s="30"/>
      <c r="B103" s="235"/>
      <c r="C103" s="235"/>
      <c r="D103" s="235"/>
      <c r="E103" s="235"/>
      <c r="F103" s="235"/>
      <c r="G103" s="235"/>
    </row>
    <row r="104" spans="1:7" x14ac:dyDescent="0.35">
      <c r="A104" s="30"/>
      <c r="B104" s="235"/>
      <c r="C104" s="235"/>
      <c r="D104" s="235"/>
      <c r="E104" s="235"/>
      <c r="F104" s="235"/>
      <c r="G104" s="235"/>
    </row>
    <row r="105" spans="1:7" hidden="1" outlineLevel="1" x14ac:dyDescent="0.35">
      <c r="A105" s="331" t="s">
        <v>231</v>
      </c>
      <c r="B105" s="70"/>
      <c r="C105" s="70"/>
      <c r="D105" s="144"/>
    </row>
    <row r="106" spans="1:7" hidden="1" outlineLevel="1" x14ac:dyDescent="0.35">
      <c r="A106" s="20" t="s">
        <v>24</v>
      </c>
      <c r="B106" s="25">
        <v>0</v>
      </c>
      <c r="C106" s="25"/>
      <c r="D106" s="25"/>
      <c r="E106" s="226"/>
      <c r="F106" s="215">
        <f>SUM(B106:E106)</f>
        <v>0</v>
      </c>
      <c r="G106" s="227">
        <f>ROUND(F106/12*11,2)</f>
        <v>0</v>
      </c>
    </row>
    <row r="107" spans="1:7" hidden="1" outlineLevel="1" x14ac:dyDescent="0.35">
      <c r="A107" s="20" t="s">
        <v>25</v>
      </c>
      <c r="B107" s="206">
        <f>SUM(B110:B112)</f>
        <v>0</v>
      </c>
      <c r="C107" s="206">
        <f t="shared" ref="C107:E107" si="51">SUM(C110:C112)</f>
        <v>0</v>
      </c>
      <c r="D107" s="206">
        <f t="shared" si="51"/>
        <v>0</v>
      </c>
      <c r="E107" s="206">
        <f t="shared" si="51"/>
        <v>0</v>
      </c>
      <c r="F107" s="215">
        <f>SUM(B107:E107)</f>
        <v>0</v>
      </c>
      <c r="G107" s="227">
        <f>ROUND(F107/12*11,2)</f>
        <v>0</v>
      </c>
    </row>
    <row r="108" spans="1:7" hidden="1" outlineLevel="1" x14ac:dyDescent="0.35">
      <c r="A108" s="20" t="s">
        <v>5</v>
      </c>
      <c r="B108" s="207">
        <f t="shared" ref="B108:G108" si="52">SUM(B106:B107)</f>
        <v>0</v>
      </c>
      <c r="C108" s="207">
        <f t="shared" si="52"/>
        <v>0</v>
      </c>
      <c r="D108" s="207">
        <f t="shared" si="52"/>
        <v>0</v>
      </c>
      <c r="E108" s="229">
        <f t="shared" si="52"/>
        <v>0</v>
      </c>
      <c r="F108" s="207">
        <f t="shared" si="52"/>
        <v>0</v>
      </c>
      <c r="G108" s="230">
        <f t="shared" si="52"/>
        <v>0</v>
      </c>
    </row>
    <row r="109" spans="1:7" hidden="1" outlineLevel="1" x14ac:dyDescent="0.35">
      <c r="B109" s="204"/>
      <c r="C109" s="204"/>
      <c r="D109" s="205"/>
    </row>
    <row r="110" spans="1:7" hidden="1" outlineLevel="1" x14ac:dyDescent="0.35">
      <c r="A110" s="20" t="s">
        <v>105</v>
      </c>
      <c r="B110" s="25">
        <v>0</v>
      </c>
      <c r="C110" s="25"/>
      <c r="D110" s="25"/>
      <c r="E110" s="226"/>
      <c r="F110" s="207">
        <f t="shared" ref="F110:F112" si="53">SUM(B110:E110)</f>
        <v>0</v>
      </c>
      <c r="G110" s="236">
        <f t="shared" ref="G110:G112" si="54">ROUND(F110/12*11,2)</f>
        <v>0</v>
      </c>
    </row>
    <row r="111" spans="1:7" hidden="1" outlineLevel="1" x14ac:dyDescent="0.35">
      <c r="A111" s="20" t="s">
        <v>106</v>
      </c>
      <c r="B111" s="25">
        <v>0</v>
      </c>
      <c r="C111" s="25"/>
      <c r="D111" s="25"/>
      <c r="E111" s="226"/>
      <c r="F111" s="207">
        <f t="shared" si="53"/>
        <v>0</v>
      </c>
      <c r="G111" s="236">
        <f t="shared" si="54"/>
        <v>0</v>
      </c>
    </row>
    <row r="112" spans="1:7" hidden="1" outlineLevel="1" x14ac:dyDescent="0.35">
      <c r="A112" s="20" t="s">
        <v>107</v>
      </c>
      <c r="B112" s="206">
        <v>0</v>
      </c>
      <c r="C112" s="25"/>
      <c r="D112" s="25"/>
      <c r="E112" s="226"/>
      <c r="F112" s="207">
        <f t="shared" si="53"/>
        <v>0</v>
      </c>
      <c r="G112" s="236">
        <f t="shared" si="54"/>
        <v>0</v>
      </c>
    </row>
    <row r="113" spans="1:13" hidden="1" outlineLevel="1" x14ac:dyDescent="0.35">
      <c r="A113" s="30" t="s">
        <v>109</v>
      </c>
      <c r="B113" s="207">
        <f>SUM(B110:B112)</f>
        <v>0</v>
      </c>
      <c r="C113" s="207">
        <f>SUM(C110:C112)</f>
        <v>0</v>
      </c>
      <c r="D113" s="207">
        <f t="shared" ref="D113:G113" si="55">SUM(D110:D112)</f>
        <v>0</v>
      </c>
      <c r="E113" s="207">
        <f t="shared" si="55"/>
        <v>0</v>
      </c>
      <c r="F113" s="207">
        <f t="shared" si="55"/>
        <v>0</v>
      </c>
      <c r="G113" s="207">
        <f t="shared" si="55"/>
        <v>0</v>
      </c>
    </row>
    <row r="114" spans="1:13" hidden="1" outlineLevel="1" x14ac:dyDescent="0.35">
      <c r="A114" s="30"/>
      <c r="B114" s="235"/>
      <c r="C114" s="235"/>
      <c r="D114" s="235"/>
      <c r="E114" s="235"/>
      <c r="F114" s="235"/>
      <c r="G114" s="235"/>
    </row>
    <row r="115" spans="1:13" collapsed="1" x14ac:dyDescent="0.35">
      <c r="A115" s="30"/>
      <c r="B115" s="235"/>
      <c r="C115" s="235"/>
      <c r="D115" s="235"/>
      <c r="E115" s="235"/>
      <c r="F115" s="235"/>
      <c r="G115" s="235"/>
    </row>
    <row r="116" spans="1:13" x14ac:dyDescent="0.35">
      <c r="A116" s="63" t="s">
        <v>280</v>
      </c>
      <c r="B116" s="39"/>
      <c r="C116" s="39"/>
      <c r="D116" s="39"/>
      <c r="E116" s="39"/>
      <c r="F116" s="39"/>
      <c r="G116" s="39"/>
      <c r="H116" s="39"/>
      <c r="I116" s="39"/>
      <c r="J116" s="39"/>
      <c r="K116" s="39"/>
      <c r="L116" s="39"/>
      <c r="M116" s="39"/>
    </row>
    <row r="117" spans="1:13" x14ac:dyDescent="0.35">
      <c r="A117" s="63" t="s">
        <v>232</v>
      </c>
      <c r="B117" s="39"/>
      <c r="C117" s="39"/>
      <c r="D117" s="39"/>
      <c r="E117" s="39"/>
      <c r="F117" s="39"/>
      <c r="G117" s="39"/>
      <c r="H117" s="39"/>
      <c r="I117" s="39"/>
      <c r="J117" s="39"/>
      <c r="K117" s="39"/>
      <c r="L117" s="39"/>
      <c r="M117" s="39"/>
    </row>
    <row r="118" spans="1:13" x14ac:dyDescent="0.35">
      <c r="A118" s="63" t="s">
        <v>233</v>
      </c>
      <c r="B118" s="39"/>
      <c r="C118" s="39"/>
      <c r="D118" s="39"/>
      <c r="E118" s="39"/>
      <c r="F118" s="39"/>
      <c r="G118" s="39"/>
      <c r="H118" s="39"/>
      <c r="I118" s="39"/>
      <c r="J118" s="39"/>
      <c r="K118" s="39"/>
      <c r="L118" s="39"/>
      <c r="M118" s="39"/>
    </row>
    <row r="119" spans="1:13" x14ac:dyDescent="0.35">
      <c r="A119" s="63" t="s">
        <v>234</v>
      </c>
      <c r="B119" s="39"/>
      <c r="C119" s="39"/>
      <c r="D119" s="39"/>
      <c r="E119" s="39"/>
      <c r="F119" s="39"/>
      <c r="G119" s="39"/>
      <c r="H119" s="39"/>
      <c r="I119" s="39"/>
      <c r="J119" s="39"/>
      <c r="K119" s="39"/>
      <c r="L119" s="39"/>
      <c r="M119" s="39"/>
    </row>
    <row r="120" spans="1:13" x14ac:dyDescent="0.35">
      <c r="A120" s="63" t="s">
        <v>152</v>
      </c>
      <c r="B120" s="39"/>
      <c r="C120" s="39"/>
      <c r="D120" s="39"/>
      <c r="E120" s="39"/>
      <c r="F120" s="39"/>
      <c r="G120" s="39"/>
      <c r="H120" s="39"/>
      <c r="I120" s="39"/>
      <c r="J120" s="39"/>
      <c r="K120" s="39"/>
      <c r="L120" s="39"/>
      <c r="M120" s="39"/>
    </row>
    <row r="121" spans="1:13" ht="88.9" customHeight="1" x14ac:dyDescent="0.35">
      <c r="A121" s="384" t="s">
        <v>281</v>
      </c>
      <c r="B121" s="384"/>
      <c r="C121" s="384"/>
      <c r="D121" s="384"/>
      <c r="E121" s="384"/>
      <c r="F121" s="384"/>
      <c r="G121" s="384"/>
      <c r="H121" s="384"/>
      <c r="I121" s="384"/>
      <c r="J121" s="384"/>
      <c r="K121" s="384"/>
      <c r="L121" s="384"/>
      <c r="M121" s="384"/>
    </row>
    <row r="122" spans="1:13" x14ac:dyDescent="0.35">
      <c r="A122" s="3"/>
    </row>
    <row r="123" spans="1:13" x14ac:dyDescent="0.35">
      <c r="A123" s="3"/>
    </row>
    <row r="124" spans="1:13" x14ac:dyDescent="0.35">
      <c r="A124" s="3"/>
    </row>
  </sheetData>
  <mergeCells count="2">
    <mergeCell ref="B3:D3"/>
    <mergeCell ref="A121:M121"/>
  </mergeCells>
  <pageMargins left="0.2" right="0.2" top="0.75" bottom="0.25" header="0.3" footer="0.3"/>
  <pageSetup orientation="landscape" r:id="rId1"/>
  <headerFooter>
    <oddHeader>&amp;C&amp;F &amp;A&amp;R&amp;"Arial"&amp;10&amp;K000000CONFIDENTIAL</oddHeader>
    <oddFooter xml:space="preserve">&amp;R_x000D_&amp;1#&amp;"Calibri"&amp;10&amp;KA80000 Restricted – Sensitive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9B7-C354-47DA-B8E5-0C6783072B70}">
  <sheetPr>
    <pageSetUpPr fitToPage="1"/>
  </sheetPr>
  <dimension ref="A1:AI63"/>
  <sheetViews>
    <sheetView zoomScale="85" zoomScaleNormal="85" workbookViewId="0">
      <pane xSplit="2" ySplit="13" topLeftCell="C14" activePane="bottomRight" state="frozen"/>
      <selection activeCell="E10" sqref="E10"/>
      <selection pane="topRight" activeCell="E10" sqref="E10"/>
      <selection pane="bottomLeft" activeCell="E10" sqref="E10"/>
      <selection pane="bottomRight" activeCell="E10" sqref="E10"/>
    </sheetView>
  </sheetViews>
  <sheetFormatPr defaultColWidth="9.1796875" defaultRowHeight="14.5" outlineLevelCol="1" x14ac:dyDescent="0.35"/>
  <cols>
    <col min="1" max="1" width="37.7265625" style="46" customWidth="1"/>
    <col min="2" max="2" width="12.26953125" style="46" bestFit="1" customWidth="1"/>
    <col min="3" max="3" width="12.453125" style="46" bestFit="1" customWidth="1"/>
    <col min="4" max="4" width="15.453125" style="46" customWidth="1"/>
    <col min="5" max="5" width="15.81640625" style="46" bestFit="1" customWidth="1"/>
    <col min="6" max="6" width="12.26953125" style="46" bestFit="1" customWidth="1"/>
    <col min="7" max="8" width="13.26953125" style="46" bestFit="1" customWidth="1"/>
    <col min="9" max="9" width="12.26953125" style="46" bestFit="1" customWidth="1"/>
    <col min="10" max="10" width="12.54296875" style="46" customWidth="1"/>
    <col min="11" max="11" width="12.81640625" style="46" customWidth="1"/>
    <col min="12" max="12" width="16" style="46" customWidth="1"/>
    <col min="13" max="13" width="15" style="46" bestFit="1" customWidth="1"/>
    <col min="14" max="14" width="16" style="46" bestFit="1" customWidth="1"/>
    <col min="15" max="15" width="17.81640625" style="174" customWidth="1" outlineLevel="1"/>
    <col min="16" max="16" width="15.26953125" style="46" bestFit="1" customWidth="1"/>
    <col min="17" max="17" width="17.453125" style="46" bestFit="1" customWidth="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Missouri West, Inc. - DSIM Rider Update Filed 06/01/2024</v>
      </c>
      <c r="B1" s="3"/>
      <c r="C1" s="3"/>
    </row>
    <row r="2" spans="1:35" x14ac:dyDescent="0.35">
      <c r="D2" s="3" t="s">
        <v>138</v>
      </c>
    </row>
    <row r="3" spans="1:35" ht="29" x14ac:dyDescent="0.35">
      <c r="D3" s="48" t="s">
        <v>45</v>
      </c>
      <c r="E3" s="70" t="s">
        <v>57</v>
      </c>
      <c r="F3" s="48" t="s">
        <v>3</v>
      </c>
      <c r="G3" s="70" t="s">
        <v>54</v>
      </c>
      <c r="H3" s="48" t="s">
        <v>10</v>
      </c>
      <c r="I3" s="48" t="s">
        <v>58</v>
      </c>
      <c r="S3" s="48"/>
    </row>
    <row r="4" spans="1:35" x14ac:dyDescent="0.35">
      <c r="A4" s="20" t="s">
        <v>24</v>
      </c>
      <c r="B4" s="20"/>
      <c r="C4" s="20"/>
      <c r="D4" s="22">
        <f>SUM(C18:L18)</f>
        <v>-32749.81</v>
      </c>
      <c r="E4" s="22">
        <f>SUM(C24:K24)</f>
        <v>-10907.36</v>
      </c>
      <c r="F4" s="22">
        <f>E4-D4</f>
        <v>21842.45</v>
      </c>
      <c r="G4" s="22">
        <f>+B38</f>
        <v>-34204.212180000191</v>
      </c>
      <c r="H4" s="22">
        <f>SUM(C45:K45)</f>
        <v>-980.06999999999994</v>
      </c>
      <c r="I4" s="25">
        <f>SUM(F4:H4)</f>
        <v>-13341.83218000019</v>
      </c>
      <c r="J4" s="315">
        <f>+I4-L38</f>
        <v>0</v>
      </c>
      <c r="M4" s="47"/>
    </row>
    <row r="5" spans="1:35" ht="15" thickBot="1" x14ac:dyDescent="0.4">
      <c r="A5" s="20" t="s">
        <v>25</v>
      </c>
      <c r="B5" s="20"/>
      <c r="C5" s="20"/>
      <c r="D5" s="22">
        <f>SUM(C19:L21)</f>
        <v>45835.78</v>
      </c>
      <c r="E5" s="22">
        <f>SUM(C25:K27)</f>
        <v>94.470000000000084</v>
      </c>
      <c r="F5" s="22">
        <f>E5-D5</f>
        <v>-45741.31</v>
      </c>
      <c r="G5" s="22">
        <f>SUM(B39:B41)</f>
        <v>83251.169160000369</v>
      </c>
      <c r="H5" s="22">
        <f>SUM(C46:K48)</f>
        <v>2275.4999999999991</v>
      </c>
      <c r="I5" s="25">
        <f>SUM(F5:H5)</f>
        <v>39785.359160000371</v>
      </c>
      <c r="J5" s="315">
        <f>+I5-SUM(L39:L41)</f>
        <v>8.7311491370201111E-11</v>
      </c>
      <c r="M5" s="47"/>
    </row>
    <row r="6" spans="1:35" ht="15.5" thickTop="1" thickBot="1" x14ac:dyDescent="0.4">
      <c r="D6" s="27">
        <f t="shared" ref="D6:I6" si="0">SUM(D4:D5)</f>
        <v>13085.969999999998</v>
      </c>
      <c r="E6" s="27">
        <f t="shared" si="0"/>
        <v>-10812.890000000001</v>
      </c>
      <c r="F6" s="27">
        <f t="shared" si="0"/>
        <v>-23898.859999999997</v>
      </c>
      <c r="G6" s="27">
        <f t="shared" si="0"/>
        <v>49046.956980000177</v>
      </c>
      <c r="H6" s="27">
        <f t="shared" si="0"/>
        <v>1295.4299999999992</v>
      </c>
      <c r="I6" s="27">
        <f t="shared" si="0"/>
        <v>26443.526980000181</v>
      </c>
      <c r="T6" s="5"/>
    </row>
    <row r="7" spans="1:35" ht="44" thickTop="1" x14ac:dyDescent="0.35">
      <c r="I7" s="211"/>
      <c r="J7" s="210" t="s">
        <v>120</v>
      </c>
    </row>
    <row r="8" spans="1:35" ht="17.25" customHeight="1" x14ac:dyDescent="0.35">
      <c r="A8" s="20" t="s">
        <v>105</v>
      </c>
      <c r="I8" s="25">
        <f>ROUND($I$5*J8,2)</f>
        <v>15599.56</v>
      </c>
      <c r="J8" s="208">
        <f>+'PCR Cycle 2'!K8</f>
        <v>0.39209287804949344</v>
      </c>
      <c r="K8" s="39"/>
    </row>
    <row r="9" spans="1:35" ht="17.25" customHeight="1" x14ac:dyDescent="0.35">
      <c r="A9" s="20" t="s">
        <v>106</v>
      </c>
      <c r="I9" s="25">
        <f t="shared" ref="I9:I10" si="1">ROUND($I$5*J9,2)</f>
        <v>18076.84</v>
      </c>
      <c r="J9" s="208">
        <f>+'PCR Cycle 2'!K9</f>
        <v>0.45435908608374953</v>
      </c>
      <c r="K9" s="39"/>
    </row>
    <row r="10" spans="1:35" ht="17.25" customHeight="1" thickBot="1" x14ac:dyDescent="0.4">
      <c r="A10" s="20" t="s">
        <v>107</v>
      </c>
      <c r="I10" s="25">
        <f t="shared" si="1"/>
        <v>6108.96</v>
      </c>
      <c r="J10" s="208">
        <f>+'PCR Cycle 2'!K10</f>
        <v>0.15354803586675725</v>
      </c>
      <c r="K10" s="39"/>
    </row>
    <row r="11" spans="1:35" ht="17.25" customHeight="1" thickTop="1" thickBot="1" x14ac:dyDescent="0.4">
      <c r="A11" s="20" t="s">
        <v>109</v>
      </c>
      <c r="I11" s="27">
        <f>SUM(I8:I10)</f>
        <v>39785.360000000001</v>
      </c>
      <c r="J11" s="209">
        <f>SUM(J8:J10)</f>
        <v>1.0000000000000002</v>
      </c>
    </row>
    <row r="12" spans="1:35" ht="15.5" thickTop="1" thickBot="1" x14ac:dyDescent="0.4">
      <c r="V12" s="4"/>
      <c r="W12" s="5"/>
    </row>
    <row r="13" spans="1:35" ht="116.5" thickBot="1" x14ac:dyDescent="0.4">
      <c r="B13" s="112" t="str">
        <f>+'PCR Cycle 2'!B13</f>
        <v>Cumulative Over/Under Carryover From 12/01/2023 Filing</v>
      </c>
      <c r="C13" s="143" t="str">
        <f>+'PCR Cycle 2'!C13</f>
        <v>Reverse November 2023 - January 2024 Forecast From 12/01/2023 Filing</v>
      </c>
      <c r="D13" s="383" t="s">
        <v>32</v>
      </c>
      <c r="E13" s="373"/>
      <c r="F13" s="374"/>
      <c r="G13" s="380" t="s">
        <v>32</v>
      </c>
      <c r="H13" s="381"/>
      <c r="I13" s="382"/>
      <c r="J13" s="370" t="s">
        <v>8</v>
      </c>
      <c r="K13" s="371"/>
      <c r="L13" s="372"/>
      <c r="O13" s="280" t="s">
        <v>223</v>
      </c>
    </row>
    <row r="14" spans="1:35" x14ac:dyDescent="0.35">
      <c r="A14" s="46" t="s">
        <v>84</v>
      </c>
      <c r="C14" s="102"/>
      <c r="D14" s="19">
        <f>+'PCR Cycle 2'!D14</f>
        <v>45260</v>
      </c>
      <c r="E14" s="19">
        <f t="shared" ref="E14:L14" si="2">EOMONTH(D14,1)</f>
        <v>45291</v>
      </c>
      <c r="F14" s="19">
        <f t="shared" si="2"/>
        <v>45322</v>
      </c>
      <c r="G14" s="14">
        <f t="shared" si="2"/>
        <v>45351</v>
      </c>
      <c r="H14" s="19">
        <f t="shared" si="2"/>
        <v>45382</v>
      </c>
      <c r="I14" s="15">
        <f t="shared" si="2"/>
        <v>45412</v>
      </c>
      <c r="J14" s="19">
        <f t="shared" si="2"/>
        <v>45443</v>
      </c>
      <c r="K14" s="19">
        <f t="shared" si="2"/>
        <v>45473</v>
      </c>
      <c r="L14" s="15">
        <f t="shared" si="2"/>
        <v>45504</v>
      </c>
      <c r="Z14" s="1"/>
      <c r="AA14" s="1"/>
      <c r="AB14" s="1"/>
      <c r="AC14" s="1"/>
      <c r="AD14" s="1"/>
      <c r="AE14" s="1"/>
      <c r="AF14" s="1"/>
      <c r="AG14" s="1"/>
      <c r="AH14" s="1"/>
      <c r="AI14" s="1"/>
    </row>
    <row r="15" spans="1:35" x14ac:dyDescent="0.35">
      <c r="A15" s="46" t="s">
        <v>5</v>
      </c>
      <c r="C15" s="96">
        <v>4226.58</v>
      </c>
      <c r="D15" s="106">
        <f>SUM(D24:D27)</f>
        <v>-2113.29</v>
      </c>
      <c r="E15" s="106">
        <f t="shared" ref="E15:K15" si="3">SUM(E24:E27)</f>
        <v>-2113.29</v>
      </c>
      <c r="F15" s="107">
        <f t="shared" si="3"/>
        <v>-2113.29</v>
      </c>
      <c r="G15" s="16">
        <f t="shared" si="3"/>
        <v>-1739.9199999999998</v>
      </c>
      <c r="H15" s="55">
        <f t="shared" si="3"/>
        <v>-1739.9199999999998</v>
      </c>
      <c r="I15" s="154">
        <f t="shared" si="3"/>
        <v>-1739.9199999999998</v>
      </c>
      <c r="J15" s="147">
        <f t="shared" si="3"/>
        <v>-1739.9199999999998</v>
      </c>
      <c r="K15" s="77">
        <f t="shared" si="3"/>
        <v>-1739.9199999999998</v>
      </c>
      <c r="L15" s="78"/>
      <c r="O15" s="174">
        <f>-SUM(J15:L15)</f>
        <v>3479.8399999999997</v>
      </c>
    </row>
    <row r="16" spans="1:35" x14ac:dyDescent="0.35">
      <c r="C16" s="98"/>
      <c r="D16" s="17"/>
      <c r="E16" s="17"/>
      <c r="F16" s="17"/>
      <c r="G16" s="10"/>
      <c r="H16" s="17"/>
      <c r="I16" s="11"/>
      <c r="J16" s="31"/>
      <c r="K16" s="31"/>
      <c r="L16" s="29"/>
    </row>
    <row r="17" spans="1:16" x14ac:dyDescent="0.35">
      <c r="A17" s="46" t="s">
        <v>85</v>
      </c>
      <c r="C17" s="98"/>
      <c r="D17" s="18"/>
      <c r="E17" s="18"/>
      <c r="F17" s="18"/>
      <c r="G17" s="90"/>
      <c r="H17" s="18"/>
      <c r="I17" s="155"/>
      <c r="J17" s="31"/>
      <c r="K17" s="31"/>
      <c r="L17" s="29"/>
      <c r="M17" s="3" t="s">
        <v>49</v>
      </c>
      <c r="N17" s="39"/>
    </row>
    <row r="18" spans="1:16" x14ac:dyDescent="0.35">
      <c r="A18" s="46" t="s">
        <v>24</v>
      </c>
      <c r="C18" s="96">
        <v>9536.58</v>
      </c>
      <c r="D18" s="126">
        <f>ROUND('[4]November 2023'!$G68,2)</f>
        <v>-2145.94</v>
      </c>
      <c r="E18" s="126">
        <f>ROUND('[4]December 2023'!$G68,2)</f>
        <v>-2859.27</v>
      </c>
      <c r="F18" s="126">
        <f>ROUND('[4]January 2024'!$G68,2)</f>
        <v>-3775.92</v>
      </c>
      <c r="G18" s="16">
        <f>ROUND('[4]February 2024'!$G68,2)</f>
        <v>-6989.13</v>
      </c>
      <c r="H18" s="55">
        <f>ROUND('[4]March 2024'!$G68,2)</f>
        <v>-4834.4399999999996</v>
      </c>
      <c r="I18" s="154">
        <f>ROUND('[4]April 2024'!$G68,2)</f>
        <v>-4395.55</v>
      </c>
      <c r="J18" s="116">
        <f>ROUND('PCR Cycle 2'!J26*$M18,2)</f>
        <v>-4326.16</v>
      </c>
      <c r="K18" s="41">
        <f>ROUND('PCR Cycle 2'!K26*$M18,2)</f>
        <v>-5400.62</v>
      </c>
      <c r="L18" s="61">
        <f>ROUND('PCR Cycle 2'!L26*$M18,2)</f>
        <v>-7559.36</v>
      </c>
      <c r="M18" s="72">
        <v>-2.0000000000000002E-5</v>
      </c>
      <c r="N18" s="4"/>
      <c r="O18" s="174">
        <f t="shared" ref="O18:O21" si="4">-SUM(J18:L18)</f>
        <v>17286.14</v>
      </c>
    </row>
    <row r="19" spans="1:16" x14ac:dyDescent="0.35">
      <c r="A19" s="46" t="s">
        <v>132</v>
      </c>
      <c r="C19" s="96">
        <v>-15405.429999999998</v>
      </c>
      <c r="D19" s="126">
        <f>ROUND('[4]November 2023'!$G69,2)</f>
        <v>4918.51</v>
      </c>
      <c r="E19" s="126">
        <f>ROUND('[4]December 2023'!$G69,2)</f>
        <v>4788.71</v>
      </c>
      <c r="F19" s="126">
        <f>ROUND('[4]January 2024'!$G69,2)</f>
        <v>6614.29</v>
      </c>
      <c r="G19" s="16">
        <f>ROUND('[4]February 2024'!$G69,2)</f>
        <v>3612.9</v>
      </c>
      <c r="H19" s="55">
        <f>ROUND('[4]March 2024'!$G69,2)</f>
        <v>2821.81</v>
      </c>
      <c r="I19" s="154">
        <f>ROUND('[4]April 2024'!$G69,2)</f>
        <v>2821.03</v>
      </c>
      <c r="J19" s="116">
        <f>ROUND('PCR Cycle 2'!J27*$M19,2)</f>
        <v>3039.04</v>
      </c>
      <c r="K19" s="41">
        <f>ROUND('PCR Cycle 2'!K27*$M19,2)</f>
        <v>3364.38</v>
      </c>
      <c r="L19" s="61">
        <f>ROUND('PCR Cycle 2'!L27*$M19,2)</f>
        <v>3789.64</v>
      </c>
      <c r="M19" s="72">
        <v>3.0000000000000001E-5</v>
      </c>
      <c r="N19" s="4"/>
      <c r="O19" s="174">
        <f t="shared" si="4"/>
        <v>-10193.06</v>
      </c>
    </row>
    <row r="20" spans="1:16" x14ac:dyDescent="0.35">
      <c r="A20" s="46" t="s">
        <v>133</v>
      </c>
      <c r="C20" s="96">
        <v>-16507.71</v>
      </c>
      <c r="D20" s="126">
        <f>ROUND('[4]November 2023'!$G70,2)</f>
        <v>5087.04</v>
      </c>
      <c r="E20" s="126">
        <f>ROUND('[4]December 2023'!$G70,2)</f>
        <v>6051.78</v>
      </c>
      <c r="F20" s="126">
        <f>ROUND('[4]January 2024'!$G70,2)</f>
        <v>5185.28</v>
      </c>
      <c r="G20" s="16">
        <f>ROUND('[4]February 2024'!$G70,2)</f>
        <v>2706.34</v>
      </c>
      <c r="H20" s="55">
        <f>ROUND('[4]March 2024'!$G70,2)</f>
        <v>2543.81</v>
      </c>
      <c r="I20" s="154">
        <f>ROUND('[4]April 2024'!$G70,2)</f>
        <v>4195.05</v>
      </c>
      <c r="J20" s="116">
        <f>ROUND('PCR Cycle 2'!J28*$M20,2)</f>
        <v>2618.23</v>
      </c>
      <c r="K20" s="41">
        <f>ROUND('PCR Cycle 2'!K28*$M20,2)</f>
        <v>2898.53</v>
      </c>
      <c r="L20" s="61">
        <f>ROUND('PCR Cycle 2'!L28*$M20,2)</f>
        <v>3264.9</v>
      </c>
      <c r="M20" s="72">
        <v>3.0000000000000001E-5</v>
      </c>
      <c r="N20" s="4"/>
      <c r="O20" s="174">
        <f t="shared" si="4"/>
        <v>-8781.66</v>
      </c>
    </row>
    <row r="21" spans="1:16" x14ac:dyDescent="0.35">
      <c r="A21" s="46" t="s">
        <v>134</v>
      </c>
      <c r="C21" s="96">
        <v>-7362.77</v>
      </c>
      <c r="D21" s="126">
        <f>ROUND('[4]November 2023'!$G71,2)</f>
        <v>2351.9</v>
      </c>
      <c r="E21" s="126">
        <f>ROUND('[4]December 2023'!$G71,2)</f>
        <v>2309.4899999999998</v>
      </c>
      <c r="F21" s="126">
        <f>ROUND('[4]January 2024'!$G71,2)</f>
        <v>2700.6</v>
      </c>
      <c r="G21" s="16">
        <f>ROUND('[4]February 2024'!$G71,2)</f>
        <v>1228.74</v>
      </c>
      <c r="H21" s="55">
        <f>ROUND('[4]March 2024'!$G71,2)</f>
        <v>1091.75</v>
      </c>
      <c r="I21" s="154">
        <f>ROUND('[4]April 2024'!$G71,2)</f>
        <v>1160.4100000000001</v>
      </c>
      <c r="J21" s="116">
        <f>ROUND('PCR Cycle 2'!J29*$M21,2)</f>
        <v>1176.95</v>
      </c>
      <c r="K21" s="41">
        <f>ROUND('PCR Cycle 2'!K29*$M21,2)</f>
        <v>1302.94</v>
      </c>
      <c r="L21" s="61">
        <f>ROUND('PCR Cycle 2'!L29*$M21,2)</f>
        <v>1467.64</v>
      </c>
      <c r="M21" s="72">
        <v>2.0000000000000002E-5</v>
      </c>
      <c r="N21" s="4"/>
      <c r="O21" s="174">
        <f t="shared" si="4"/>
        <v>-3947.5300000000007</v>
      </c>
    </row>
    <row r="22" spans="1:16" x14ac:dyDescent="0.35">
      <c r="C22" s="67"/>
      <c r="D22" s="68"/>
      <c r="E22" s="68"/>
      <c r="F22" s="68"/>
      <c r="G22" s="67"/>
      <c r="H22" s="68"/>
      <c r="I22" s="156"/>
      <c r="J22" s="56"/>
      <c r="K22" s="56"/>
      <c r="L22" s="13"/>
      <c r="N22" s="4"/>
    </row>
    <row r="23" spans="1:16" x14ac:dyDescent="0.35">
      <c r="A23" s="46" t="s">
        <v>87</v>
      </c>
      <c r="C23" s="36"/>
      <c r="D23" s="37"/>
      <c r="E23" s="37"/>
      <c r="F23" s="37"/>
      <c r="G23" s="36"/>
      <c r="H23" s="37"/>
      <c r="I23" s="158"/>
      <c r="J23" s="52"/>
      <c r="K23" s="52"/>
      <c r="L23" s="38"/>
    </row>
    <row r="24" spans="1:16" x14ac:dyDescent="0.35">
      <c r="A24" s="46" t="s">
        <v>24</v>
      </c>
      <c r="C24" s="96">
        <v>4396.22</v>
      </c>
      <c r="D24" s="345">
        <f>ROUND(+'EO Cycle 2'!$F$50/24+'EO Cycle 2'!$F$60/24+'EO Cycle 2'!$F$70/24+'EO Cycle 2'!$F$80/24,2)</f>
        <v>-2198.11</v>
      </c>
      <c r="E24" s="345">
        <f>ROUND(+'EO Cycle 2'!$F$50/24+'EO Cycle 2'!$F$60/24+'EO Cycle 2'!$F$70/24+'EO Cycle 2'!$F$80/24,2)</f>
        <v>-2198.11</v>
      </c>
      <c r="F24" s="345">
        <f>ROUND(+'EO Cycle 2'!$F$50/24+'EO Cycle 2'!$F$60/24+'EO Cycle 2'!$F$70/24+'EO Cycle 2'!$F$80/24,2)</f>
        <v>-2198.11</v>
      </c>
      <c r="G24" s="16">
        <f>ROUND(+'EO Cycle 2'!$F$60/24+'EO Cycle 2'!$F$70/24+'EO Cycle 2'!$F$80/24,2)</f>
        <v>-1741.85</v>
      </c>
      <c r="H24" s="55">
        <f>ROUND(+'EO Cycle 2'!$F$60/24+'EO Cycle 2'!$F$70/24+'EO Cycle 2'!$F$80/24,2)</f>
        <v>-1741.85</v>
      </c>
      <c r="I24" s="154">
        <f>ROUND(+'EO Cycle 2'!$F$60/24+'EO Cycle 2'!$F$70/24+'EO Cycle 2'!$F$80/24,2)</f>
        <v>-1741.85</v>
      </c>
      <c r="J24" s="133">
        <f>ROUND(+'EO Cycle 2'!$F$60/24+'EO Cycle 2'!$F$70/24+'EO Cycle 2'!$F$80/24,2)</f>
        <v>-1741.85</v>
      </c>
      <c r="K24" s="133">
        <f>ROUND(+'EO Cycle 2'!$F$60/24+'EO Cycle 2'!$F$70/24+'EO Cycle 2'!$F$80/24,2)</f>
        <v>-1741.85</v>
      </c>
      <c r="L24" s="78"/>
      <c r="N24" s="47"/>
      <c r="O24" s="174">
        <f t="shared" ref="O24:O29" si="5">-SUM(J24:L24)</f>
        <v>3483.7</v>
      </c>
      <c r="P24" s="174"/>
    </row>
    <row r="25" spans="1:16" x14ac:dyDescent="0.35">
      <c r="A25" s="46" t="s">
        <v>132</v>
      </c>
      <c r="C25" s="96">
        <v>-140.80000000000001</v>
      </c>
      <c r="D25" s="345">
        <f>ROUND(+'EO Cycle 2'!$F54/24+'EO Cycle 2'!$F64/24+'EO Cycle 2'!$F74/24+'EO Cycle 2'!$F84/24,2)</f>
        <v>70.400000000000006</v>
      </c>
      <c r="E25" s="345">
        <f>ROUND(+'EO Cycle 2'!$F54/24+'EO Cycle 2'!$F64/24+'EO Cycle 2'!$F74/24+'EO Cycle 2'!$F84/24,2)</f>
        <v>70.400000000000006</v>
      </c>
      <c r="F25" s="345">
        <f>ROUND(+'EO Cycle 2'!$F54/24+'EO Cycle 2'!$F64/24+'EO Cycle 2'!$F74/24+'EO Cycle 2'!$F84/24,2)</f>
        <v>70.400000000000006</v>
      </c>
      <c r="G25" s="16">
        <f>ROUND(+'EO Cycle 2'!$F64/24+'EO Cycle 2'!$F74/24+'EO Cycle 2'!$F84/24,2)</f>
        <v>34.15</v>
      </c>
      <c r="H25" s="55">
        <f>ROUND(+'EO Cycle 2'!$F64/24+'EO Cycle 2'!$F74/24+'EO Cycle 2'!$F84/24,2)</f>
        <v>34.15</v>
      </c>
      <c r="I25" s="154">
        <f>ROUND(+'EO Cycle 2'!$F64/24+'EO Cycle 2'!$F74/24+'EO Cycle 2'!$F84/24,2)</f>
        <v>34.15</v>
      </c>
      <c r="J25" s="133">
        <f>ROUND(+'EO Cycle 2'!$F64/24+'EO Cycle 2'!$F74/24+'EO Cycle 2'!$F84/24,2)</f>
        <v>34.15</v>
      </c>
      <c r="K25" s="133">
        <f>ROUND(+'EO Cycle 2'!$F64/24+'EO Cycle 2'!$F74/24+'EO Cycle 2'!$F84/24,2)</f>
        <v>34.15</v>
      </c>
      <c r="L25" s="78"/>
      <c r="N25" s="47"/>
      <c r="O25" s="174">
        <f t="shared" si="5"/>
        <v>-68.3</v>
      </c>
      <c r="P25" s="174"/>
    </row>
    <row r="26" spans="1:16" x14ac:dyDescent="0.35">
      <c r="A26" s="46" t="s">
        <v>133</v>
      </c>
      <c r="C26" s="96">
        <v>-71.819999999999993</v>
      </c>
      <c r="D26" s="345">
        <f>ROUND(+'EO Cycle 2'!$F55/24+'EO Cycle 2'!$F65/24+'EO Cycle 2'!$F75/24+'EO Cycle 2'!$F85/24,2)</f>
        <v>35.909999999999997</v>
      </c>
      <c r="E26" s="345">
        <f>ROUND(+'EO Cycle 2'!$F55/24+'EO Cycle 2'!$F65/24+'EO Cycle 2'!$F75/24+'EO Cycle 2'!$F85/24,2)</f>
        <v>35.909999999999997</v>
      </c>
      <c r="F26" s="345">
        <f>ROUND(+'EO Cycle 2'!$F55/24+'EO Cycle 2'!$F65/24+'EO Cycle 2'!$F75/24+'EO Cycle 2'!$F85/24,2)</f>
        <v>35.909999999999997</v>
      </c>
      <c r="G26" s="16">
        <f>ROUND(+'EO Cycle 2'!$F65/24+'EO Cycle 2'!$F75/24+'EO Cycle 2'!$F85/24,2)</f>
        <v>-7.65</v>
      </c>
      <c r="H26" s="55">
        <f>ROUND(+'EO Cycle 2'!$F65/24+'EO Cycle 2'!$F75/24+'EO Cycle 2'!$F85/24,2)</f>
        <v>-7.65</v>
      </c>
      <c r="I26" s="154">
        <f>ROUND(+'EO Cycle 2'!$F65/24+'EO Cycle 2'!$F75/24+'EO Cycle 2'!$F85/24,2)</f>
        <v>-7.65</v>
      </c>
      <c r="J26" s="133">
        <f>ROUND(+'EO Cycle 2'!$F65/24+'EO Cycle 2'!$F75/24+'EO Cycle 2'!$F85/24,2)</f>
        <v>-7.65</v>
      </c>
      <c r="K26" s="133">
        <f>ROUND(+'EO Cycle 2'!$F65/24+'EO Cycle 2'!$F75/24+'EO Cycle 2'!$F85/24,2)</f>
        <v>-7.65</v>
      </c>
      <c r="L26" s="78"/>
      <c r="N26" s="47"/>
      <c r="O26" s="174">
        <f t="shared" si="5"/>
        <v>15.3</v>
      </c>
      <c r="P26" s="174"/>
    </row>
    <row r="27" spans="1:16" x14ac:dyDescent="0.35">
      <c r="A27" s="46" t="s">
        <v>134</v>
      </c>
      <c r="C27" s="96">
        <v>42.98</v>
      </c>
      <c r="D27" s="345">
        <f>ROUND(+'EO Cycle 2'!$F56/24+'EO Cycle 2'!$F66/24+'EO Cycle 2'!$F76/24+'EO Cycle 2'!$F86/24,2)</f>
        <v>-21.49</v>
      </c>
      <c r="E27" s="345">
        <f>ROUND(+'EO Cycle 2'!$F56/24+'EO Cycle 2'!$F66/24+'EO Cycle 2'!$F76/24+'EO Cycle 2'!$F86/24,2)</f>
        <v>-21.49</v>
      </c>
      <c r="F27" s="345">
        <f>ROUND(+'EO Cycle 2'!$F56/24+'EO Cycle 2'!$F66/24+'EO Cycle 2'!$F76/24+'EO Cycle 2'!$F86/24,2)</f>
        <v>-21.49</v>
      </c>
      <c r="G27" s="16">
        <f>ROUND(+'EO Cycle 2'!$F66/24+'EO Cycle 2'!$F76/24+'EO Cycle 2'!$F86/24,2)</f>
        <v>-24.57</v>
      </c>
      <c r="H27" s="55">
        <f>ROUND(+'EO Cycle 2'!$F66/24+'EO Cycle 2'!$F76/24+'EO Cycle 2'!$F86/24,2)</f>
        <v>-24.57</v>
      </c>
      <c r="I27" s="154">
        <f>ROUND(+'EO Cycle 2'!$F66/24+'EO Cycle 2'!$F76/24+'EO Cycle 2'!$F86/24,2)</f>
        <v>-24.57</v>
      </c>
      <c r="J27" s="133">
        <f>ROUND(+'EO Cycle 2'!$F66/24+'EO Cycle 2'!$F76/24+'EO Cycle 2'!$F86/24,2)</f>
        <v>-24.57</v>
      </c>
      <c r="K27" s="133">
        <f>ROUND(+'EO Cycle 2'!$F66/24+'EO Cycle 2'!$F76/24+'EO Cycle 2'!$F86/24,2)</f>
        <v>-24.57</v>
      </c>
      <c r="L27" s="78"/>
      <c r="N27" s="47"/>
      <c r="O27" s="174">
        <f t="shared" si="5"/>
        <v>49.14</v>
      </c>
      <c r="P27" s="174"/>
    </row>
    <row r="28" spans="1:16" x14ac:dyDescent="0.35">
      <c r="C28" s="98"/>
      <c r="D28" s="18"/>
      <c r="E28" s="18"/>
      <c r="F28" s="18"/>
      <c r="G28" s="90"/>
      <c r="H28" s="18"/>
      <c r="I28" s="155"/>
      <c r="J28" s="56"/>
      <c r="K28" s="56"/>
      <c r="L28" s="13"/>
    </row>
    <row r="29" spans="1:16" ht="15" thickBot="1" x14ac:dyDescent="0.4">
      <c r="A29" s="3" t="s">
        <v>14</v>
      </c>
      <c r="B29" s="3"/>
      <c r="C29" s="100">
        <v>-781.43000000000006</v>
      </c>
      <c r="D29" s="126">
        <f>420.02+3.58</f>
        <v>423.59999999999997</v>
      </c>
      <c r="E29" s="126">
        <f>348.12+3.55</f>
        <v>351.67</v>
      </c>
      <c r="F29" s="127">
        <f>280.05+3.54</f>
        <v>283.59000000000003</v>
      </c>
      <c r="G29" s="26">
        <f>239.61+3.55</f>
        <v>243.16000000000003</v>
      </c>
      <c r="H29" s="115">
        <f>225.59+3.59</f>
        <v>229.18</v>
      </c>
      <c r="I29" s="159">
        <f>202.39+3.59</f>
        <v>205.98</v>
      </c>
      <c r="J29" s="150">
        <f>ROUND((SUM(I38:I41)+SUM(I45:I48)+SUM(J32:J35)/2)*J$43,2)</f>
        <v>180.46</v>
      </c>
      <c r="K29" s="135">
        <f>ROUND((SUM(J38:J41)+SUM(J45:J48)+SUM(K32:K35)/2)*K$43,2)</f>
        <v>159.22</v>
      </c>
      <c r="L29" s="81"/>
      <c r="O29" s="174">
        <f t="shared" si="5"/>
        <v>-339.68</v>
      </c>
    </row>
    <row r="30" spans="1:16" x14ac:dyDescent="0.35">
      <c r="C30" s="64"/>
      <c r="D30" s="139"/>
      <c r="E30" s="139"/>
      <c r="F30" s="140"/>
      <c r="G30" s="64"/>
      <c r="H30" s="33"/>
      <c r="I30" s="160"/>
      <c r="J30" s="34"/>
      <c r="K30" s="34"/>
      <c r="L30" s="60"/>
    </row>
    <row r="31" spans="1:16" x14ac:dyDescent="0.35">
      <c r="A31" s="46" t="s">
        <v>51</v>
      </c>
      <c r="C31" s="65"/>
      <c r="D31" s="140"/>
      <c r="E31" s="140"/>
      <c r="F31" s="140"/>
      <c r="G31" s="65"/>
      <c r="H31" s="35"/>
      <c r="I31" s="161"/>
      <c r="J31" s="34"/>
      <c r="K31" s="34"/>
      <c r="L31" s="60"/>
    </row>
    <row r="32" spans="1:16" x14ac:dyDescent="0.35">
      <c r="A32" s="46" t="s">
        <v>24</v>
      </c>
      <c r="C32" s="99">
        <f t="shared" ref="C32:L32" si="6">C24-C18</f>
        <v>-5140.3599999999997</v>
      </c>
      <c r="D32" s="41">
        <f t="shared" si="6"/>
        <v>-52.170000000000073</v>
      </c>
      <c r="E32" s="41">
        <f t="shared" si="6"/>
        <v>661.15999999999985</v>
      </c>
      <c r="F32" s="105">
        <f t="shared" si="6"/>
        <v>1577.81</v>
      </c>
      <c r="G32" s="40">
        <f t="shared" si="6"/>
        <v>5247.2800000000007</v>
      </c>
      <c r="H32" s="41">
        <f t="shared" si="6"/>
        <v>3092.5899999999997</v>
      </c>
      <c r="I32" s="61">
        <f t="shared" si="6"/>
        <v>2653.7000000000003</v>
      </c>
      <c r="J32" s="116">
        <f t="shared" si="6"/>
        <v>2584.31</v>
      </c>
      <c r="K32" s="41">
        <f t="shared" si="6"/>
        <v>3658.77</v>
      </c>
      <c r="L32" s="61">
        <f t="shared" si="6"/>
        <v>7559.36</v>
      </c>
    </row>
    <row r="33" spans="1:15" x14ac:dyDescent="0.35">
      <c r="A33" s="46" t="s">
        <v>132</v>
      </c>
      <c r="C33" s="99">
        <f t="shared" ref="C33:L33" si="7">C25-C19</f>
        <v>15264.63</v>
      </c>
      <c r="D33" s="41">
        <f t="shared" si="7"/>
        <v>-4848.1100000000006</v>
      </c>
      <c r="E33" s="41">
        <f t="shared" si="7"/>
        <v>-4718.3100000000004</v>
      </c>
      <c r="F33" s="105">
        <f t="shared" si="7"/>
        <v>-6543.89</v>
      </c>
      <c r="G33" s="40">
        <f t="shared" si="7"/>
        <v>-3578.75</v>
      </c>
      <c r="H33" s="41">
        <f t="shared" si="7"/>
        <v>-2787.66</v>
      </c>
      <c r="I33" s="61">
        <f t="shared" si="7"/>
        <v>-2786.88</v>
      </c>
      <c r="J33" s="116">
        <f t="shared" si="7"/>
        <v>-3004.89</v>
      </c>
      <c r="K33" s="41">
        <f t="shared" si="7"/>
        <v>-3330.23</v>
      </c>
      <c r="L33" s="61">
        <f t="shared" si="7"/>
        <v>-3789.64</v>
      </c>
    </row>
    <row r="34" spans="1:15" x14ac:dyDescent="0.35">
      <c r="A34" s="46" t="s">
        <v>133</v>
      </c>
      <c r="C34" s="99">
        <f t="shared" ref="C34:L34" si="8">C26-C20</f>
        <v>16435.89</v>
      </c>
      <c r="D34" s="41">
        <f t="shared" si="8"/>
        <v>-5051.13</v>
      </c>
      <c r="E34" s="41">
        <f t="shared" si="8"/>
        <v>-6015.87</v>
      </c>
      <c r="F34" s="105">
        <f t="shared" si="8"/>
        <v>-5149.37</v>
      </c>
      <c r="G34" s="40">
        <f t="shared" si="8"/>
        <v>-2713.9900000000002</v>
      </c>
      <c r="H34" s="41">
        <f t="shared" si="8"/>
        <v>-2551.46</v>
      </c>
      <c r="I34" s="61">
        <f t="shared" si="8"/>
        <v>-4202.7</v>
      </c>
      <c r="J34" s="116">
        <f t="shared" si="8"/>
        <v>-2625.88</v>
      </c>
      <c r="K34" s="41">
        <f t="shared" si="8"/>
        <v>-2906.1800000000003</v>
      </c>
      <c r="L34" s="61">
        <f t="shared" si="8"/>
        <v>-3264.9</v>
      </c>
    </row>
    <row r="35" spans="1:15" x14ac:dyDescent="0.35">
      <c r="A35" s="46" t="s">
        <v>134</v>
      </c>
      <c r="C35" s="99">
        <f t="shared" ref="C35:L35" si="9">C27-C21</f>
        <v>7405.75</v>
      </c>
      <c r="D35" s="41">
        <f t="shared" si="9"/>
        <v>-2373.39</v>
      </c>
      <c r="E35" s="41">
        <f t="shared" si="9"/>
        <v>-2330.9799999999996</v>
      </c>
      <c r="F35" s="105">
        <f t="shared" si="9"/>
        <v>-2722.0899999999997</v>
      </c>
      <c r="G35" s="40">
        <f t="shared" si="9"/>
        <v>-1253.31</v>
      </c>
      <c r="H35" s="41">
        <f t="shared" si="9"/>
        <v>-1116.32</v>
      </c>
      <c r="I35" s="61">
        <f t="shared" si="9"/>
        <v>-1184.98</v>
      </c>
      <c r="J35" s="116">
        <f t="shared" si="9"/>
        <v>-1201.52</v>
      </c>
      <c r="K35" s="41">
        <f t="shared" si="9"/>
        <v>-1327.51</v>
      </c>
      <c r="L35" s="61">
        <f t="shared" si="9"/>
        <v>-1467.64</v>
      </c>
    </row>
    <row r="36" spans="1:15" x14ac:dyDescent="0.35">
      <c r="C36" s="98"/>
      <c r="D36" s="17"/>
      <c r="E36" s="17"/>
      <c r="F36" s="17"/>
      <c r="G36" s="10"/>
      <c r="H36" s="17"/>
      <c r="I36" s="11"/>
      <c r="J36" s="17"/>
      <c r="K36" s="17"/>
      <c r="L36" s="11"/>
    </row>
    <row r="37" spans="1:15" ht="15" thickBot="1" x14ac:dyDescent="0.4">
      <c r="A37" s="46" t="s">
        <v>52</v>
      </c>
      <c r="C37" s="98"/>
      <c r="D37" s="17"/>
      <c r="E37" s="17"/>
      <c r="F37" s="17"/>
      <c r="G37" s="10"/>
      <c r="H37" s="17"/>
      <c r="I37" s="11"/>
      <c r="J37" s="17"/>
      <c r="K37" s="17"/>
      <c r="L37" s="11"/>
    </row>
    <row r="38" spans="1:15" x14ac:dyDescent="0.35">
      <c r="A38" s="46" t="s">
        <v>24</v>
      </c>
      <c r="B38" s="310">
        <v>-34204.212180000191</v>
      </c>
      <c r="C38" s="99">
        <f t="shared" ref="C38:L38" si="10">B38+C32+B45</f>
        <v>-39344.572180000192</v>
      </c>
      <c r="D38" s="41">
        <f t="shared" si="10"/>
        <v>-38966.202180000189</v>
      </c>
      <c r="E38" s="41">
        <f t="shared" si="10"/>
        <v>-38521.88218000019</v>
      </c>
      <c r="F38" s="105">
        <f t="shared" si="10"/>
        <v>-37157.13218000019</v>
      </c>
      <c r="G38" s="40">
        <f t="shared" si="10"/>
        <v>-32117.362180000189</v>
      </c>
      <c r="H38" s="41">
        <f t="shared" si="10"/>
        <v>-29214.29218000019</v>
      </c>
      <c r="I38" s="61">
        <f t="shared" si="10"/>
        <v>-26728.49218000019</v>
      </c>
      <c r="J38" s="116">
        <f t="shared" si="10"/>
        <v>-24297.162180000189</v>
      </c>
      <c r="K38" s="41">
        <f t="shared" si="10"/>
        <v>-20777.922180000187</v>
      </c>
      <c r="L38" s="61">
        <f t="shared" si="10"/>
        <v>-13341.832180000187</v>
      </c>
    </row>
    <row r="39" spans="1:15" x14ac:dyDescent="0.35">
      <c r="A39" s="46" t="s">
        <v>132</v>
      </c>
      <c r="B39" s="317">
        <v>-471766.98639999982</v>
      </c>
      <c r="C39" s="99">
        <f t="shared" ref="C39:L39" si="11">B39+C33+B46</f>
        <v>-456502.35639999982</v>
      </c>
      <c r="D39" s="41">
        <f t="shared" si="11"/>
        <v>-456254.67639999982</v>
      </c>
      <c r="E39" s="41">
        <f t="shared" si="11"/>
        <v>-463500.19639999984</v>
      </c>
      <c r="F39" s="105">
        <f t="shared" si="11"/>
        <v>-472572.88639999984</v>
      </c>
      <c r="G39" s="40">
        <f t="shared" si="11"/>
        <v>-478717.98639999982</v>
      </c>
      <c r="H39" s="41">
        <f t="shared" si="11"/>
        <v>-484107.39639999979</v>
      </c>
      <c r="I39" s="61">
        <f t="shared" si="11"/>
        <v>-489529.06639999978</v>
      </c>
      <c r="J39" s="116">
        <f t="shared" si="11"/>
        <v>-495195.64639999979</v>
      </c>
      <c r="K39" s="41">
        <f t="shared" si="11"/>
        <v>-501217.87639999978</v>
      </c>
      <c r="L39" s="61">
        <f t="shared" si="11"/>
        <v>-507731.4663999998</v>
      </c>
    </row>
    <row r="40" spans="1:15" x14ac:dyDescent="0.35">
      <c r="A40" s="46" t="s">
        <v>133</v>
      </c>
      <c r="B40" s="317">
        <v>417295.79496000009</v>
      </c>
      <c r="C40" s="99">
        <f t="shared" ref="C40:L40" si="12">B40+C34+B47</f>
        <v>433731.6849600001</v>
      </c>
      <c r="D40" s="41">
        <f t="shared" si="12"/>
        <v>423949.03496000008</v>
      </c>
      <c r="E40" s="41">
        <f t="shared" si="12"/>
        <v>420308.03496000008</v>
      </c>
      <c r="F40" s="105">
        <f t="shared" si="12"/>
        <v>417480.04496000009</v>
      </c>
      <c r="G40" s="40">
        <f t="shared" si="12"/>
        <v>417063.10496000008</v>
      </c>
      <c r="H40" s="41">
        <f t="shared" si="12"/>
        <v>416794.21496000007</v>
      </c>
      <c r="I40" s="61">
        <f t="shared" si="12"/>
        <v>414873.46496000007</v>
      </c>
      <c r="J40" s="116">
        <f t="shared" si="12"/>
        <v>414521.25496000005</v>
      </c>
      <c r="K40" s="41">
        <f t="shared" si="12"/>
        <v>413882.52496000007</v>
      </c>
      <c r="L40" s="61">
        <f t="shared" si="12"/>
        <v>412882.35496000003</v>
      </c>
    </row>
    <row r="41" spans="1:15" ht="15" thickBot="1" x14ac:dyDescent="0.4">
      <c r="A41" s="46" t="s">
        <v>134</v>
      </c>
      <c r="B41" s="311">
        <v>137722.3606000001</v>
      </c>
      <c r="C41" s="99">
        <f t="shared" ref="C41:L41" si="13">B41+C35+B48</f>
        <v>145128.1106000001</v>
      </c>
      <c r="D41" s="41">
        <f t="shared" si="13"/>
        <v>141178.4806000001</v>
      </c>
      <c r="E41" s="41">
        <f t="shared" si="13"/>
        <v>139640.28060000009</v>
      </c>
      <c r="F41" s="105">
        <f t="shared" si="13"/>
        <v>137690.34060000008</v>
      </c>
      <c r="G41" s="40">
        <f t="shared" si="13"/>
        <v>137197.43060000008</v>
      </c>
      <c r="H41" s="41">
        <f t="shared" si="13"/>
        <v>136832.97060000006</v>
      </c>
      <c r="I41" s="61">
        <f t="shared" si="13"/>
        <v>136397.91060000006</v>
      </c>
      <c r="J41" s="116">
        <f t="shared" si="13"/>
        <v>135943.37060000008</v>
      </c>
      <c r="K41" s="41">
        <f t="shared" si="13"/>
        <v>135360.40060000008</v>
      </c>
      <c r="L41" s="61">
        <f t="shared" si="13"/>
        <v>134634.47060000006</v>
      </c>
    </row>
    <row r="42" spans="1:15" x14ac:dyDescent="0.35">
      <c r="C42" s="98"/>
      <c r="D42" s="17"/>
      <c r="E42" s="17"/>
      <c r="F42" s="17"/>
      <c r="G42" s="10"/>
      <c r="H42" s="17"/>
      <c r="I42" s="11"/>
      <c r="J42" s="17"/>
      <c r="K42" s="17"/>
      <c r="L42" s="11"/>
    </row>
    <row r="43" spans="1:15" x14ac:dyDescent="0.35">
      <c r="A43" s="39" t="s">
        <v>86</v>
      </c>
      <c r="B43" s="39"/>
      <c r="C43" s="101"/>
      <c r="D43" s="323">
        <f>+'PCR Cycle 2'!D47</f>
        <v>5.5686099999999999E-3</v>
      </c>
      <c r="E43" s="323">
        <f>+'PCR Cycle 2'!E47</f>
        <v>5.4837899999999997E-3</v>
      </c>
      <c r="F43" s="323">
        <f>+'PCR Cycle 2'!F47</f>
        <v>5.4684599999999996E-3</v>
      </c>
      <c r="G43" s="324">
        <f>+'PCR Cycle 2'!G47</f>
        <v>5.4552200000000002E-3</v>
      </c>
      <c r="H43" s="323">
        <f>+'PCR Cycle 2'!H47</f>
        <v>5.4582900000000002E-3</v>
      </c>
      <c r="I43" s="325">
        <f>+'PCR Cycle 2'!I47</f>
        <v>5.45277E-3</v>
      </c>
      <c r="J43" s="323">
        <f>+'PCR Cycle 2'!J47</f>
        <v>5.45277E-3</v>
      </c>
      <c r="K43" s="323">
        <f>+'PCR Cycle 2'!K47</f>
        <v>5.45277E-3</v>
      </c>
      <c r="L43" s="84"/>
    </row>
    <row r="44" spans="1:15" x14ac:dyDescent="0.35">
      <c r="A44" s="39" t="s">
        <v>36</v>
      </c>
      <c r="B44" s="39"/>
      <c r="C44" s="103"/>
      <c r="D44" s="82"/>
      <c r="E44" s="82"/>
      <c r="F44" s="82"/>
      <c r="G44" s="83"/>
      <c r="H44" s="82"/>
      <c r="I44" s="84"/>
      <c r="J44" s="82"/>
      <c r="K44" s="82"/>
      <c r="L44" s="84"/>
    </row>
    <row r="45" spans="1:15" x14ac:dyDescent="0.35">
      <c r="A45" s="46" t="s">
        <v>24</v>
      </c>
      <c r="C45" s="329">
        <v>430.54</v>
      </c>
      <c r="D45" s="41">
        <f t="shared" ref="D45:L45" si="14">ROUND((C38+C45+D32/2)*D$43,2)</f>
        <v>-216.84</v>
      </c>
      <c r="E45" s="41">
        <f t="shared" si="14"/>
        <v>-213.06</v>
      </c>
      <c r="F45" s="105">
        <f t="shared" si="14"/>
        <v>-207.51</v>
      </c>
      <c r="G45" s="40">
        <f t="shared" si="14"/>
        <v>-189.52</v>
      </c>
      <c r="H45" s="116">
        <f t="shared" si="14"/>
        <v>-167.9</v>
      </c>
      <c r="I45" s="49">
        <f t="shared" si="14"/>
        <v>-152.97999999999999</v>
      </c>
      <c r="J45" s="151">
        <f t="shared" si="14"/>
        <v>-139.53</v>
      </c>
      <c r="K45" s="105">
        <f t="shared" si="14"/>
        <v>-123.27</v>
      </c>
      <c r="L45" s="61">
        <f t="shared" si="14"/>
        <v>0</v>
      </c>
      <c r="O45" s="174">
        <f t="shared" ref="O45:O48" si="15">-SUM(J45:L45)</f>
        <v>262.8</v>
      </c>
    </row>
    <row r="46" spans="1:15" x14ac:dyDescent="0.35">
      <c r="A46" s="46" t="s">
        <v>132</v>
      </c>
      <c r="C46" s="329">
        <v>5095.79</v>
      </c>
      <c r="D46" s="41">
        <f t="shared" ref="D46:L46" si="16">ROUND((C39+C46+D33/2)*D$43,2)</f>
        <v>-2527.21</v>
      </c>
      <c r="E46" s="41">
        <f t="shared" si="16"/>
        <v>-2528.8000000000002</v>
      </c>
      <c r="F46" s="105">
        <f t="shared" si="16"/>
        <v>-2566.35</v>
      </c>
      <c r="G46" s="40">
        <f t="shared" si="16"/>
        <v>-2601.75</v>
      </c>
      <c r="H46" s="116">
        <f t="shared" si="16"/>
        <v>-2634.79</v>
      </c>
      <c r="I46" s="49">
        <f t="shared" si="16"/>
        <v>-2661.69</v>
      </c>
      <c r="J46" s="151">
        <f t="shared" si="16"/>
        <v>-2692</v>
      </c>
      <c r="K46" s="105">
        <f t="shared" si="16"/>
        <v>-2723.95</v>
      </c>
      <c r="L46" s="61">
        <f t="shared" si="16"/>
        <v>0</v>
      </c>
      <c r="O46" s="174">
        <f t="shared" si="15"/>
        <v>5415.95</v>
      </c>
    </row>
    <row r="47" spans="1:15" x14ac:dyDescent="0.35">
      <c r="A47" s="46" t="s">
        <v>133</v>
      </c>
      <c r="C47" s="329">
        <v>-4731.5200000000004</v>
      </c>
      <c r="D47" s="41">
        <f t="shared" ref="D47:L47" si="17">ROUND((C40+C47+D34/2)*D$43,2)</f>
        <v>2374.87</v>
      </c>
      <c r="E47" s="41">
        <f t="shared" si="17"/>
        <v>2321.38</v>
      </c>
      <c r="F47" s="105">
        <f t="shared" si="17"/>
        <v>2297.0500000000002</v>
      </c>
      <c r="G47" s="40">
        <f t="shared" si="17"/>
        <v>2282.5700000000002</v>
      </c>
      <c r="H47" s="116">
        <f t="shared" si="17"/>
        <v>2281.9499999999998</v>
      </c>
      <c r="I47" s="49">
        <f t="shared" si="17"/>
        <v>2273.67</v>
      </c>
      <c r="J47" s="151">
        <f t="shared" si="17"/>
        <v>2267.4499999999998</v>
      </c>
      <c r="K47" s="105">
        <f t="shared" si="17"/>
        <v>2264.73</v>
      </c>
      <c r="L47" s="61">
        <f t="shared" si="17"/>
        <v>0</v>
      </c>
      <c r="O47" s="174">
        <f t="shared" si="15"/>
        <v>-4532.18</v>
      </c>
    </row>
    <row r="48" spans="1:15" ht="15" thickBot="1" x14ac:dyDescent="0.4">
      <c r="A48" s="46" t="s">
        <v>134</v>
      </c>
      <c r="C48" s="329">
        <v>-1576.24</v>
      </c>
      <c r="D48" s="41">
        <f t="shared" ref="D48:L48" si="18">ROUND((C41+C48+D35/2)*D$43,2)</f>
        <v>792.78</v>
      </c>
      <c r="E48" s="41">
        <f t="shared" si="18"/>
        <v>772.15</v>
      </c>
      <c r="F48" s="105">
        <f t="shared" si="18"/>
        <v>760.4</v>
      </c>
      <c r="G48" s="40">
        <f t="shared" si="18"/>
        <v>751.86</v>
      </c>
      <c r="H48" s="116">
        <f t="shared" si="18"/>
        <v>749.92</v>
      </c>
      <c r="I48" s="49">
        <f t="shared" si="18"/>
        <v>746.98</v>
      </c>
      <c r="J48" s="151">
        <f t="shared" si="18"/>
        <v>744.54</v>
      </c>
      <c r="K48" s="105">
        <f t="shared" si="18"/>
        <v>741.71</v>
      </c>
      <c r="L48" s="61">
        <f t="shared" si="18"/>
        <v>0</v>
      </c>
      <c r="O48" s="174">
        <f t="shared" si="15"/>
        <v>-1486.25</v>
      </c>
    </row>
    <row r="49" spans="1:12" ht="15.5" thickTop="1" thickBot="1" x14ac:dyDescent="0.4">
      <c r="A49" s="54" t="s">
        <v>22</v>
      </c>
      <c r="B49" s="54"/>
      <c r="C49" s="104">
        <v>0</v>
      </c>
      <c r="D49" s="42">
        <f t="shared" ref="D49:L49" si="19">SUM(D45:D48)+SUM(D38:D41)-D52</f>
        <v>0</v>
      </c>
      <c r="E49" s="42">
        <f t="shared" si="19"/>
        <v>0</v>
      </c>
      <c r="F49" s="50">
        <f t="shared" si="19"/>
        <v>0</v>
      </c>
      <c r="G49" s="137">
        <f t="shared" si="19"/>
        <v>0</v>
      </c>
      <c r="H49" s="50">
        <f t="shared" si="19"/>
        <v>0</v>
      </c>
      <c r="I49" s="62">
        <f t="shared" si="19"/>
        <v>0</v>
      </c>
      <c r="J49" s="152">
        <f t="shared" si="19"/>
        <v>0</v>
      </c>
      <c r="K49" s="50">
        <f t="shared" si="19"/>
        <v>4.7293724492192268E-11</v>
      </c>
      <c r="L49" s="62">
        <f t="shared" si="19"/>
        <v>-7.6397554948925972E-11</v>
      </c>
    </row>
    <row r="50" spans="1:12" ht="15.5" thickTop="1" thickBot="1" x14ac:dyDescent="0.4">
      <c r="A50" s="54" t="s">
        <v>23</v>
      </c>
      <c r="B50" s="54"/>
      <c r="C50" s="104">
        <v>0</v>
      </c>
      <c r="D50" s="42">
        <f t="shared" ref="D50:L50" si="20">SUM(D45:D48)-D29</f>
        <v>0</v>
      </c>
      <c r="E50" s="42">
        <f t="shared" si="20"/>
        <v>0</v>
      </c>
      <c r="F50" s="50">
        <f t="shared" si="20"/>
        <v>4.5474735088646412E-13</v>
      </c>
      <c r="G50" s="137">
        <f t="shared" si="20"/>
        <v>0</v>
      </c>
      <c r="H50" s="50">
        <f t="shared" si="20"/>
        <v>-2.8421709430404007E-13</v>
      </c>
      <c r="I50" s="62">
        <f t="shared" si="20"/>
        <v>0</v>
      </c>
      <c r="J50" s="153">
        <f t="shared" si="20"/>
        <v>-4.2632564145606011E-13</v>
      </c>
      <c r="K50" s="42">
        <f t="shared" si="20"/>
        <v>2.5579538487363607E-13</v>
      </c>
      <c r="L50" s="42">
        <f t="shared" si="20"/>
        <v>0</v>
      </c>
    </row>
    <row r="51" spans="1:12" ht="15.5" thickTop="1" thickBot="1" x14ac:dyDescent="0.4">
      <c r="C51" s="98"/>
      <c r="D51" s="17"/>
      <c r="E51" s="17"/>
      <c r="F51" s="17"/>
      <c r="G51" s="10"/>
      <c r="H51" s="17"/>
      <c r="I51" s="11"/>
      <c r="J51" s="17"/>
      <c r="K51" s="17"/>
      <c r="L51" s="11"/>
    </row>
    <row r="52" spans="1:12" ht="15" thickBot="1" x14ac:dyDescent="0.4">
      <c r="A52" s="46" t="s">
        <v>35</v>
      </c>
      <c r="B52" s="113">
        <f>SUM(B38:B41)</f>
        <v>49046.956980000163</v>
      </c>
      <c r="C52" s="99">
        <f t="shared" ref="C52:L52" si="21">(C15-SUM(C18:C21))+SUM(C45:C48)+B52</f>
        <v>82231.436980000159</v>
      </c>
      <c r="D52" s="41">
        <f t="shared" si="21"/>
        <v>70330.236980000162</v>
      </c>
      <c r="E52" s="41">
        <f t="shared" si="21"/>
        <v>58277.90698000016</v>
      </c>
      <c r="F52" s="105">
        <f t="shared" si="21"/>
        <v>45723.956980000163</v>
      </c>
      <c r="G52" s="40">
        <f t="shared" si="21"/>
        <v>43668.346980000162</v>
      </c>
      <c r="H52" s="41">
        <f t="shared" si="21"/>
        <v>40534.676980000164</v>
      </c>
      <c r="I52" s="61">
        <f t="shared" si="21"/>
        <v>35219.796980000159</v>
      </c>
      <c r="J52" s="151">
        <f t="shared" si="21"/>
        <v>31152.276980000159</v>
      </c>
      <c r="K52" s="105">
        <f t="shared" si="21"/>
        <v>27406.346980000159</v>
      </c>
      <c r="L52" s="61">
        <f t="shared" si="21"/>
        <v>26443.526980000159</v>
      </c>
    </row>
    <row r="53" spans="1:12" x14ac:dyDescent="0.35">
      <c r="A53" s="46" t="s">
        <v>12</v>
      </c>
      <c r="C53" s="114"/>
      <c r="D53" s="17"/>
      <c r="E53" s="17"/>
      <c r="F53" s="17"/>
      <c r="G53" s="10"/>
      <c r="H53" s="17"/>
      <c r="I53" s="11"/>
      <c r="J53" s="17"/>
      <c r="K53" s="17"/>
      <c r="L53" s="11"/>
    </row>
    <row r="54" spans="1:12" ht="15" thickBot="1" x14ac:dyDescent="0.4">
      <c r="A54" s="37"/>
      <c r="B54" s="37"/>
      <c r="C54" s="138"/>
      <c r="D54" s="44"/>
      <c r="E54" s="44"/>
      <c r="F54" s="44"/>
      <c r="G54" s="43"/>
      <c r="H54" s="44"/>
      <c r="I54" s="45"/>
      <c r="J54" s="44"/>
      <c r="K54" s="44"/>
      <c r="L54" s="45"/>
    </row>
    <row r="56" spans="1:12" x14ac:dyDescent="0.35">
      <c r="A56" s="69" t="s">
        <v>11</v>
      </c>
      <c r="B56" s="69"/>
      <c r="C56" s="69"/>
    </row>
    <row r="57" spans="1:12" ht="31.5" customHeight="1" x14ac:dyDescent="0.35">
      <c r="A57" s="368" t="s">
        <v>153</v>
      </c>
      <c r="B57" s="368"/>
      <c r="C57" s="368"/>
      <c r="D57" s="368"/>
      <c r="E57" s="368"/>
      <c r="F57" s="368"/>
      <c r="G57" s="368"/>
      <c r="H57" s="368"/>
      <c r="I57" s="368"/>
      <c r="J57" s="217"/>
      <c r="K57" s="217"/>
      <c r="L57" s="217"/>
    </row>
    <row r="58" spans="1:12" ht="57" customHeight="1" x14ac:dyDescent="0.35">
      <c r="A58" s="368" t="s">
        <v>300</v>
      </c>
      <c r="B58" s="369"/>
      <c r="C58" s="369"/>
      <c r="D58" s="369"/>
      <c r="E58" s="369"/>
      <c r="F58" s="369"/>
      <c r="G58" s="369"/>
      <c r="H58" s="369"/>
      <c r="I58" s="369"/>
      <c r="J58" s="217"/>
      <c r="K58" s="217"/>
    </row>
    <row r="59" spans="1:12" ht="18.75" customHeight="1" x14ac:dyDescent="0.35">
      <c r="A59" s="368" t="s">
        <v>182</v>
      </c>
      <c r="B59" s="368"/>
      <c r="C59" s="368"/>
      <c r="D59" s="368"/>
      <c r="E59" s="368"/>
      <c r="F59" s="368"/>
      <c r="G59" s="368"/>
      <c r="H59" s="368"/>
      <c r="I59" s="368"/>
      <c r="J59" s="217"/>
      <c r="K59" s="217"/>
      <c r="L59" s="217"/>
    </row>
    <row r="60" spans="1:12" x14ac:dyDescent="0.35">
      <c r="A60" s="368" t="s">
        <v>304</v>
      </c>
      <c r="B60" s="369"/>
      <c r="C60" s="369"/>
      <c r="D60" s="369"/>
      <c r="E60" s="369"/>
      <c r="F60" s="369"/>
      <c r="G60" s="369"/>
      <c r="H60" s="369"/>
      <c r="I60" s="369"/>
    </row>
    <row r="61" spans="1:12" x14ac:dyDescent="0.35">
      <c r="A61" s="63" t="s">
        <v>286</v>
      </c>
      <c r="B61" s="63"/>
      <c r="C61" s="63"/>
      <c r="D61" s="39"/>
      <c r="E61" s="39"/>
      <c r="F61" s="39"/>
      <c r="G61" s="39"/>
      <c r="H61" s="39"/>
      <c r="I61" s="39"/>
    </row>
    <row r="62" spans="1:12" x14ac:dyDescent="0.35">
      <c r="A62" s="63" t="s">
        <v>93</v>
      </c>
      <c r="B62" s="63"/>
      <c r="C62" s="63"/>
      <c r="D62" s="39"/>
      <c r="E62" s="39"/>
      <c r="F62" s="39"/>
      <c r="G62" s="39"/>
      <c r="H62" s="39"/>
      <c r="I62" s="39"/>
    </row>
    <row r="63" spans="1:12" x14ac:dyDescent="0.35">
      <c r="A63" s="3" t="s">
        <v>178</v>
      </c>
      <c r="B63" s="3"/>
      <c r="C63" s="3"/>
    </row>
  </sheetData>
  <mergeCells count="7">
    <mergeCell ref="A60:I60"/>
    <mergeCell ref="A59:I59"/>
    <mergeCell ref="D13:F13"/>
    <mergeCell ref="G13:I13"/>
    <mergeCell ref="J13:L13"/>
    <mergeCell ref="A57:I57"/>
    <mergeCell ref="A58:I58"/>
  </mergeCells>
  <pageMargins left="0.2" right="0.2" top="0.75" bottom="0.25" header="0.3" footer="0.3"/>
  <pageSetup scale="57" orientation="landscape" r:id="rId1"/>
  <headerFooter>
    <oddHeader>&amp;C&amp;F &amp;A&amp;R&amp;"Arial"&amp;10&amp;K000000CONFIDENTIAL</oddHeader>
    <oddFooter xml:space="preserve">&amp;R_x000D_&amp;1#&amp;"Calibri"&amp;10&amp;KA80000 Restricted – Sensitive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D152-8B9E-41F1-8D17-EEF361E7FE19}">
  <sheetPr>
    <pageSetUpPr fitToPage="1"/>
  </sheetPr>
  <dimension ref="A1:AI60"/>
  <sheetViews>
    <sheetView zoomScale="85" zoomScaleNormal="85" workbookViewId="0">
      <selection activeCell="E10" sqref="E10"/>
    </sheetView>
  </sheetViews>
  <sheetFormatPr defaultColWidth="9.1796875" defaultRowHeight="14.5" outlineLevelCol="1" x14ac:dyDescent="0.35"/>
  <cols>
    <col min="1" max="1" width="37.7265625" style="46" customWidth="1"/>
    <col min="2" max="2" width="12.26953125" style="46" bestFit="1" customWidth="1"/>
    <col min="3" max="3" width="12.453125" style="46" bestFit="1" customWidth="1"/>
    <col min="4" max="4" width="15.453125" style="46" customWidth="1"/>
    <col min="5" max="5" width="15.81640625" style="46" bestFit="1" customWidth="1"/>
    <col min="6" max="6" width="12.26953125" style="46" bestFit="1" customWidth="1"/>
    <col min="7" max="8" width="13.26953125" style="46" bestFit="1" customWidth="1"/>
    <col min="9" max="9" width="12.26953125" style="46" bestFit="1" customWidth="1"/>
    <col min="10" max="10" width="12.54296875" style="46" customWidth="1"/>
    <col min="11" max="11" width="12.81640625" style="46" customWidth="1"/>
    <col min="12" max="12" width="16" style="46" customWidth="1"/>
    <col min="13" max="13" width="15" style="46" bestFit="1" customWidth="1"/>
    <col min="14" max="14" width="16" style="46" bestFit="1" customWidth="1"/>
    <col min="15" max="15" width="17.81640625" style="174" customWidth="1" outlineLevel="1"/>
    <col min="16" max="16" width="15.26953125" style="46" bestFit="1" customWidth="1"/>
    <col min="17" max="17" width="17.453125" style="46" bestFit="1" customWidth="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Missouri West, Inc. - DSIM Rider Update Filed 06/01/2024</v>
      </c>
      <c r="B1" s="3"/>
      <c r="C1" s="3"/>
    </row>
    <row r="2" spans="1:35" x14ac:dyDescent="0.35">
      <c r="D2" s="3" t="s">
        <v>162</v>
      </c>
    </row>
    <row r="3" spans="1:35" ht="29" x14ac:dyDescent="0.35">
      <c r="D3" s="48" t="s">
        <v>45</v>
      </c>
      <c r="E3" s="70" t="s">
        <v>57</v>
      </c>
      <c r="F3" s="48" t="s">
        <v>3</v>
      </c>
      <c r="G3" s="70" t="s">
        <v>54</v>
      </c>
      <c r="H3" s="48" t="s">
        <v>10</v>
      </c>
      <c r="I3" s="48" t="s">
        <v>58</v>
      </c>
      <c r="S3" s="48"/>
    </row>
    <row r="4" spans="1:35" x14ac:dyDescent="0.35">
      <c r="A4" s="20" t="s">
        <v>24</v>
      </c>
      <c r="B4" s="20"/>
      <c r="C4" s="20"/>
      <c r="D4" s="22">
        <f>SUM(C15:L15)</f>
        <v>1167973.04</v>
      </c>
      <c r="E4" s="22">
        <f>SUM(C21:K21)</f>
        <v>1575361.8299999998</v>
      </c>
      <c r="F4" s="22">
        <f>E4-D4</f>
        <v>407388.7899999998</v>
      </c>
      <c r="G4" s="22">
        <f>+B35</f>
        <v>15194.25999999992</v>
      </c>
      <c r="H4" s="22">
        <f>SUM(C42:K42)</f>
        <v>12903.07</v>
      </c>
      <c r="I4" s="25">
        <f>SUM(F4:H4)</f>
        <v>435486.1199999997</v>
      </c>
      <c r="J4" s="47">
        <f>+I4-L35</f>
        <v>-5.2386894822120667E-10</v>
      </c>
      <c r="M4" s="47"/>
    </row>
    <row r="5" spans="1:35" x14ac:dyDescent="0.35">
      <c r="A5" s="20" t="s">
        <v>105</v>
      </c>
      <c r="B5" s="20"/>
      <c r="C5" s="20"/>
      <c r="D5" s="22">
        <f t="shared" ref="D5:D7" si="0">SUM(C16:L16)</f>
        <v>205202.53</v>
      </c>
      <c r="E5" s="22">
        <f t="shared" ref="E5:E7" si="1">SUM(C22:K22)</f>
        <v>240388.01999999996</v>
      </c>
      <c r="F5" s="22">
        <f t="shared" ref="F5:F7" si="2">E5-D5</f>
        <v>35185.489999999962</v>
      </c>
      <c r="G5" s="22">
        <f t="shared" ref="G5:G7" si="3">+B36</f>
        <v>2305.4199999999914</v>
      </c>
      <c r="H5" s="22">
        <f t="shared" ref="H5:H7" si="4">SUM(C43:K43)</f>
        <v>1436.6100000000001</v>
      </c>
      <c r="I5" s="25">
        <f t="shared" ref="I5:I7" si="5">SUM(F5:H5)</f>
        <v>38927.519999999953</v>
      </c>
      <c r="J5" s="47">
        <f>+I5-L36</f>
        <v>0</v>
      </c>
      <c r="M5" s="47"/>
    </row>
    <row r="6" spans="1:35" x14ac:dyDescent="0.35">
      <c r="A6" s="20" t="s">
        <v>106</v>
      </c>
      <c r="B6" s="20"/>
      <c r="C6" s="20"/>
      <c r="D6" s="22">
        <f t="shared" si="0"/>
        <v>419191.27</v>
      </c>
      <c r="E6" s="22">
        <f t="shared" si="1"/>
        <v>519333.42</v>
      </c>
      <c r="F6" s="22">
        <f t="shared" si="2"/>
        <v>100142.14999999997</v>
      </c>
      <c r="G6" s="22">
        <f t="shared" si="3"/>
        <v>-10308.820000000014</v>
      </c>
      <c r="H6" s="22">
        <f t="shared" si="4"/>
        <v>3125.0199999999995</v>
      </c>
      <c r="I6" s="25">
        <f t="shared" si="5"/>
        <v>92958.349999999962</v>
      </c>
      <c r="J6" s="47">
        <f>+I6-L37</f>
        <v>0</v>
      </c>
      <c r="M6" s="47"/>
    </row>
    <row r="7" spans="1:35" ht="15" thickBot="1" x14ac:dyDescent="0.4">
      <c r="A7" s="20" t="s">
        <v>107</v>
      </c>
      <c r="B7" s="20"/>
      <c r="C7" s="20"/>
      <c r="D7" s="22">
        <f t="shared" si="0"/>
        <v>288032.78000000003</v>
      </c>
      <c r="E7" s="22">
        <f t="shared" si="1"/>
        <v>311749</v>
      </c>
      <c r="F7" s="22">
        <f t="shared" si="2"/>
        <v>23716.219999999972</v>
      </c>
      <c r="G7" s="22">
        <f t="shared" si="3"/>
        <v>25151.109999999986</v>
      </c>
      <c r="H7" s="22">
        <f t="shared" si="4"/>
        <v>2424.83</v>
      </c>
      <c r="I7" s="25">
        <f t="shared" si="5"/>
        <v>51292.15999999996</v>
      </c>
      <c r="J7" s="47">
        <f>+I7-L38</f>
        <v>0</v>
      </c>
      <c r="M7" s="47"/>
    </row>
    <row r="8" spans="1:35" ht="15.5" thickTop="1" thickBot="1" x14ac:dyDescent="0.4">
      <c r="D8" s="27">
        <f t="shared" ref="D8:I8" si="6">SUM(D4:D7)</f>
        <v>2080399.62</v>
      </c>
      <c r="E8" s="27">
        <f t="shared" si="6"/>
        <v>2646832.27</v>
      </c>
      <c r="F8" s="27">
        <f t="shared" si="6"/>
        <v>566432.64999999967</v>
      </c>
      <c r="G8" s="27">
        <f t="shared" si="6"/>
        <v>32341.969999999885</v>
      </c>
      <c r="H8" s="27">
        <f t="shared" si="6"/>
        <v>19889.53</v>
      </c>
      <c r="I8" s="27">
        <f t="shared" si="6"/>
        <v>618664.14999999956</v>
      </c>
      <c r="T8" s="5"/>
    </row>
    <row r="9" spans="1:35" ht="15.5" thickTop="1" thickBot="1" x14ac:dyDescent="0.4">
      <c r="V9" s="4"/>
      <c r="W9" s="5"/>
    </row>
    <row r="10" spans="1:35" ht="116.5" thickBot="1" x14ac:dyDescent="0.4">
      <c r="B10" s="112" t="str">
        <f>+'PCR Cycle 2'!B13</f>
        <v>Cumulative Over/Under Carryover From 12/01/2023 Filing</v>
      </c>
      <c r="C10" s="143" t="str">
        <f>+'PCR Cycle 2'!C13</f>
        <v>Reverse November 2023 - January 2024 Forecast From 12/01/2023 Filing</v>
      </c>
      <c r="D10" s="383" t="s">
        <v>32</v>
      </c>
      <c r="E10" s="373"/>
      <c r="F10" s="374"/>
      <c r="G10" s="380" t="s">
        <v>32</v>
      </c>
      <c r="H10" s="381"/>
      <c r="I10" s="382"/>
      <c r="J10" s="370" t="s">
        <v>8</v>
      </c>
      <c r="K10" s="371"/>
      <c r="L10" s="372"/>
      <c r="O10" s="280" t="s">
        <v>223</v>
      </c>
    </row>
    <row r="11" spans="1:35" x14ac:dyDescent="0.35">
      <c r="A11" s="46" t="s">
        <v>84</v>
      </c>
      <c r="C11" s="102"/>
      <c r="D11" s="19">
        <f>+'PCR Cycle 2'!D14</f>
        <v>45260</v>
      </c>
      <c r="E11" s="19">
        <f t="shared" ref="E11:L11" si="7">EOMONTH(D11,1)</f>
        <v>45291</v>
      </c>
      <c r="F11" s="19">
        <f t="shared" si="7"/>
        <v>45322</v>
      </c>
      <c r="G11" s="14">
        <f t="shared" si="7"/>
        <v>45351</v>
      </c>
      <c r="H11" s="19">
        <f t="shared" si="7"/>
        <v>45382</v>
      </c>
      <c r="I11" s="15">
        <f t="shared" si="7"/>
        <v>45412</v>
      </c>
      <c r="J11" s="19">
        <f t="shared" si="7"/>
        <v>45443</v>
      </c>
      <c r="K11" s="19">
        <f t="shared" si="7"/>
        <v>45473</v>
      </c>
      <c r="L11" s="15">
        <f t="shared" si="7"/>
        <v>45504</v>
      </c>
      <c r="Z11" s="1"/>
      <c r="AA11" s="1"/>
      <c r="AB11" s="1"/>
      <c r="AC11" s="1"/>
      <c r="AD11" s="1"/>
      <c r="AE11" s="1"/>
      <c r="AF11" s="1"/>
      <c r="AG11" s="1"/>
      <c r="AH11" s="1"/>
      <c r="AI11" s="1"/>
    </row>
    <row r="12" spans="1:35" x14ac:dyDescent="0.35">
      <c r="A12" s="46" t="s">
        <v>5</v>
      </c>
      <c r="C12" s="96">
        <v>-459889.64</v>
      </c>
      <c r="D12" s="106">
        <f t="shared" ref="D12:K12" si="8">SUM(D21:D24)</f>
        <v>229944.82</v>
      </c>
      <c r="E12" s="106">
        <f t="shared" si="8"/>
        <v>229944.82</v>
      </c>
      <c r="F12" s="107">
        <f t="shared" si="8"/>
        <v>229944.82</v>
      </c>
      <c r="G12" s="16">
        <f t="shared" si="8"/>
        <v>483377.49</v>
      </c>
      <c r="H12" s="55">
        <f t="shared" si="8"/>
        <v>483377.49</v>
      </c>
      <c r="I12" s="154">
        <f t="shared" si="8"/>
        <v>483377.49</v>
      </c>
      <c r="J12" s="147">
        <f t="shared" si="8"/>
        <v>483377.49</v>
      </c>
      <c r="K12" s="77">
        <f t="shared" si="8"/>
        <v>483377.49</v>
      </c>
      <c r="L12" s="78"/>
      <c r="O12" s="174">
        <f>-SUM(J12:L12)</f>
        <v>-966754.98</v>
      </c>
    </row>
    <row r="13" spans="1:35" x14ac:dyDescent="0.35">
      <c r="C13" s="98"/>
      <c r="D13" s="17"/>
      <c r="E13" s="17"/>
      <c r="F13" s="17"/>
      <c r="G13" s="10"/>
      <c r="H13" s="17"/>
      <c r="I13" s="11"/>
      <c r="J13" s="31"/>
      <c r="K13" s="31"/>
      <c r="L13" s="29"/>
    </row>
    <row r="14" spans="1:35" x14ac:dyDescent="0.35">
      <c r="A14" s="46" t="s">
        <v>85</v>
      </c>
      <c r="C14" s="98"/>
      <c r="D14" s="18"/>
      <c r="E14" s="18"/>
      <c r="F14" s="18"/>
      <c r="G14" s="90"/>
      <c r="H14" s="18"/>
      <c r="I14" s="155"/>
      <c r="J14" s="31"/>
      <c r="K14" s="31"/>
      <c r="L14" s="29"/>
      <c r="M14" s="3" t="s">
        <v>49</v>
      </c>
      <c r="N14" s="39"/>
    </row>
    <row r="15" spans="1:35" x14ac:dyDescent="0.35">
      <c r="A15" s="46" t="s">
        <v>24</v>
      </c>
      <c r="C15" s="96">
        <v>-467292.24</v>
      </c>
      <c r="D15" s="126">
        <f>ROUND('[4]November 2023'!$G104,2)</f>
        <v>105064.53</v>
      </c>
      <c r="E15" s="126">
        <f>ROUND('[4]December 2023'!$G104,2)</f>
        <v>140096.07999999999</v>
      </c>
      <c r="F15" s="126">
        <f>ROUND('[4]January 2024'!$G104,2)</f>
        <v>184989.42</v>
      </c>
      <c r="G15" s="16">
        <f>ROUND('[4]February 2024'!$G104,2)</f>
        <v>251594.51</v>
      </c>
      <c r="H15" s="55">
        <f>ROUND('[4]March 2024'!$G104,2)</f>
        <v>173328.75</v>
      </c>
      <c r="I15" s="154">
        <f>ROUND('[4]April 2024'!$G104,2)</f>
        <v>157891.09</v>
      </c>
      <c r="J15" s="116">
        <f>ROUND('PCR Cycle 2'!J26*$M15,2)</f>
        <v>155741.85999999999</v>
      </c>
      <c r="K15" s="41">
        <f>ROUND('PCR Cycle 2'!K26*$M15,2)</f>
        <v>194422.15</v>
      </c>
      <c r="L15" s="61">
        <f>ROUND('PCR Cycle 2'!L26*$M15,2)</f>
        <v>272136.89</v>
      </c>
      <c r="M15" s="72">
        <v>7.2000000000000005E-4</v>
      </c>
      <c r="N15" s="4"/>
      <c r="O15" s="174">
        <f t="shared" ref="O15:O18" si="9">-SUM(J15:L15)</f>
        <v>-622300.9</v>
      </c>
    </row>
    <row r="16" spans="1:35" x14ac:dyDescent="0.35">
      <c r="A16" s="46" t="s">
        <v>132</v>
      </c>
      <c r="C16" s="96">
        <v>-61621.729999999996</v>
      </c>
      <c r="D16" s="126">
        <f>ROUND('[4]November 2023'!$G105,2)</f>
        <v>19691.849999999999</v>
      </c>
      <c r="E16" s="126">
        <f>ROUND('[4]December 2023'!$G105,2)</f>
        <v>20945.75</v>
      </c>
      <c r="F16" s="126">
        <f>ROUND('[4]January 2024'!$G105,2)</f>
        <v>25038.29</v>
      </c>
      <c r="G16" s="16">
        <f>ROUND('[4]February 2024'!$G105,2)</f>
        <v>36510.949999999997</v>
      </c>
      <c r="H16" s="55">
        <f>ROUND('[4]March 2024'!$G105,2)</f>
        <v>30132.43</v>
      </c>
      <c r="I16" s="154">
        <f>ROUND('[4]April 2024'!$G105,2)</f>
        <v>29176.76</v>
      </c>
      <c r="J16" s="116">
        <f>ROUND('PCR Cycle 2'!J27*$M16,2)</f>
        <v>31403.38</v>
      </c>
      <c r="K16" s="41">
        <f>ROUND('PCR Cycle 2'!K27*$M16,2)</f>
        <v>34765.25</v>
      </c>
      <c r="L16" s="61">
        <f>ROUND('PCR Cycle 2'!L27*$M16,2)</f>
        <v>39159.599999999999</v>
      </c>
      <c r="M16" s="72">
        <v>3.1E-4</v>
      </c>
      <c r="N16" s="4"/>
      <c r="O16" s="174">
        <f t="shared" si="9"/>
        <v>-105328.23000000001</v>
      </c>
    </row>
    <row r="17" spans="1:15" x14ac:dyDescent="0.35">
      <c r="A17" s="46" t="s">
        <v>133</v>
      </c>
      <c r="C17" s="96">
        <v>-129310.39</v>
      </c>
      <c r="D17" s="126">
        <f>ROUND('[4]November 2023'!$G106,2)</f>
        <v>39924.910000000003</v>
      </c>
      <c r="E17" s="126">
        <f>ROUND('[4]December 2023'!$G106,2)</f>
        <v>43078.18</v>
      </c>
      <c r="F17" s="126">
        <f>ROUND('[4]January 2024'!$G106,2)</f>
        <v>44737.58</v>
      </c>
      <c r="G17" s="16">
        <f>ROUND('[4]February 2024'!$G106,2)</f>
        <v>68758.53</v>
      </c>
      <c r="H17" s="55">
        <f>ROUND('[4]March 2024'!$G106,2)</f>
        <v>64839.74</v>
      </c>
      <c r="I17" s="154">
        <f>ROUND('[4]April 2024'!$G106,2)</f>
        <v>64693.88</v>
      </c>
      <c r="J17" s="116">
        <f>ROUND('PCR Cycle 2'!J28*$M17,2)</f>
        <v>66328.600000000006</v>
      </c>
      <c r="K17" s="41">
        <f>ROUND('PCR Cycle 2'!K28*$M17,2)</f>
        <v>73429.36</v>
      </c>
      <c r="L17" s="61">
        <f>ROUND('PCR Cycle 2'!L28*$M17,2)</f>
        <v>82710.880000000005</v>
      </c>
      <c r="M17" s="72">
        <v>7.5999999999999993E-4</v>
      </c>
      <c r="N17" s="4"/>
      <c r="O17" s="174">
        <f t="shared" si="9"/>
        <v>-222468.84000000003</v>
      </c>
    </row>
    <row r="18" spans="1:15" x14ac:dyDescent="0.35">
      <c r="A18" s="46" t="s">
        <v>134</v>
      </c>
      <c r="C18" s="96">
        <v>-57061.49</v>
      </c>
      <c r="D18" s="126">
        <f>ROUND('[4]November 2023'!$G107,2)</f>
        <v>18262.21</v>
      </c>
      <c r="E18" s="126">
        <f>ROUND('[4]December 2023'!$G107,2)</f>
        <v>17923.97</v>
      </c>
      <c r="F18" s="126">
        <f>ROUND('[4]January 2024'!$G107,2)</f>
        <v>19011.98</v>
      </c>
      <c r="G18" s="16">
        <f>ROUND('[4]February 2024'!$G107,2)</f>
        <v>44287.28</v>
      </c>
      <c r="H18" s="55">
        <f>ROUND('[4]March 2024'!$G107,2)</f>
        <v>43807.34</v>
      </c>
      <c r="I18" s="154">
        <f>ROUND('[4]April 2024'!$G107,2)</f>
        <v>45874.33</v>
      </c>
      <c r="J18" s="116">
        <f>ROUND('PCR Cycle 2'!J29*$M18,2)</f>
        <v>46489.34</v>
      </c>
      <c r="K18" s="41">
        <f>ROUND('PCR Cycle 2'!K29*$M18,2)</f>
        <v>51466.23</v>
      </c>
      <c r="L18" s="61">
        <f>ROUND('PCR Cycle 2'!L29*$M18,2)</f>
        <v>57971.59</v>
      </c>
      <c r="M18" s="72">
        <v>7.9000000000000001E-4</v>
      </c>
      <c r="N18" s="4"/>
      <c r="O18" s="174">
        <f t="shared" si="9"/>
        <v>-155927.16</v>
      </c>
    </row>
    <row r="19" spans="1:15" x14ac:dyDescent="0.35">
      <c r="C19" s="67"/>
      <c r="D19" s="68"/>
      <c r="E19" s="68"/>
      <c r="F19" s="68"/>
      <c r="G19" s="67"/>
      <c r="H19" s="68"/>
      <c r="I19" s="156"/>
      <c r="J19" s="56"/>
      <c r="K19" s="56"/>
      <c r="L19" s="13"/>
      <c r="N19" s="4"/>
    </row>
    <row r="20" spans="1:15" x14ac:dyDescent="0.35">
      <c r="A20" s="46" t="s">
        <v>87</v>
      </c>
      <c r="C20" s="36"/>
      <c r="D20" s="37"/>
      <c r="E20" s="37"/>
      <c r="F20" s="37"/>
      <c r="G20" s="36"/>
      <c r="H20" s="37"/>
      <c r="I20" s="158"/>
      <c r="J20" s="52"/>
      <c r="K20" s="52"/>
      <c r="L20" s="38"/>
    </row>
    <row r="21" spans="1:15" x14ac:dyDescent="0.35">
      <c r="A21" s="46" t="s">
        <v>24</v>
      </c>
      <c r="C21" s="96">
        <v>-294009.06</v>
      </c>
      <c r="D21" s="106">
        <f>ROUND((+'EO Cycle 3'!$F40/12+'EO Cycle 3'!$F62/12),2)</f>
        <v>147004.53</v>
      </c>
      <c r="E21" s="106">
        <f>ROUND((+'EO Cycle 3'!$F40/12+'EO Cycle 3'!$F62/12),2)</f>
        <v>147004.53</v>
      </c>
      <c r="F21" s="106">
        <f>ROUND((+'EO Cycle 3'!$F40/12+'EO Cycle 3'!$F62/12),2)</f>
        <v>147004.53</v>
      </c>
      <c r="G21" s="16">
        <f>ROUND((+'EO Cycle 3'!$F51/12+'EO Cycle 3'!$F62/12+'EO Cycle 3'!$F73/12),2)</f>
        <v>285671.46000000002</v>
      </c>
      <c r="H21" s="55">
        <f>ROUND((+'EO Cycle 3'!$F51/12+'EO Cycle 3'!$F62/12+'EO Cycle 3'!$F73/12),2)</f>
        <v>285671.46000000002</v>
      </c>
      <c r="I21" s="154">
        <f>ROUND((+'EO Cycle 3'!$F51/12+'EO Cycle 3'!$F62/12+'EO Cycle 3'!$F73/12),2)</f>
        <v>285671.46000000002</v>
      </c>
      <c r="J21" s="133">
        <f>ROUND((+'EO Cycle 3'!$F51/12+'EO Cycle 3'!$F62/12+'EO Cycle 3'!$F73/12),2)</f>
        <v>285671.46000000002</v>
      </c>
      <c r="K21" s="133">
        <f>ROUND((+'EO Cycle 3'!$F51/12+'EO Cycle 3'!$F62/12+'EO Cycle 3'!$F73/12),2)</f>
        <v>285671.46000000002</v>
      </c>
      <c r="L21" s="78"/>
      <c r="O21" s="174">
        <f t="shared" ref="O21:O26" si="10">-SUM(J21:L21)</f>
        <v>-571342.92000000004</v>
      </c>
    </row>
    <row r="22" spans="1:15" x14ac:dyDescent="0.35">
      <c r="A22" s="46" t="s">
        <v>132</v>
      </c>
      <c r="C22" s="96">
        <v>-43651.839999999997</v>
      </c>
      <c r="D22" s="106">
        <f>ROUND((+'EO Cycle 3'!$F44/12+'EO Cycle 3'!$F66/12),2)</f>
        <v>21825.919999999998</v>
      </c>
      <c r="E22" s="106">
        <f>ROUND((+'EO Cycle 3'!$F44/12+'EO Cycle 3'!$F66/12),2)</f>
        <v>21825.919999999998</v>
      </c>
      <c r="F22" s="106">
        <f>ROUND((+'EO Cycle 3'!$F44/12+'EO Cycle 3'!$F66/12),2)</f>
        <v>21825.919999999998</v>
      </c>
      <c r="G22" s="16">
        <f>ROUND((+'EO Cycle 3'!$F55/12+'EO Cycle 3'!$F66/12+'EO Cycle 3'!$F77/12),2)</f>
        <v>43712.42</v>
      </c>
      <c r="H22" s="55">
        <f>ROUND((+'EO Cycle 3'!$F55/12+'EO Cycle 3'!$F66/12+'EO Cycle 3'!$F77/12),2)</f>
        <v>43712.42</v>
      </c>
      <c r="I22" s="154">
        <f>ROUND((+'EO Cycle 3'!$F55/12+'EO Cycle 3'!$F66/12+'EO Cycle 3'!$F77/12),2)</f>
        <v>43712.42</v>
      </c>
      <c r="J22" s="133">
        <f>ROUND((+'EO Cycle 3'!$F55/12+'EO Cycle 3'!$F66/12+'EO Cycle 3'!$F77/12),2)</f>
        <v>43712.42</v>
      </c>
      <c r="K22" s="133">
        <f>ROUND((+'EO Cycle 3'!$F55/12+'EO Cycle 3'!$F66/12+'EO Cycle 3'!$F77/12),2)</f>
        <v>43712.42</v>
      </c>
      <c r="L22" s="78"/>
      <c r="O22" s="174">
        <f t="shared" si="10"/>
        <v>-87424.84</v>
      </c>
    </row>
    <row r="23" spans="1:15" x14ac:dyDescent="0.35">
      <c r="A23" s="46" t="s">
        <v>133</v>
      </c>
      <c r="C23" s="96">
        <v>-87881.34</v>
      </c>
      <c r="D23" s="106">
        <f>ROUND((+'EO Cycle 3'!$F45/12+'EO Cycle 3'!$F67/12),2)</f>
        <v>43940.67</v>
      </c>
      <c r="E23" s="106">
        <f>ROUND((+'EO Cycle 3'!$F45/12+'EO Cycle 3'!$F67/12),2)</f>
        <v>43940.67</v>
      </c>
      <c r="F23" s="106">
        <f>ROUND((+'EO Cycle 3'!$F45/12+'EO Cycle 3'!$F67/12),2)</f>
        <v>43940.67</v>
      </c>
      <c r="G23" s="16">
        <f>ROUND((+'EO Cycle 3'!$F56/12+'EO Cycle 3'!$F67/12+'EO Cycle 3'!$F78/12),2)</f>
        <v>95078.55</v>
      </c>
      <c r="H23" s="55">
        <f>ROUND((+'EO Cycle 3'!$F56/12+'EO Cycle 3'!$F67/12+'EO Cycle 3'!$F78/12),2)</f>
        <v>95078.55</v>
      </c>
      <c r="I23" s="154">
        <f>ROUND((+'EO Cycle 3'!$F56/12+'EO Cycle 3'!$F67/12+'EO Cycle 3'!$F78/12),2)</f>
        <v>95078.55</v>
      </c>
      <c r="J23" s="133">
        <f>ROUND((+'EO Cycle 3'!$F56/12+'EO Cycle 3'!$F67/12+'EO Cycle 3'!$F78/12),2)</f>
        <v>95078.55</v>
      </c>
      <c r="K23" s="133">
        <f>ROUND((+'EO Cycle 3'!$F56/12+'EO Cycle 3'!$F67/12+'EO Cycle 3'!$F78/12),2)</f>
        <v>95078.55</v>
      </c>
      <c r="L23" s="78"/>
      <c r="O23" s="174">
        <f t="shared" si="10"/>
        <v>-190157.1</v>
      </c>
    </row>
    <row r="24" spans="1:15" x14ac:dyDescent="0.35">
      <c r="A24" s="46" t="s">
        <v>134</v>
      </c>
      <c r="C24" s="96">
        <v>-34347.4</v>
      </c>
      <c r="D24" s="106">
        <f>ROUND((+'EO Cycle 3'!$F46/12+'EO Cycle 3'!$F68/12),2)</f>
        <v>17173.7</v>
      </c>
      <c r="E24" s="106">
        <f>ROUND((+'EO Cycle 3'!$F46/12+'EO Cycle 3'!$F68/12),2)</f>
        <v>17173.7</v>
      </c>
      <c r="F24" s="106">
        <f>ROUND((+'EO Cycle 3'!$F46/12+'EO Cycle 3'!$F68/12),2)</f>
        <v>17173.7</v>
      </c>
      <c r="G24" s="16">
        <f>ROUND((+'EO Cycle 3'!$F57/12+'EO Cycle 3'!$F68/12+'EO Cycle 3'!$F79/12),2)</f>
        <v>58915.06</v>
      </c>
      <c r="H24" s="55">
        <f>ROUND((+'EO Cycle 3'!$F57/12+'EO Cycle 3'!$F68/12+'EO Cycle 3'!$F79/12),2)</f>
        <v>58915.06</v>
      </c>
      <c r="I24" s="154">
        <f>ROUND((+'EO Cycle 3'!$F57/12+'EO Cycle 3'!$F68/12+'EO Cycle 3'!$F79/12),2)</f>
        <v>58915.06</v>
      </c>
      <c r="J24" s="133">
        <f>ROUND((+'EO Cycle 3'!$F57/12+'EO Cycle 3'!$F68/12+'EO Cycle 3'!$F79/12),2)</f>
        <v>58915.06</v>
      </c>
      <c r="K24" s="133">
        <f>ROUND((+'EO Cycle 3'!$F57/12+'EO Cycle 3'!$F68/12+'EO Cycle 3'!$F79/12),2)</f>
        <v>58915.06</v>
      </c>
      <c r="L24" s="78"/>
      <c r="N24" s="47"/>
      <c r="O24" s="174">
        <f t="shared" si="10"/>
        <v>-117830.12</v>
      </c>
    </row>
    <row r="25" spans="1:15" x14ac:dyDescent="0.35">
      <c r="C25" s="98"/>
      <c r="D25" s="18"/>
      <c r="E25" s="18"/>
      <c r="F25" s="18"/>
      <c r="G25" s="90"/>
      <c r="H25" s="18"/>
      <c r="I25" s="155"/>
      <c r="J25" s="56"/>
      <c r="K25" s="56"/>
      <c r="L25" s="13"/>
    </row>
    <row r="26" spans="1:15" ht="15" thickBot="1" x14ac:dyDescent="0.4">
      <c r="A26" s="3" t="s">
        <v>14</v>
      </c>
      <c r="B26" s="3"/>
      <c r="C26" s="100">
        <v>-3445.17</v>
      </c>
      <c r="D26" s="126">
        <f>1714.03-0.04</f>
        <v>1713.99</v>
      </c>
      <c r="E26" s="126">
        <f>1847.86-0.05</f>
        <v>1847.81</v>
      </c>
      <c r="F26" s="127">
        <f>1754.54-0.04</f>
        <v>1754.5</v>
      </c>
      <c r="G26" s="26">
        <f>1864.61-0.06</f>
        <v>1864.55</v>
      </c>
      <c r="H26" s="115">
        <f>2567.65-0.05</f>
        <v>2567.6</v>
      </c>
      <c r="I26" s="159">
        <f>3552.4-0.05</f>
        <v>3552.35</v>
      </c>
      <c r="J26" s="150">
        <f>ROUND((SUM(I35:I38)+SUM(I42:I45)+SUM(J29:J32)/2)*J$40,2)</f>
        <v>4578.1899999999996</v>
      </c>
      <c r="K26" s="135">
        <f>ROUND((SUM(J35:J38)+SUM(J42:J45)+SUM(K29:K32)/2)*K$40,2)</f>
        <v>5455.72</v>
      </c>
      <c r="L26" s="81"/>
      <c r="O26" s="174">
        <f t="shared" si="10"/>
        <v>-10033.91</v>
      </c>
    </row>
    <row r="27" spans="1:15" x14ac:dyDescent="0.35">
      <c r="C27" s="64"/>
      <c r="D27" s="139"/>
      <c r="E27" s="139"/>
      <c r="F27" s="140"/>
      <c r="G27" s="64"/>
      <c r="H27" s="33"/>
      <c r="I27" s="160"/>
      <c r="J27" s="34"/>
      <c r="K27" s="34"/>
      <c r="L27" s="60"/>
    </row>
    <row r="28" spans="1:15" x14ac:dyDescent="0.35">
      <c r="A28" s="46" t="s">
        <v>51</v>
      </c>
      <c r="C28" s="65"/>
      <c r="D28" s="140"/>
      <c r="E28" s="140"/>
      <c r="F28" s="140"/>
      <c r="G28" s="65"/>
      <c r="H28" s="35"/>
      <c r="I28" s="161"/>
      <c r="J28" s="34"/>
      <c r="K28" s="34"/>
      <c r="L28" s="60"/>
    </row>
    <row r="29" spans="1:15" x14ac:dyDescent="0.35">
      <c r="A29" s="46" t="s">
        <v>24</v>
      </c>
      <c r="C29" s="99">
        <f t="shared" ref="C29:L32" si="11">C21-C15</f>
        <v>173283.18</v>
      </c>
      <c r="D29" s="41">
        <f t="shared" si="11"/>
        <v>41940</v>
      </c>
      <c r="E29" s="41">
        <f t="shared" si="11"/>
        <v>6908.4500000000116</v>
      </c>
      <c r="F29" s="105">
        <f t="shared" si="11"/>
        <v>-37984.890000000014</v>
      </c>
      <c r="G29" s="40">
        <f t="shared" si="11"/>
        <v>34076.950000000012</v>
      </c>
      <c r="H29" s="41">
        <f t="shared" si="11"/>
        <v>112342.71000000002</v>
      </c>
      <c r="I29" s="61">
        <f t="shared" si="11"/>
        <v>127780.37000000002</v>
      </c>
      <c r="J29" s="116">
        <f t="shared" si="11"/>
        <v>129929.60000000003</v>
      </c>
      <c r="K29" s="41">
        <f t="shared" si="11"/>
        <v>91249.310000000027</v>
      </c>
      <c r="L29" s="61">
        <f t="shared" si="11"/>
        <v>-272136.89</v>
      </c>
    </row>
    <row r="30" spans="1:15" x14ac:dyDescent="0.35">
      <c r="A30" s="46" t="s">
        <v>132</v>
      </c>
      <c r="C30" s="99">
        <f t="shared" si="11"/>
        <v>17969.89</v>
      </c>
      <c r="D30" s="41">
        <f t="shared" si="11"/>
        <v>2134.0699999999997</v>
      </c>
      <c r="E30" s="41">
        <f t="shared" si="11"/>
        <v>880.16999999999825</v>
      </c>
      <c r="F30" s="105">
        <f t="shared" si="11"/>
        <v>-3212.3700000000026</v>
      </c>
      <c r="G30" s="40">
        <f t="shared" si="11"/>
        <v>7201.4700000000012</v>
      </c>
      <c r="H30" s="41">
        <f t="shared" si="11"/>
        <v>13579.989999999998</v>
      </c>
      <c r="I30" s="61">
        <f t="shared" si="11"/>
        <v>14535.66</v>
      </c>
      <c r="J30" s="116">
        <f t="shared" si="11"/>
        <v>12309.039999999997</v>
      </c>
      <c r="K30" s="41">
        <f t="shared" si="11"/>
        <v>8947.1699999999983</v>
      </c>
      <c r="L30" s="61">
        <f t="shared" si="11"/>
        <v>-39159.599999999999</v>
      </c>
    </row>
    <row r="31" spans="1:15" x14ac:dyDescent="0.35">
      <c r="A31" s="46" t="s">
        <v>133</v>
      </c>
      <c r="C31" s="99">
        <f t="shared" si="11"/>
        <v>41429.050000000003</v>
      </c>
      <c r="D31" s="41">
        <f t="shared" si="11"/>
        <v>4015.7599999999948</v>
      </c>
      <c r="E31" s="41">
        <f t="shared" si="11"/>
        <v>862.48999999999796</v>
      </c>
      <c r="F31" s="105">
        <f t="shared" si="11"/>
        <v>-796.91000000000349</v>
      </c>
      <c r="G31" s="40">
        <f t="shared" si="11"/>
        <v>26320.020000000004</v>
      </c>
      <c r="H31" s="41">
        <f t="shared" si="11"/>
        <v>30238.810000000005</v>
      </c>
      <c r="I31" s="61">
        <f t="shared" si="11"/>
        <v>30384.670000000006</v>
      </c>
      <c r="J31" s="116">
        <f t="shared" si="11"/>
        <v>28749.949999999997</v>
      </c>
      <c r="K31" s="41">
        <f t="shared" si="11"/>
        <v>21649.190000000002</v>
      </c>
      <c r="L31" s="61">
        <f t="shared" si="11"/>
        <v>-82710.880000000005</v>
      </c>
    </row>
    <row r="32" spans="1:15" x14ac:dyDescent="0.35">
      <c r="A32" s="46" t="s">
        <v>134</v>
      </c>
      <c r="C32" s="99">
        <f t="shared" si="11"/>
        <v>22714.089999999997</v>
      </c>
      <c r="D32" s="41">
        <f t="shared" si="11"/>
        <v>-1088.5099999999984</v>
      </c>
      <c r="E32" s="41">
        <f t="shared" si="11"/>
        <v>-750.27000000000044</v>
      </c>
      <c r="F32" s="105">
        <f t="shared" si="11"/>
        <v>-1838.2799999999988</v>
      </c>
      <c r="G32" s="40">
        <f t="shared" si="11"/>
        <v>14627.779999999999</v>
      </c>
      <c r="H32" s="41">
        <f t="shared" si="11"/>
        <v>15107.720000000001</v>
      </c>
      <c r="I32" s="61">
        <f t="shared" si="11"/>
        <v>13040.729999999996</v>
      </c>
      <c r="J32" s="116">
        <f t="shared" si="11"/>
        <v>12425.720000000001</v>
      </c>
      <c r="K32" s="41">
        <f t="shared" si="11"/>
        <v>7448.8299999999945</v>
      </c>
      <c r="L32" s="61">
        <f t="shared" si="11"/>
        <v>-57971.59</v>
      </c>
    </row>
    <row r="33" spans="1:15" x14ac:dyDescent="0.35">
      <c r="C33" s="98"/>
      <c r="D33" s="17"/>
      <c r="E33" s="17"/>
      <c r="F33" s="17"/>
      <c r="G33" s="10"/>
      <c r="H33" s="17"/>
      <c r="I33" s="11"/>
      <c r="J33" s="17"/>
      <c r="K33" s="17"/>
      <c r="L33" s="11"/>
    </row>
    <row r="34" spans="1:15" ht="15" thickBot="1" x14ac:dyDescent="0.4">
      <c r="A34" s="46" t="s">
        <v>52</v>
      </c>
      <c r="C34" s="98"/>
      <c r="D34" s="17"/>
      <c r="E34" s="17"/>
      <c r="F34" s="17"/>
      <c r="G34" s="10"/>
      <c r="H34" s="17"/>
      <c r="I34" s="11"/>
      <c r="J34" s="17"/>
      <c r="K34" s="17"/>
      <c r="L34" s="11"/>
    </row>
    <row r="35" spans="1:15" x14ac:dyDescent="0.35">
      <c r="A35" s="46" t="s">
        <v>24</v>
      </c>
      <c r="B35" s="346">
        <v>15194.25999999992</v>
      </c>
      <c r="C35" s="99">
        <f t="shared" ref="C35:L38" si="12">B35+C29+B42</f>
        <v>188477.43999999992</v>
      </c>
      <c r="D35" s="41">
        <f t="shared" si="12"/>
        <v>228097.57999999993</v>
      </c>
      <c r="E35" s="41">
        <f t="shared" si="12"/>
        <v>236159.43999999994</v>
      </c>
      <c r="F35" s="105">
        <f t="shared" si="12"/>
        <v>199450.65999999992</v>
      </c>
      <c r="G35" s="40">
        <f t="shared" si="12"/>
        <v>234722.15999999992</v>
      </c>
      <c r="H35" s="41">
        <f t="shared" si="12"/>
        <v>348252.37999999995</v>
      </c>
      <c r="I35" s="61">
        <f t="shared" si="12"/>
        <v>477627.01</v>
      </c>
      <c r="J35" s="116">
        <f t="shared" si="12"/>
        <v>609812.62000000011</v>
      </c>
      <c r="K35" s="41">
        <f t="shared" si="12"/>
        <v>704032.86000000022</v>
      </c>
      <c r="L35" s="61">
        <f t="shared" si="12"/>
        <v>435486.12000000023</v>
      </c>
    </row>
    <row r="36" spans="1:15" x14ac:dyDescent="0.35">
      <c r="A36" s="46" t="s">
        <v>132</v>
      </c>
      <c r="B36" s="347">
        <v>2305.4199999999914</v>
      </c>
      <c r="C36" s="99">
        <f t="shared" si="12"/>
        <v>20275.30999999999</v>
      </c>
      <c r="D36" s="41">
        <f t="shared" si="12"/>
        <v>22164.819999999989</v>
      </c>
      <c r="E36" s="41">
        <f t="shared" si="12"/>
        <v>23162.479999999989</v>
      </c>
      <c r="F36" s="105">
        <f t="shared" si="12"/>
        <v>20074.709999999985</v>
      </c>
      <c r="G36" s="40">
        <f t="shared" si="12"/>
        <v>27394.739999999987</v>
      </c>
      <c r="H36" s="41">
        <f t="shared" si="12"/>
        <v>41104.529999999984</v>
      </c>
      <c r="I36" s="61">
        <f t="shared" si="12"/>
        <v>55827.489999999991</v>
      </c>
      <c r="J36" s="116">
        <f t="shared" si="12"/>
        <v>68401.309999999983</v>
      </c>
      <c r="K36" s="41">
        <f t="shared" si="12"/>
        <v>77687.89999999998</v>
      </c>
      <c r="L36" s="61">
        <f t="shared" si="12"/>
        <v>38927.519999999982</v>
      </c>
    </row>
    <row r="37" spans="1:15" x14ac:dyDescent="0.35">
      <c r="A37" s="46" t="s">
        <v>133</v>
      </c>
      <c r="B37" s="347">
        <v>-10308.820000000014</v>
      </c>
      <c r="C37" s="99">
        <f t="shared" si="12"/>
        <v>31120.229999999989</v>
      </c>
      <c r="D37" s="41">
        <f t="shared" si="12"/>
        <v>34769.479999999981</v>
      </c>
      <c r="E37" s="41">
        <f t="shared" si="12"/>
        <v>35814.409999999982</v>
      </c>
      <c r="F37" s="105">
        <f t="shared" si="12"/>
        <v>35211.529999999977</v>
      </c>
      <c r="G37" s="40">
        <f t="shared" si="12"/>
        <v>61726.279999999984</v>
      </c>
      <c r="H37" s="41">
        <f t="shared" si="12"/>
        <v>92230.03</v>
      </c>
      <c r="I37" s="61">
        <f t="shared" si="12"/>
        <v>123035.59000000001</v>
      </c>
      <c r="J37" s="116">
        <f t="shared" si="12"/>
        <v>152373.58000000002</v>
      </c>
      <c r="K37" s="41">
        <f t="shared" si="12"/>
        <v>174775.24000000002</v>
      </c>
      <c r="L37" s="61">
        <f t="shared" si="12"/>
        <v>92958.35000000002</v>
      </c>
    </row>
    <row r="38" spans="1:15" ht="15" thickBot="1" x14ac:dyDescent="0.4">
      <c r="A38" s="46" t="s">
        <v>134</v>
      </c>
      <c r="B38" s="348">
        <v>25151.109999999986</v>
      </c>
      <c r="C38" s="99">
        <f t="shared" si="12"/>
        <v>47865.199999999983</v>
      </c>
      <c r="D38" s="41">
        <f t="shared" si="12"/>
        <v>46262.44999999999</v>
      </c>
      <c r="E38" s="41">
        <f t="shared" si="12"/>
        <v>45772.829999999994</v>
      </c>
      <c r="F38" s="105">
        <f t="shared" si="12"/>
        <v>44187.619999999995</v>
      </c>
      <c r="G38" s="40">
        <f t="shared" si="12"/>
        <v>59062.06</v>
      </c>
      <c r="H38" s="41">
        <f t="shared" si="12"/>
        <v>74452.08</v>
      </c>
      <c r="I38" s="61">
        <f t="shared" si="12"/>
        <v>87857.959999999992</v>
      </c>
      <c r="J38" s="116">
        <f t="shared" si="12"/>
        <v>100727.2</v>
      </c>
      <c r="K38" s="41">
        <f t="shared" si="12"/>
        <v>108691.39</v>
      </c>
      <c r="L38" s="61">
        <f t="shared" si="12"/>
        <v>51292.160000000003</v>
      </c>
    </row>
    <row r="39" spans="1:15" x14ac:dyDescent="0.35">
      <c r="C39" s="98"/>
      <c r="D39" s="17"/>
      <c r="E39" s="17"/>
      <c r="F39" s="17"/>
      <c r="G39" s="10"/>
      <c r="H39" s="17"/>
      <c r="I39" s="11"/>
      <c r="J39" s="17"/>
      <c r="K39" s="17"/>
      <c r="L39" s="11"/>
    </row>
    <row r="40" spans="1:15" x14ac:dyDescent="0.35">
      <c r="A40" s="39" t="s">
        <v>86</v>
      </c>
      <c r="B40" s="39"/>
      <c r="C40" s="101"/>
      <c r="D40" s="82">
        <f>+'PCR Cycle 2'!D47</f>
        <v>5.5686099999999999E-3</v>
      </c>
      <c r="E40" s="82">
        <f>+'PCR Cycle 2'!E47</f>
        <v>5.4837899999999997E-3</v>
      </c>
      <c r="F40" s="82">
        <f>+'PCR Cycle 2'!F47</f>
        <v>5.4684599999999996E-3</v>
      </c>
      <c r="G40" s="83">
        <f>+'PCR Cycle 2'!G47</f>
        <v>5.4552200000000002E-3</v>
      </c>
      <c r="H40" s="82">
        <f>+'PCR Cycle 2'!H47</f>
        <v>5.4582900000000002E-3</v>
      </c>
      <c r="I40" s="91">
        <f>+'PCR Cycle 2'!I47</f>
        <v>5.45277E-3</v>
      </c>
      <c r="J40" s="82">
        <f>+'PCR Cycle 2'!J47</f>
        <v>5.45277E-3</v>
      </c>
      <c r="K40" s="82">
        <f>+'PCR Cycle 2'!K47</f>
        <v>5.45277E-3</v>
      </c>
      <c r="L40" s="84"/>
    </row>
    <row r="41" spans="1:15" x14ac:dyDescent="0.35">
      <c r="A41" s="39" t="s">
        <v>36</v>
      </c>
      <c r="B41" s="39"/>
      <c r="C41" s="103"/>
      <c r="D41" s="82"/>
      <c r="E41" s="82"/>
      <c r="F41" s="82"/>
      <c r="G41" s="83"/>
      <c r="H41" s="82"/>
      <c r="I41" s="84"/>
      <c r="J41" s="82"/>
      <c r="K41" s="82"/>
      <c r="L41" s="84"/>
    </row>
    <row r="42" spans="1:15" x14ac:dyDescent="0.35">
      <c r="A42" s="46" t="s">
        <v>24</v>
      </c>
      <c r="C42" s="349">
        <v>-2319.86</v>
      </c>
      <c r="D42" s="41">
        <f t="shared" ref="D42:L45" si="13">ROUND((C35+C42+D29/2)*D$40,2)</f>
        <v>1153.4100000000001</v>
      </c>
      <c r="E42" s="41">
        <f t="shared" si="13"/>
        <v>1276.1099999999999</v>
      </c>
      <c r="F42" s="105">
        <f t="shared" si="13"/>
        <v>1194.55</v>
      </c>
      <c r="G42" s="40">
        <f t="shared" si="13"/>
        <v>1187.51</v>
      </c>
      <c r="H42" s="116">
        <f t="shared" si="13"/>
        <v>1594.26</v>
      </c>
      <c r="I42" s="49">
        <f t="shared" si="13"/>
        <v>2256.0100000000002</v>
      </c>
      <c r="J42" s="151">
        <f t="shared" si="13"/>
        <v>2970.93</v>
      </c>
      <c r="K42" s="105">
        <f t="shared" si="13"/>
        <v>3590.15</v>
      </c>
      <c r="L42" s="61">
        <f t="shared" si="13"/>
        <v>0</v>
      </c>
      <c r="O42" s="174">
        <f t="shared" ref="O42:O45" si="14">-SUM(J42:L42)</f>
        <v>-6561.08</v>
      </c>
    </row>
    <row r="43" spans="1:15" x14ac:dyDescent="0.35">
      <c r="A43" s="46" t="s">
        <v>132</v>
      </c>
      <c r="C43" s="349">
        <v>-244.56</v>
      </c>
      <c r="D43" s="41">
        <f t="shared" si="13"/>
        <v>117.49</v>
      </c>
      <c r="E43" s="41">
        <f t="shared" si="13"/>
        <v>124.6</v>
      </c>
      <c r="F43" s="105">
        <f t="shared" si="13"/>
        <v>118.56</v>
      </c>
      <c r="G43" s="40">
        <f t="shared" si="13"/>
        <v>129.80000000000001</v>
      </c>
      <c r="H43" s="116">
        <f t="shared" si="13"/>
        <v>187.3</v>
      </c>
      <c r="I43" s="49">
        <f t="shared" si="13"/>
        <v>264.77999999999997</v>
      </c>
      <c r="J43" s="151">
        <f t="shared" si="13"/>
        <v>339.42</v>
      </c>
      <c r="K43" s="105">
        <f t="shared" si="13"/>
        <v>399.22</v>
      </c>
      <c r="L43" s="61">
        <f t="shared" si="13"/>
        <v>0</v>
      </c>
      <c r="O43" s="174">
        <f t="shared" si="14"/>
        <v>-738.6400000000001</v>
      </c>
    </row>
    <row r="44" spans="1:15" x14ac:dyDescent="0.35">
      <c r="A44" s="46" t="s">
        <v>133</v>
      </c>
      <c r="C44" s="349">
        <v>-366.51</v>
      </c>
      <c r="D44" s="41">
        <f t="shared" si="13"/>
        <v>182.44</v>
      </c>
      <c r="E44" s="41">
        <f t="shared" si="13"/>
        <v>194.03</v>
      </c>
      <c r="F44" s="105">
        <f t="shared" si="13"/>
        <v>194.73</v>
      </c>
      <c r="G44" s="40">
        <f t="shared" si="13"/>
        <v>264.94</v>
      </c>
      <c r="H44" s="116">
        <f t="shared" si="13"/>
        <v>420.89</v>
      </c>
      <c r="I44" s="49">
        <f t="shared" si="13"/>
        <v>588.04</v>
      </c>
      <c r="J44" s="151">
        <f t="shared" si="13"/>
        <v>752.47</v>
      </c>
      <c r="K44" s="105">
        <f t="shared" si="13"/>
        <v>893.99</v>
      </c>
      <c r="L44" s="61">
        <f t="shared" si="13"/>
        <v>0</v>
      </c>
      <c r="O44" s="174">
        <f t="shared" si="14"/>
        <v>-1646.46</v>
      </c>
    </row>
    <row r="45" spans="1:15" ht="15" thickBot="1" x14ac:dyDescent="0.4">
      <c r="A45" s="46" t="s">
        <v>134</v>
      </c>
      <c r="C45" s="349">
        <v>-514.24</v>
      </c>
      <c r="D45" s="41">
        <f t="shared" si="13"/>
        <v>260.64999999999998</v>
      </c>
      <c r="E45" s="41">
        <f t="shared" si="13"/>
        <v>253.07</v>
      </c>
      <c r="F45" s="105">
        <f t="shared" si="13"/>
        <v>246.66</v>
      </c>
      <c r="G45" s="40">
        <f t="shared" si="13"/>
        <v>282.3</v>
      </c>
      <c r="H45" s="116">
        <f t="shared" si="13"/>
        <v>365.15</v>
      </c>
      <c r="I45" s="49">
        <f t="shared" si="13"/>
        <v>443.52</v>
      </c>
      <c r="J45" s="151">
        <f t="shared" si="13"/>
        <v>515.36</v>
      </c>
      <c r="K45" s="105">
        <f t="shared" si="13"/>
        <v>572.36</v>
      </c>
      <c r="L45" s="61">
        <f t="shared" si="13"/>
        <v>0</v>
      </c>
      <c r="O45" s="174">
        <f t="shared" si="14"/>
        <v>-1087.72</v>
      </c>
    </row>
    <row r="46" spans="1:15" ht="15.5" thickTop="1" thickBot="1" x14ac:dyDescent="0.4">
      <c r="A46" s="54" t="s">
        <v>22</v>
      </c>
      <c r="B46" s="54"/>
      <c r="C46" s="104">
        <v>0</v>
      </c>
      <c r="D46" s="42">
        <f t="shared" ref="D46:L46" si="15">SUM(D42:D45)+SUM(D35:D38)-D49</f>
        <v>0</v>
      </c>
      <c r="E46" s="42">
        <f t="shared" si="15"/>
        <v>0</v>
      </c>
      <c r="F46" s="50">
        <f t="shared" si="15"/>
        <v>0</v>
      </c>
      <c r="G46" s="137">
        <f t="shared" si="15"/>
        <v>0</v>
      </c>
      <c r="H46" s="50">
        <f t="shared" si="15"/>
        <v>0</v>
      </c>
      <c r="I46" s="62">
        <f t="shared" si="15"/>
        <v>0</v>
      </c>
      <c r="J46" s="152">
        <f t="shared" si="15"/>
        <v>0</v>
      </c>
      <c r="K46" s="50">
        <f t="shared" si="15"/>
        <v>0</v>
      </c>
      <c r="L46" s="62">
        <f t="shared" si="15"/>
        <v>0</v>
      </c>
    </row>
    <row r="47" spans="1:15" ht="15.5" thickTop="1" thickBot="1" x14ac:dyDescent="0.4">
      <c r="A47" s="54" t="s">
        <v>23</v>
      </c>
      <c r="B47" s="54"/>
      <c r="C47" s="104">
        <v>0</v>
      </c>
      <c r="D47" s="42">
        <f t="shared" ref="D47:L47" si="16">SUM(D42:D45)-D26</f>
        <v>0</v>
      </c>
      <c r="E47" s="42">
        <f t="shared" si="16"/>
        <v>0</v>
      </c>
      <c r="F47" s="50">
        <f t="shared" si="16"/>
        <v>0</v>
      </c>
      <c r="G47" s="137">
        <f t="shared" si="16"/>
        <v>0</v>
      </c>
      <c r="H47" s="50">
        <f t="shared" si="16"/>
        <v>0</v>
      </c>
      <c r="I47" s="62">
        <f t="shared" si="16"/>
        <v>0</v>
      </c>
      <c r="J47" s="153">
        <f t="shared" si="16"/>
        <v>-1.0000000000218279E-2</v>
      </c>
      <c r="K47" s="42">
        <f t="shared" si="16"/>
        <v>0</v>
      </c>
      <c r="L47" s="42">
        <f t="shared" si="16"/>
        <v>0</v>
      </c>
    </row>
    <row r="48" spans="1:15" ht="15.5" thickTop="1" thickBot="1" x14ac:dyDescent="0.4">
      <c r="C48" s="98"/>
      <c r="D48" s="17"/>
      <c r="E48" s="17"/>
      <c r="F48" s="17"/>
      <c r="G48" s="10"/>
      <c r="H48" s="17"/>
      <c r="I48" s="11"/>
      <c r="J48" s="17"/>
      <c r="K48" s="17"/>
      <c r="L48" s="11"/>
    </row>
    <row r="49" spans="1:12" ht="15" thickBot="1" x14ac:dyDescent="0.4">
      <c r="A49" s="46" t="s">
        <v>35</v>
      </c>
      <c r="B49" s="113">
        <f>SUM(B35:B38)</f>
        <v>32341.969999999885</v>
      </c>
      <c r="C49" s="99">
        <f t="shared" ref="C49:L49" si="17">(C12-SUM(C15:C18))+SUM(C42:C45)+B49</f>
        <v>284293.00999999983</v>
      </c>
      <c r="D49" s="41">
        <f t="shared" si="17"/>
        <v>333008.31999999983</v>
      </c>
      <c r="E49" s="41">
        <f t="shared" si="17"/>
        <v>342756.96999999986</v>
      </c>
      <c r="F49" s="105">
        <f t="shared" si="17"/>
        <v>300679.01999999984</v>
      </c>
      <c r="G49" s="40">
        <f t="shared" si="17"/>
        <v>384769.7899999998</v>
      </c>
      <c r="H49" s="41">
        <f t="shared" si="17"/>
        <v>558606.61999999976</v>
      </c>
      <c r="I49" s="61">
        <f t="shared" si="17"/>
        <v>747900.39999999979</v>
      </c>
      <c r="J49" s="151">
        <f t="shared" si="17"/>
        <v>935892.88999999978</v>
      </c>
      <c r="K49" s="105">
        <f t="shared" si="17"/>
        <v>1070643.1099999999</v>
      </c>
      <c r="L49" s="61">
        <f t="shared" si="17"/>
        <v>618664.14999999991</v>
      </c>
    </row>
    <row r="50" spans="1:12" x14ac:dyDescent="0.35">
      <c r="A50" s="46" t="s">
        <v>12</v>
      </c>
      <c r="C50" s="114"/>
      <c r="D50" s="17"/>
      <c r="E50" s="17"/>
      <c r="F50" s="17"/>
      <c r="G50" s="10"/>
      <c r="H50" s="17"/>
      <c r="I50" s="11"/>
      <c r="J50" s="17"/>
      <c r="K50" s="17"/>
      <c r="L50" s="11"/>
    </row>
    <row r="51" spans="1:12" ht="15" thickBot="1" x14ac:dyDescent="0.4">
      <c r="A51" s="37"/>
      <c r="B51" s="37"/>
      <c r="C51" s="138"/>
      <c r="D51" s="44"/>
      <c r="E51" s="44"/>
      <c r="F51" s="44"/>
      <c r="G51" s="43"/>
      <c r="H51" s="44"/>
      <c r="I51" s="45"/>
      <c r="J51" s="44"/>
      <c r="K51" s="44"/>
      <c r="L51" s="45"/>
    </row>
    <row r="53" spans="1:12" x14ac:dyDescent="0.35">
      <c r="A53" s="69" t="s">
        <v>11</v>
      </c>
      <c r="B53" s="69"/>
      <c r="C53" s="69"/>
    </row>
    <row r="54" spans="1:12" ht="31.5" customHeight="1" x14ac:dyDescent="0.35">
      <c r="A54" s="368" t="s">
        <v>153</v>
      </c>
      <c r="B54" s="368"/>
      <c r="C54" s="368"/>
      <c r="D54" s="368"/>
      <c r="E54" s="368"/>
      <c r="F54" s="368"/>
      <c r="G54" s="368"/>
      <c r="H54" s="368"/>
      <c r="I54" s="368"/>
      <c r="J54" s="267"/>
      <c r="K54" s="267"/>
      <c r="L54" s="267"/>
    </row>
    <row r="55" spans="1:12" ht="62.15" customHeight="1" x14ac:dyDescent="0.35">
      <c r="A55" s="368" t="s">
        <v>300</v>
      </c>
      <c r="B55" s="369"/>
      <c r="C55" s="369"/>
      <c r="D55" s="369"/>
      <c r="E55" s="369"/>
      <c r="F55" s="369"/>
      <c r="G55" s="369"/>
      <c r="H55" s="369"/>
      <c r="I55" s="369"/>
      <c r="J55" s="267"/>
      <c r="K55" s="267"/>
    </row>
    <row r="56" spans="1:12" ht="18.75" customHeight="1" x14ac:dyDescent="0.35">
      <c r="A56" s="368" t="s">
        <v>183</v>
      </c>
      <c r="B56" s="368"/>
      <c r="C56" s="368"/>
      <c r="D56" s="368"/>
      <c r="E56" s="368"/>
      <c r="F56" s="368"/>
      <c r="G56" s="368"/>
      <c r="H56" s="368"/>
      <c r="I56" s="368"/>
      <c r="J56" s="267"/>
      <c r="K56" s="267"/>
      <c r="L56" s="267"/>
    </row>
    <row r="57" spans="1:12" x14ac:dyDescent="0.35">
      <c r="A57" s="368" t="s">
        <v>304</v>
      </c>
      <c r="B57" s="369"/>
      <c r="C57" s="369"/>
      <c r="D57" s="369"/>
      <c r="E57" s="369"/>
      <c r="F57" s="369"/>
      <c r="G57" s="369"/>
      <c r="H57" s="369"/>
      <c r="I57" s="369"/>
    </row>
    <row r="58" spans="1:12" x14ac:dyDescent="0.35">
      <c r="A58" s="63" t="s">
        <v>286</v>
      </c>
      <c r="B58" s="63"/>
      <c r="C58" s="63"/>
      <c r="D58" s="39"/>
      <c r="E58" s="39"/>
      <c r="F58" s="39"/>
      <c r="G58" s="39"/>
      <c r="H58" s="39"/>
      <c r="I58" s="39"/>
    </row>
    <row r="59" spans="1:12" x14ac:dyDescent="0.35">
      <c r="A59" s="63" t="s">
        <v>93</v>
      </c>
      <c r="B59" s="63"/>
      <c r="C59" s="63"/>
      <c r="D59" s="39"/>
      <c r="E59" s="39"/>
      <c r="F59" s="39"/>
      <c r="G59" s="39"/>
      <c r="H59" s="39"/>
      <c r="I59" s="39"/>
    </row>
    <row r="60" spans="1:12" x14ac:dyDescent="0.35">
      <c r="A60" s="3"/>
      <c r="B60" s="3"/>
      <c r="C60" s="3"/>
    </row>
  </sheetData>
  <mergeCells count="7">
    <mergeCell ref="A57:I57"/>
    <mergeCell ref="A56:I56"/>
    <mergeCell ref="D10:F10"/>
    <mergeCell ref="G10:I10"/>
    <mergeCell ref="J10:L10"/>
    <mergeCell ref="A54:I54"/>
    <mergeCell ref="A55:I55"/>
  </mergeCells>
  <pageMargins left="0.2" right="0.2" top="0.75" bottom="0.25" header="0.3" footer="0.3"/>
  <pageSetup scale="57" orientation="landscape" r:id="rId1"/>
  <headerFooter>
    <oddHeader>&amp;C&amp;F &amp;A&amp;R&amp;"Arial"&amp;10&amp;K000000CONFIDENTIAL</oddHeader>
    <oddFooter xml:space="preserve">&amp;R_x000D_&amp;1#&amp;"Calibri"&amp;10&amp;KA80000 Restricted – Sensitive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33"/>
  <sheetViews>
    <sheetView workbookViewId="0">
      <selection activeCell="E10" sqref="E10"/>
    </sheetView>
  </sheetViews>
  <sheetFormatPr defaultColWidth="9.1796875" defaultRowHeight="14.5" x14ac:dyDescent="0.35"/>
  <cols>
    <col min="1" max="1" width="43.1796875" style="46" customWidth="1"/>
    <col min="2" max="2" width="14.26953125" style="46" bestFit="1" customWidth="1"/>
    <col min="3" max="3" width="14.26953125" style="46" customWidth="1"/>
    <col min="4" max="4" width="13.26953125" style="46" bestFit="1" customWidth="1"/>
    <col min="5" max="5" width="12.26953125" style="46" bestFit="1" customWidth="1"/>
    <col min="6" max="6" width="13.453125" style="46" bestFit="1" customWidth="1"/>
    <col min="7" max="16384" width="9.1796875" style="46"/>
  </cols>
  <sheetData>
    <row r="1" spans="1:4" x14ac:dyDescent="0.35">
      <c r="A1" s="63" t="str">
        <f>+'PPC Cycle 3'!A1</f>
        <v>Evergy Missouri West, Inc. - DSIM Rider Update Filed 06/01/2024</v>
      </c>
    </row>
    <row r="2" spans="1:4" x14ac:dyDescent="0.35">
      <c r="A2" s="9" t="str">
        <f>+'PPC Cycle 3'!A2</f>
        <v>Projections for Cycle 3 July 2024 - June 2025 DSIM</v>
      </c>
    </row>
    <row r="3" spans="1:4" ht="45.75" customHeight="1" x14ac:dyDescent="0.35">
      <c r="B3" s="367" t="s">
        <v>95</v>
      </c>
      <c r="C3" s="367"/>
      <c r="D3" s="367"/>
    </row>
    <row r="4" spans="1:4" x14ac:dyDescent="0.35">
      <c r="B4" s="48" t="s">
        <v>17</v>
      </c>
    </row>
    <row r="5" spans="1:4" x14ac:dyDescent="0.35">
      <c r="A5" s="20" t="s">
        <v>82</v>
      </c>
      <c r="B5" s="270">
        <f>+B8</f>
        <v>0</v>
      </c>
    </row>
    <row r="6" spans="1:4" x14ac:dyDescent="0.35">
      <c r="A6" s="20" t="s">
        <v>83</v>
      </c>
      <c r="B6" s="270">
        <f>+C8</f>
        <v>0</v>
      </c>
    </row>
    <row r="7" spans="1:4" ht="29" x14ac:dyDescent="0.35">
      <c r="A7" s="20"/>
      <c r="B7" s="248" t="s">
        <v>82</v>
      </c>
      <c r="C7" s="249" t="s">
        <v>83</v>
      </c>
      <c r="D7" s="249" t="s">
        <v>5</v>
      </c>
    </row>
    <row r="8" spans="1:4" x14ac:dyDescent="0.35">
      <c r="A8" s="20" t="s">
        <v>24</v>
      </c>
      <c r="B8" s="201">
        <v>0</v>
      </c>
      <c r="C8" s="201">
        <v>0</v>
      </c>
      <c r="D8" s="201">
        <f>SUM(B8:C8)</f>
        <v>0</v>
      </c>
    </row>
    <row r="9" spans="1:4" x14ac:dyDescent="0.35">
      <c r="A9" s="20" t="s">
        <v>25</v>
      </c>
      <c r="B9" s="201">
        <v>0</v>
      </c>
      <c r="C9" s="201">
        <v>0</v>
      </c>
      <c r="D9" s="201">
        <f>SUM(B9:C9)</f>
        <v>0</v>
      </c>
    </row>
    <row r="10" spans="1:4" ht="15" thickBot="1" x14ac:dyDescent="0.4">
      <c r="A10" s="20" t="s">
        <v>5</v>
      </c>
      <c r="B10" s="202">
        <f>SUM(B8:B9)</f>
        <v>0</v>
      </c>
      <c r="C10" s="202">
        <f>SUM(C8:C9)</f>
        <v>0</v>
      </c>
      <c r="D10" s="202">
        <f>SUM(D8:D9)</f>
        <v>0</v>
      </c>
    </row>
    <row r="11" spans="1:4" ht="15.5" thickTop="1" thickBot="1" x14ac:dyDescent="0.4">
      <c r="B11" s="203">
        <f>+B10-B5</f>
        <v>0</v>
      </c>
      <c r="C11" s="203">
        <f>+C10-B6</f>
        <v>0</v>
      </c>
      <c r="D11" s="203">
        <f>ROUND(B5+B6,2)-D10</f>
        <v>0</v>
      </c>
    </row>
    <row r="12" spans="1:4" ht="29.5" thickTop="1" x14ac:dyDescent="0.35">
      <c r="B12" s="211"/>
      <c r="C12" s="210" t="s">
        <v>108</v>
      </c>
    </row>
    <row r="13" spans="1:4" x14ac:dyDescent="0.35">
      <c r="A13" s="20" t="s">
        <v>105</v>
      </c>
      <c r="B13" s="201">
        <f>ROUND($D$9*C13,2)</f>
        <v>0</v>
      </c>
      <c r="C13" s="208">
        <f>+'PCR Cycle 2'!K8</f>
        <v>0.39209287804949344</v>
      </c>
    </row>
    <row r="14" spans="1:4" x14ac:dyDescent="0.35">
      <c r="A14" s="20" t="s">
        <v>106</v>
      </c>
      <c r="B14" s="201">
        <f>ROUND($D$9*C14,2)</f>
        <v>0</v>
      </c>
      <c r="C14" s="208">
        <f>+'PCR Cycle 2'!K9</f>
        <v>0.45435908608374953</v>
      </c>
    </row>
    <row r="15" spans="1:4" ht="15" thickBot="1" x14ac:dyDescent="0.4">
      <c r="A15" s="20" t="s">
        <v>107</v>
      </c>
      <c r="B15" s="201">
        <f>ROUND($D$9*C15,2)</f>
        <v>0</v>
      </c>
      <c r="C15" s="208">
        <f>+'PCR Cycle 2'!K10</f>
        <v>0.15354803586675725</v>
      </c>
    </row>
    <row r="16" spans="1:4" ht="15.5" thickTop="1" thickBot="1" x14ac:dyDescent="0.4">
      <c r="A16" s="20" t="s">
        <v>109</v>
      </c>
      <c r="B16" s="32">
        <f>SUM(B13:B15)</f>
        <v>0</v>
      </c>
      <c r="C16" s="209">
        <f>SUM(C13:C15)</f>
        <v>1.0000000000000002</v>
      </c>
    </row>
    <row r="17" spans="1:5" ht="15" thickTop="1" x14ac:dyDescent="0.35"/>
    <row r="18" spans="1:5" x14ac:dyDescent="0.35">
      <c r="A18" s="53" t="s">
        <v>11</v>
      </c>
    </row>
    <row r="19" spans="1:5" s="39" customFormat="1" x14ac:dyDescent="0.35">
      <c r="A19" s="3" t="s">
        <v>215</v>
      </c>
      <c r="B19" s="46"/>
      <c r="C19" s="46"/>
      <c r="D19" s="46"/>
    </row>
    <row r="20" spans="1:5" s="39" customFormat="1" x14ac:dyDescent="0.35">
      <c r="A20" s="3" t="s">
        <v>216</v>
      </c>
      <c r="B20" s="46"/>
      <c r="C20" s="46"/>
      <c r="D20" s="46"/>
    </row>
    <row r="21" spans="1:5" s="39" customFormat="1" x14ac:dyDescent="0.35">
      <c r="A21" s="3"/>
      <c r="B21" s="46"/>
      <c r="C21" s="46"/>
      <c r="D21" s="46"/>
    </row>
    <row r="23" spans="1:5" x14ac:dyDescent="0.35">
      <c r="A23" s="3"/>
      <c r="D23" s="174"/>
    </row>
    <row r="24" spans="1:5" x14ac:dyDescent="0.35">
      <c r="D24" s="174"/>
    </row>
    <row r="25" spans="1:5" x14ac:dyDescent="0.35">
      <c r="B25" s="70"/>
      <c r="D25" s="174"/>
    </row>
    <row r="26" spans="1:5" x14ac:dyDescent="0.35">
      <c r="A26" s="198"/>
      <c r="B26" s="199"/>
      <c r="D26" s="174"/>
    </row>
    <row r="27" spans="1:5" x14ac:dyDescent="0.35">
      <c r="A27" s="198"/>
      <c r="B27" s="199"/>
      <c r="D27" s="174"/>
    </row>
    <row r="28" spans="1:5" x14ac:dyDescent="0.35">
      <c r="A28" s="198"/>
      <c r="B28" s="199"/>
      <c r="D28" s="174"/>
    </row>
    <row r="29" spans="1:5" x14ac:dyDescent="0.35">
      <c r="A29" s="198"/>
      <c r="B29" s="199"/>
      <c r="D29" s="174"/>
      <c r="E29" s="247"/>
    </row>
    <row r="30" spans="1:5" x14ac:dyDescent="0.35">
      <c r="A30" s="198"/>
      <c r="B30" s="175"/>
      <c r="D30" s="174"/>
    </row>
    <row r="31" spans="1:5" x14ac:dyDescent="0.35">
      <c r="A31" s="198"/>
      <c r="B31" s="175"/>
      <c r="D31" s="174"/>
    </row>
    <row r="32" spans="1:5" ht="16" x14ac:dyDescent="0.5">
      <c r="A32" s="198"/>
      <c r="B32" s="175"/>
      <c r="D32" s="200"/>
    </row>
    <row r="33" spans="1:4" x14ac:dyDescent="0.35">
      <c r="A33" s="198"/>
      <c r="D33" s="174"/>
    </row>
  </sheetData>
  <mergeCells count="1">
    <mergeCell ref="B3:D3"/>
  </mergeCells>
  <pageMargins left="0.2" right="0.2" top="0.75" bottom="0.25" header="0.3" footer="0.3"/>
  <pageSetup scale="99" orientation="landscape" r:id="rId1"/>
  <headerFooter>
    <oddHeader>&amp;C&amp;F &amp;A&amp;R&amp;"Arial"&amp;10&amp;K000000CONFIDENTIAL</oddHeader>
    <oddFooter xml:space="preserve">&amp;R_x000D_&amp;1#&amp;"Calibri"&amp;10&amp;KA80000 Restricted – Sensitive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65FAA-E64F-44DA-8ADF-AFC1E38B881D}">
  <sheetPr>
    <pageSetUpPr fitToPage="1"/>
  </sheetPr>
  <dimension ref="A1:E35"/>
  <sheetViews>
    <sheetView workbookViewId="0">
      <selection activeCell="E10" sqref="E10"/>
    </sheetView>
  </sheetViews>
  <sheetFormatPr defaultColWidth="9.1796875" defaultRowHeight="14.5" x14ac:dyDescent="0.35"/>
  <cols>
    <col min="1" max="1" width="43.1796875" style="46" customWidth="1"/>
    <col min="2" max="2" width="14.26953125" style="46" bestFit="1" customWidth="1"/>
    <col min="3" max="3" width="14.26953125" style="46" customWidth="1"/>
    <col min="4" max="4" width="13.26953125" style="46" bestFit="1" customWidth="1"/>
    <col min="5" max="6" width="13.453125" style="46" bestFit="1" customWidth="1"/>
    <col min="7" max="16384" width="9.1796875" style="46"/>
  </cols>
  <sheetData>
    <row r="1" spans="1:5" x14ac:dyDescent="0.35">
      <c r="A1" s="63" t="str">
        <f>+'PPC Cycle 3'!A1</f>
        <v>Evergy Missouri West, Inc. - DSIM Rider Update Filed 06/01/2024</v>
      </c>
    </row>
    <row r="2" spans="1:5" x14ac:dyDescent="0.35">
      <c r="A2" s="9" t="str">
        <f>+'PPC Cycle 3'!A2</f>
        <v>Projections for Cycle 3 July 2024 - June 2025 DSIM</v>
      </c>
    </row>
    <row r="3" spans="1:5" ht="45.75" customHeight="1" x14ac:dyDescent="0.35">
      <c r="B3" s="367" t="s">
        <v>167</v>
      </c>
      <c r="C3" s="367"/>
      <c r="D3" s="367"/>
    </row>
    <row r="4" spans="1:5" x14ac:dyDescent="0.35">
      <c r="B4" s="48" t="s">
        <v>17</v>
      </c>
    </row>
    <row r="5" spans="1:5" x14ac:dyDescent="0.35">
      <c r="A5" s="20" t="s">
        <v>168</v>
      </c>
      <c r="B5" s="270">
        <f>+B11</f>
        <v>0</v>
      </c>
    </row>
    <row r="6" spans="1:5" x14ac:dyDescent="0.35">
      <c r="A6" s="20" t="s">
        <v>169</v>
      </c>
      <c r="B6" s="270">
        <f>+C11</f>
        <v>0</v>
      </c>
    </row>
    <row r="7" spans="1:5" x14ac:dyDescent="0.35">
      <c r="A7" s="20" t="s">
        <v>170</v>
      </c>
      <c r="B7" s="270">
        <f>+D11</f>
        <v>0</v>
      </c>
    </row>
    <row r="8" spans="1:5" ht="58" x14ac:dyDescent="0.35">
      <c r="A8" s="20"/>
      <c r="B8" s="248" t="s">
        <v>168</v>
      </c>
      <c r="C8" s="248" t="s">
        <v>169</v>
      </c>
      <c r="D8" s="249" t="s">
        <v>170</v>
      </c>
      <c r="E8" s="249" t="s">
        <v>5</v>
      </c>
    </row>
    <row r="9" spans="1:5" x14ac:dyDescent="0.35">
      <c r="A9" s="20" t="s">
        <v>24</v>
      </c>
      <c r="B9" s="201">
        <v>0</v>
      </c>
      <c r="C9" s="201">
        <v>0</v>
      </c>
      <c r="D9" s="201">
        <v>0</v>
      </c>
      <c r="E9" s="201">
        <f>SUM(B9:D9)</f>
        <v>0</v>
      </c>
    </row>
    <row r="10" spans="1:5" x14ac:dyDescent="0.35">
      <c r="A10" s="20" t="s">
        <v>25</v>
      </c>
      <c r="B10" s="201">
        <v>0</v>
      </c>
      <c r="C10" s="201">
        <v>0</v>
      </c>
      <c r="D10" s="201">
        <v>0</v>
      </c>
      <c r="E10" s="201">
        <f>SUM(B10:D10)</f>
        <v>0</v>
      </c>
    </row>
    <row r="11" spans="1:5" ht="15" thickBot="1" x14ac:dyDescent="0.4">
      <c r="A11" s="20" t="s">
        <v>5</v>
      </c>
      <c r="B11" s="202">
        <f>SUM(B9:B10)</f>
        <v>0</v>
      </c>
      <c r="C11" s="202">
        <f>SUM(C9:C10)</f>
        <v>0</v>
      </c>
      <c r="D11" s="202">
        <f>SUM(D9:D10)</f>
        <v>0</v>
      </c>
      <c r="E11" s="202">
        <f>SUM(E9:E10)</f>
        <v>0</v>
      </c>
    </row>
    <row r="12" spans="1:5" ht="15.5" thickTop="1" thickBot="1" x14ac:dyDescent="0.4">
      <c r="B12" s="203">
        <f>+B11-B5</f>
        <v>0</v>
      </c>
      <c r="C12" s="203">
        <f>+C11-B6</f>
        <v>0</v>
      </c>
      <c r="D12" s="203">
        <f>+D11-B7</f>
        <v>0</v>
      </c>
      <c r="E12" s="203">
        <f>ROUND(B5+B6+B7,2)-E11</f>
        <v>0</v>
      </c>
    </row>
    <row r="13" spans="1:5" ht="15" thickTop="1" x14ac:dyDescent="0.35">
      <c r="B13" s="211"/>
      <c r="C13" s="278" t="s">
        <v>174</v>
      </c>
    </row>
    <row r="14" spans="1:5" x14ac:dyDescent="0.35">
      <c r="A14" s="20" t="s">
        <v>105</v>
      </c>
      <c r="B14" s="201">
        <f>ROUND($E$10*C14,2)</f>
        <v>0</v>
      </c>
      <c r="C14" s="208">
        <f>+'PCR Cycle 2'!K8</f>
        <v>0.39209287804949344</v>
      </c>
    </row>
    <row r="15" spans="1:5" x14ac:dyDescent="0.35">
      <c r="A15" s="20" t="s">
        <v>106</v>
      </c>
      <c r="B15" s="201">
        <f>ROUND($E$10*C15,2)</f>
        <v>0</v>
      </c>
      <c r="C15" s="208">
        <f>+'PCR Cycle 2'!K9</f>
        <v>0.45435908608374953</v>
      </c>
    </row>
    <row r="16" spans="1:5" ht="15" thickBot="1" x14ac:dyDescent="0.4">
      <c r="A16" s="20" t="s">
        <v>107</v>
      </c>
      <c r="B16" s="201">
        <f>ROUND($E$10*C16,2)</f>
        <v>0</v>
      </c>
      <c r="C16" s="208">
        <f>+'PCR Cycle 2'!K10</f>
        <v>0.15354803586675725</v>
      </c>
    </row>
    <row r="17" spans="1:5" ht="15.5" thickTop="1" thickBot="1" x14ac:dyDescent="0.4">
      <c r="A17" s="20" t="s">
        <v>109</v>
      </c>
      <c r="B17" s="32">
        <f>SUM(B14:B16)</f>
        <v>0</v>
      </c>
      <c r="C17" s="209">
        <f>SUM(C14:C16)</f>
        <v>1.0000000000000002</v>
      </c>
    </row>
    <row r="18" spans="1:5" ht="15" thickTop="1" x14ac:dyDescent="0.35"/>
    <row r="19" spans="1:5" x14ac:dyDescent="0.35">
      <c r="A19" s="53" t="s">
        <v>11</v>
      </c>
    </row>
    <row r="20" spans="1:5" s="39" customFormat="1" x14ac:dyDescent="0.35">
      <c r="A20" s="3" t="s">
        <v>217</v>
      </c>
      <c r="B20" s="46"/>
      <c r="C20" s="46"/>
      <c r="D20" s="46"/>
    </row>
    <row r="21" spans="1:5" s="39" customFormat="1" x14ac:dyDescent="0.35">
      <c r="A21" s="3" t="s">
        <v>218</v>
      </c>
      <c r="B21" s="46"/>
      <c r="C21" s="46"/>
      <c r="D21" s="46"/>
    </row>
    <row r="22" spans="1:5" s="39" customFormat="1" x14ac:dyDescent="0.35">
      <c r="A22" s="3" t="s">
        <v>219</v>
      </c>
      <c r="B22" s="46"/>
      <c r="C22" s="46"/>
      <c r="D22" s="46"/>
    </row>
    <row r="23" spans="1:5" s="39" customFormat="1" x14ac:dyDescent="0.35">
      <c r="A23" s="3"/>
      <c r="B23" s="46"/>
      <c r="C23" s="46"/>
      <c r="D23" s="46"/>
    </row>
    <row r="25" spans="1:5" x14ac:dyDescent="0.35">
      <c r="A25" s="3"/>
      <c r="D25" s="174"/>
    </row>
    <row r="26" spans="1:5" x14ac:dyDescent="0.35">
      <c r="D26" s="174"/>
    </row>
    <row r="27" spans="1:5" x14ac:dyDescent="0.35">
      <c r="B27" s="70"/>
      <c r="D27" s="174"/>
    </row>
    <row r="28" spans="1:5" x14ac:dyDescent="0.35">
      <c r="A28" s="198"/>
      <c r="B28" s="199"/>
      <c r="D28" s="174"/>
    </row>
    <row r="29" spans="1:5" x14ac:dyDescent="0.35">
      <c r="A29" s="198"/>
      <c r="B29" s="199"/>
      <c r="D29" s="174"/>
    </row>
    <row r="30" spans="1:5" x14ac:dyDescent="0.35">
      <c r="A30" s="198"/>
      <c r="B30" s="199"/>
      <c r="D30" s="174"/>
    </row>
    <row r="31" spans="1:5" x14ac:dyDescent="0.35">
      <c r="A31" s="198"/>
      <c r="B31" s="199"/>
      <c r="D31" s="174"/>
      <c r="E31" s="247"/>
    </row>
    <row r="32" spans="1:5" x14ac:dyDescent="0.35">
      <c r="A32" s="198"/>
      <c r="B32" s="175"/>
      <c r="D32" s="174"/>
    </row>
    <row r="33" spans="1:4" x14ac:dyDescent="0.35">
      <c r="A33" s="198"/>
      <c r="B33" s="175"/>
      <c r="D33" s="174"/>
    </row>
    <row r="34" spans="1:4" ht="16" x14ac:dyDescent="0.5">
      <c r="A34" s="198"/>
      <c r="B34" s="175"/>
      <c r="D34" s="200"/>
    </row>
    <row r="35" spans="1:4" x14ac:dyDescent="0.35">
      <c r="A35" s="198"/>
      <c r="D35" s="174"/>
    </row>
  </sheetData>
  <mergeCells count="1">
    <mergeCell ref="B3:D3"/>
  </mergeCells>
  <pageMargins left="0.2" right="0.2" top="0.75" bottom="0.25" header="0.3" footer="0.3"/>
  <pageSetup scale="99" orientation="landscape" r:id="rId1"/>
  <headerFooter>
    <oddHeader>&amp;C&amp;F &amp;A&amp;R&amp;"Arial"&amp;10&amp;K000000CONFIDENTIAL</oddHeader>
    <oddFooter xml:space="preserve">&amp;R_x000D_&amp;1#&amp;"Calibri"&amp;10&amp;KA80000 Restricted – Sensitive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I53"/>
  <sheetViews>
    <sheetView zoomScale="85" zoomScaleNormal="85" workbookViewId="0">
      <pane xSplit="2" ySplit="14" topLeftCell="C15" activePane="bottomRight" state="frozen"/>
      <selection activeCell="E10" sqref="E10"/>
      <selection pane="topRight" activeCell="E10" sqref="E10"/>
      <selection pane="bottomLeft" activeCell="E10" sqref="E10"/>
      <selection pane="bottomRight" activeCell="E10" sqref="E10"/>
    </sheetView>
  </sheetViews>
  <sheetFormatPr defaultColWidth="9.1796875" defaultRowHeight="14.5" outlineLevelCol="1" x14ac:dyDescent="0.35"/>
  <cols>
    <col min="1" max="1" width="39.26953125" style="46" customWidth="1"/>
    <col min="2" max="2" width="12.26953125" style="46" bestFit="1" customWidth="1"/>
    <col min="3" max="3" width="12.453125" style="46" bestFit="1" customWidth="1"/>
    <col min="4" max="4" width="15.453125" style="46" customWidth="1"/>
    <col min="5" max="5" width="15.81640625" style="46" bestFit="1" customWidth="1"/>
    <col min="6" max="6" width="12.26953125" style="46" bestFit="1" customWidth="1"/>
    <col min="7" max="8" width="13.26953125" style="46" bestFit="1" customWidth="1"/>
    <col min="9" max="9" width="14.453125" style="46" bestFit="1" customWidth="1"/>
    <col min="10" max="10" width="12.453125" style="46" customWidth="1"/>
    <col min="11" max="11" width="12.81640625" style="46" customWidth="1"/>
    <col min="12" max="12" width="16" style="46" customWidth="1"/>
    <col min="13" max="13" width="15" style="46" bestFit="1" customWidth="1"/>
    <col min="14" max="14" width="16" style="46" bestFit="1" customWidth="1"/>
    <col min="15" max="15" width="17.81640625" style="46" customWidth="1" outlineLevel="1"/>
    <col min="16" max="16" width="15.26953125" style="46" bestFit="1" customWidth="1"/>
    <col min="17" max="17" width="17.453125" style="46" bestFit="1" customWidth="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Missouri West, Inc. - DSIM Rider Update Filed 06/01/2024</v>
      </c>
      <c r="B1" s="3"/>
      <c r="C1" s="3"/>
    </row>
    <row r="2" spans="1:35" x14ac:dyDescent="0.35">
      <c r="D2" s="3" t="s">
        <v>94</v>
      </c>
    </row>
    <row r="3" spans="1:35" ht="29" x14ac:dyDescent="0.35">
      <c r="D3" s="48" t="s">
        <v>45</v>
      </c>
      <c r="E3" s="70" t="s">
        <v>17</v>
      </c>
      <c r="F3" s="48" t="s">
        <v>3</v>
      </c>
      <c r="G3" s="70" t="s">
        <v>54</v>
      </c>
      <c r="H3" s="48" t="s">
        <v>10</v>
      </c>
      <c r="I3" s="48" t="s">
        <v>18</v>
      </c>
      <c r="S3" s="48"/>
    </row>
    <row r="4" spans="1:35" x14ac:dyDescent="0.35">
      <c r="A4" s="20" t="s">
        <v>24</v>
      </c>
      <c r="B4" s="20"/>
      <c r="C4" s="20"/>
      <c r="D4" s="22">
        <f>SUM(C18:L18)</f>
        <v>-15981.38</v>
      </c>
      <c r="E4" s="22">
        <f>SUM(C22:K22)</f>
        <v>0</v>
      </c>
      <c r="F4" s="22">
        <f>E4-D4</f>
        <v>15981.38</v>
      </c>
      <c r="G4" s="22">
        <f>+B32</f>
        <v>-20115.919999999958</v>
      </c>
      <c r="H4" s="22">
        <f>SUM(C37:K37)</f>
        <v>-515.86</v>
      </c>
      <c r="I4" s="201">
        <f>SUM(F4:H4)</f>
        <v>-4650.3999999999587</v>
      </c>
      <c r="J4" s="47">
        <f>+I4-L32</f>
        <v>0</v>
      </c>
      <c r="M4" s="47"/>
    </row>
    <row r="5" spans="1:35" ht="15" thickBot="1" x14ac:dyDescent="0.4">
      <c r="A5" s="20" t="s">
        <v>25</v>
      </c>
      <c r="B5" s="20"/>
      <c r="C5" s="20"/>
      <c r="D5" s="22">
        <f>SUM(C19:L19)</f>
        <v>0</v>
      </c>
      <c r="E5" s="22">
        <f>SUM(C23:K23)</f>
        <v>0</v>
      </c>
      <c r="F5" s="22">
        <f>E5-D5</f>
        <v>0</v>
      </c>
      <c r="G5" s="22">
        <f>+B33</f>
        <v>0</v>
      </c>
      <c r="H5" s="22">
        <f>SUM(C38:K38)</f>
        <v>0</v>
      </c>
      <c r="I5" s="263">
        <f>SUM(F5:H5)</f>
        <v>0</v>
      </c>
      <c r="J5" s="47">
        <f>+I5-L33</f>
        <v>0</v>
      </c>
      <c r="M5" s="47"/>
    </row>
    <row r="6" spans="1:35" ht="15.5" thickTop="1" thickBot="1" x14ac:dyDescent="0.4">
      <c r="D6" s="27">
        <f t="shared" ref="D6" si="0">SUM(D4:D5)</f>
        <v>-15981.38</v>
      </c>
      <c r="E6" s="27">
        <f>SUM(E4:E5)</f>
        <v>0</v>
      </c>
      <c r="F6" s="27">
        <f>SUM(F4:F5)</f>
        <v>15981.38</v>
      </c>
      <c r="G6" s="27">
        <f>SUM(G4:G5)</f>
        <v>-20115.919999999958</v>
      </c>
      <c r="H6" s="27">
        <f>SUM(H4:H5)</f>
        <v>-515.86</v>
      </c>
      <c r="I6" s="27">
        <f>SUM(I4:I5)</f>
        <v>-4650.3999999999587</v>
      </c>
      <c r="T6" s="5"/>
    </row>
    <row r="7" spans="1:35" ht="44" thickTop="1" x14ac:dyDescent="0.35">
      <c r="I7" s="211"/>
      <c r="J7" s="210" t="s">
        <v>120</v>
      </c>
    </row>
    <row r="8" spans="1:35" x14ac:dyDescent="0.35">
      <c r="A8" s="20" t="s">
        <v>105</v>
      </c>
      <c r="I8" s="25">
        <f>ROUND($I$5*J8,2)</f>
        <v>0</v>
      </c>
      <c r="J8" s="208">
        <f>+'PCR Cycle 2'!K8</f>
        <v>0.39209287804949344</v>
      </c>
      <c r="K8" s="39"/>
    </row>
    <row r="9" spans="1:35" x14ac:dyDescent="0.35">
      <c r="A9" s="20" t="s">
        <v>106</v>
      </c>
      <c r="I9" s="25">
        <f t="shared" ref="I9:I10" si="1">ROUND($I$5*J9,2)</f>
        <v>0</v>
      </c>
      <c r="J9" s="208">
        <f>+'PCR Cycle 2'!K9</f>
        <v>0.45435908608374953</v>
      </c>
      <c r="K9" s="39"/>
    </row>
    <row r="10" spans="1:35" ht="15" thickBot="1" x14ac:dyDescent="0.4">
      <c r="A10" s="20" t="s">
        <v>107</v>
      </c>
      <c r="I10" s="25">
        <f t="shared" si="1"/>
        <v>0</v>
      </c>
      <c r="J10" s="208">
        <f>+'PCR Cycle 2'!K10</f>
        <v>0.15354803586675725</v>
      </c>
      <c r="K10" s="39"/>
    </row>
    <row r="11" spans="1:35" ht="15.5" thickTop="1" thickBot="1" x14ac:dyDescent="0.4">
      <c r="A11" s="20" t="s">
        <v>109</v>
      </c>
      <c r="I11" s="27">
        <f>SUM(I8:I10)</f>
        <v>0</v>
      </c>
      <c r="J11" s="209">
        <f>SUM(J8:J10)</f>
        <v>1.0000000000000002</v>
      </c>
      <c r="V11" s="4"/>
    </row>
    <row r="12" spans="1:35" ht="15.5" thickTop="1" thickBot="1" x14ac:dyDescent="0.4">
      <c r="V12" s="4"/>
      <c r="W12" s="5"/>
    </row>
    <row r="13" spans="1:35" ht="116.5" thickBot="1" x14ac:dyDescent="0.4">
      <c r="B13" s="112" t="str">
        <f>+'PCR Cycle 2'!B13</f>
        <v>Cumulative Over/Under Carryover From 12/01/2023 Filing</v>
      </c>
      <c r="C13" s="143" t="str">
        <f>+'PCR Cycle 2'!C13</f>
        <v>Reverse November 2023 - January 2024 Forecast From 12/01/2023 Filing</v>
      </c>
      <c r="D13" s="373" t="s">
        <v>32</v>
      </c>
      <c r="E13" s="373"/>
      <c r="F13" s="374"/>
      <c r="G13" s="380" t="s">
        <v>32</v>
      </c>
      <c r="H13" s="381"/>
      <c r="I13" s="382"/>
      <c r="J13" s="370" t="s">
        <v>8</v>
      </c>
      <c r="K13" s="371"/>
      <c r="L13" s="372"/>
      <c r="O13" s="280" t="s">
        <v>223</v>
      </c>
    </row>
    <row r="14" spans="1:35" x14ac:dyDescent="0.35">
      <c r="A14" s="46" t="s">
        <v>89</v>
      </c>
      <c r="C14" s="102"/>
      <c r="D14" s="19">
        <f>+'PCR Cycle 2'!D14</f>
        <v>45260</v>
      </c>
      <c r="E14" s="19">
        <f t="shared" ref="E14:L14" si="2">EOMONTH(D14,1)</f>
        <v>45291</v>
      </c>
      <c r="F14" s="19">
        <f t="shared" si="2"/>
        <v>45322</v>
      </c>
      <c r="G14" s="14">
        <f t="shared" si="2"/>
        <v>45351</v>
      </c>
      <c r="H14" s="19">
        <f t="shared" si="2"/>
        <v>45382</v>
      </c>
      <c r="I14" s="15">
        <f t="shared" si="2"/>
        <v>45412</v>
      </c>
      <c r="J14" s="19">
        <f t="shared" si="2"/>
        <v>45443</v>
      </c>
      <c r="K14" s="19">
        <f t="shared" si="2"/>
        <v>45473</v>
      </c>
      <c r="L14" s="15">
        <f t="shared" si="2"/>
        <v>45504</v>
      </c>
      <c r="Z14" s="1"/>
      <c r="AA14" s="1"/>
      <c r="AB14" s="1"/>
      <c r="AC14" s="1"/>
      <c r="AD14" s="1"/>
      <c r="AE14" s="1"/>
      <c r="AF14" s="1"/>
      <c r="AG14" s="1"/>
      <c r="AH14" s="1"/>
      <c r="AI14" s="1"/>
    </row>
    <row r="15" spans="1:35" x14ac:dyDescent="0.35">
      <c r="A15" s="46" t="s">
        <v>5</v>
      </c>
      <c r="C15" s="96">
        <v>0</v>
      </c>
      <c r="D15" s="106">
        <f>SUM(D22:D23)</f>
        <v>0</v>
      </c>
      <c r="E15" s="106">
        <f t="shared" ref="E15:H15" si="3">SUM(E22:E23)</f>
        <v>0</v>
      </c>
      <c r="F15" s="107">
        <f t="shared" si="3"/>
        <v>0</v>
      </c>
      <c r="G15" s="16">
        <f t="shared" si="3"/>
        <v>0</v>
      </c>
      <c r="H15" s="55">
        <f t="shared" si="3"/>
        <v>0</v>
      </c>
      <c r="I15" s="154">
        <f>+I22+I23</f>
        <v>0</v>
      </c>
      <c r="J15" s="147">
        <f t="shared" ref="J15:K15" si="4">+J22+J23</f>
        <v>0</v>
      </c>
      <c r="K15" s="77">
        <f t="shared" si="4"/>
        <v>0</v>
      </c>
      <c r="L15" s="78"/>
      <c r="O15" s="47">
        <f>-SUM(J15:L15)</f>
        <v>0</v>
      </c>
    </row>
    <row r="16" spans="1:35" x14ac:dyDescent="0.35">
      <c r="C16" s="98"/>
      <c r="D16" s="17"/>
      <c r="E16" s="17"/>
      <c r="F16" s="17"/>
      <c r="G16" s="28"/>
      <c r="H16" s="17"/>
      <c r="I16" s="11"/>
      <c r="J16" s="31"/>
      <c r="K16" s="31"/>
      <c r="L16" s="29"/>
    </row>
    <row r="17" spans="1:15" x14ac:dyDescent="0.35">
      <c r="A17" s="46" t="s">
        <v>88</v>
      </c>
      <c r="C17" s="98"/>
      <c r="D17" s="18"/>
      <c r="E17" s="18"/>
      <c r="F17" s="18"/>
      <c r="G17" s="264"/>
      <c r="H17" s="18"/>
      <c r="I17" s="155"/>
      <c r="J17" s="31"/>
      <c r="K17" s="31"/>
      <c r="L17" s="29"/>
      <c r="M17" s="3" t="s">
        <v>49</v>
      </c>
      <c r="N17" s="39"/>
    </row>
    <row r="18" spans="1:15" x14ac:dyDescent="0.35">
      <c r="A18" s="46" t="s">
        <v>24</v>
      </c>
      <c r="C18" s="96">
        <v>9536.58</v>
      </c>
      <c r="D18" s="126">
        <f>ROUND('[4]November 2023'!$G60,2)</f>
        <v>-2145.27</v>
      </c>
      <c r="E18" s="126">
        <f>ROUND('[4]December 2023'!$G60,2)</f>
        <v>-2859.23</v>
      </c>
      <c r="F18" s="126">
        <f>ROUND('[4]January 2024'!$G60,2)</f>
        <v>-3775.02</v>
      </c>
      <c r="G18" s="16">
        <f>ROUND('[4]February 2024'!$G60,2)</f>
        <v>-3494.76</v>
      </c>
      <c r="H18" s="55">
        <f>ROUND('[4]March 2024'!$G60,2)</f>
        <v>-2407.46</v>
      </c>
      <c r="I18" s="154">
        <f>ROUND('[4]April 2024'!$G60,2)</f>
        <v>-2193.15</v>
      </c>
      <c r="J18" s="116">
        <f>ROUND('PCR Cycle 2'!J26*$M18,2)</f>
        <v>-2163.08</v>
      </c>
      <c r="K18" s="41">
        <f>ROUND('PCR Cycle 2'!K26*$M18,2)</f>
        <v>-2700.31</v>
      </c>
      <c r="L18" s="61">
        <f>ROUND('PCR Cycle 2'!L26*$M18,2)</f>
        <v>-3779.68</v>
      </c>
      <c r="M18" s="72">
        <v>-1.0000000000000001E-5</v>
      </c>
      <c r="N18" s="4"/>
      <c r="O18" s="47">
        <f t="shared" ref="O18:O19" si="5">-SUM(J18:L18)</f>
        <v>8643.07</v>
      </c>
    </row>
    <row r="19" spans="1:15" x14ac:dyDescent="0.35">
      <c r="A19" s="46" t="s">
        <v>25</v>
      </c>
      <c r="C19" s="96">
        <v>0</v>
      </c>
      <c r="D19" s="126">
        <f>ROUND('[4]November 2023'!$G64,2)</f>
        <v>0</v>
      </c>
      <c r="E19" s="126">
        <f>ROUND('[4]December 2023'!$G64,2)</f>
        <v>0</v>
      </c>
      <c r="F19" s="126">
        <f>ROUND('[4]January 2024'!$G64,2)</f>
        <v>0</v>
      </c>
      <c r="G19" s="16">
        <f>ROUND('[4]February 2024'!$G64,2)</f>
        <v>0</v>
      </c>
      <c r="H19" s="55">
        <f>ROUND('[4]March 2024'!$G64,2)</f>
        <v>0</v>
      </c>
      <c r="I19" s="154">
        <f>ROUND('[4]April 2024'!$G64,2)</f>
        <v>0</v>
      </c>
      <c r="J19" s="116">
        <f>ROUND(SUM('PCR Cycle 2'!J27:J29)*$M19,2)</f>
        <v>0</v>
      </c>
      <c r="K19" s="41">
        <f>ROUND(SUM('PCR Cycle 2'!K27:K29)*$M19,2)</f>
        <v>0</v>
      </c>
      <c r="L19" s="61">
        <f>ROUND(SUM('PCR Cycle 2'!L27:L29)*$M19,2)</f>
        <v>0</v>
      </c>
      <c r="M19" s="72">
        <v>0</v>
      </c>
      <c r="N19" s="4"/>
      <c r="O19" s="47">
        <f t="shared" si="5"/>
        <v>0</v>
      </c>
    </row>
    <row r="20" spans="1:15" x14ac:dyDescent="0.35">
      <c r="C20" s="67"/>
      <c r="D20" s="68"/>
      <c r="E20" s="68"/>
      <c r="F20" s="68"/>
      <c r="G20" s="97"/>
      <c r="H20" s="68"/>
      <c r="I20" s="156"/>
      <c r="J20" s="56"/>
      <c r="K20" s="56"/>
      <c r="L20" s="13"/>
      <c r="N20" s="4"/>
    </row>
    <row r="21" spans="1:15" x14ac:dyDescent="0.35">
      <c r="A21" s="46" t="s">
        <v>90</v>
      </c>
      <c r="C21" s="36"/>
      <c r="D21" s="37"/>
      <c r="E21" s="37"/>
      <c r="F21" s="37"/>
      <c r="G21" s="36"/>
      <c r="H21" s="37"/>
      <c r="I21" s="158"/>
      <c r="J21" s="52"/>
      <c r="K21" s="52"/>
      <c r="L21" s="38"/>
    </row>
    <row r="22" spans="1:15" x14ac:dyDescent="0.35">
      <c r="A22" s="46" t="s">
        <v>24</v>
      </c>
      <c r="C22" s="96">
        <v>0</v>
      </c>
      <c r="D22" s="106">
        <v>0</v>
      </c>
      <c r="E22" s="106">
        <v>0</v>
      </c>
      <c r="F22" s="107">
        <v>0</v>
      </c>
      <c r="G22" s="16">
        <v>0</v>
      </c>
      <c r="H22" s="55">
        <v>0</v>
      </c>
      <c r="I22" s="154">
        <v>0</v>
      </c>
      <c r="J22" s="149">
        <v>0</v>
      </c>
      <c r="K22" s="133">
        <v>0</v>
      </c>
      <c r="L22" s="78"/>
      <c r="O22" s="47">
        <f t="shared" ref="O22:O25" si="6">-SUM(J22:L22)</f>
        <v>0</v>
      </c>
    </row>
    <row r="23" spans="1:15" x14ac:dyDescent="0.35">
      <c r="A23" s="46" t="s">
        <v>25</v>
      </c>
      <c r="C23" s="96">
        <v>0</v>
      </c>
      <c r="D23" s="106">
        <v>0</v>
      </c>
      <c r="E23" s="106">
        <v>0</v>
      </c>
      <c r="F23" s="107">
        <v>0</v>
      </c>
      <c r="G23" s="16">
        <v>0</v>
      </c>
      <c r="H23" s="55">
        <v>0</v>
      </c>
      <c r="I23" s="154">
        <v>0</v>
      </c>
      <c r="J23" s="149">
        <v>0</v>
      </c>
      <c r="K23" s="133">
        <v>0</v>
      </c>
      <c r="L23" s="78"/>
      <c r="N23" s="47"/>
      <c r="O23" s="47">
        <f t="shared" si="6"/>
        <v>0</v>
      </c>
    </row>
    <row r="24" spans="1:15" x14ac:dyDescent="0.35">
      <c r="C24" s="98"/>
      <c r="D24" s="18"/>
      <c r="E24" s="18"/>
      <c r="F24" s="18"/>
      <c r="G24" s="264"/>
      <c r="H24" s="18"/>
      <c r="I24" s="155"/>
      <c r="J24" s="56"/>
      <c r="K24" s="56"/>
      <c r="L24" s="13"/>
    </row>
    <row r="25" spans="1:15" ht="15" thickBot="1" x14ac:dyDescent="0.4">
      <c r="A25" s="3" t="s">
        <v>14</v>
      </c>
      <c r="B25" s="3"/>
      <c r="C25" s="100">
        <v>299.25</v>
      </c>
      <c r="D25" s="126">
        <v>-157.49</v>
      </c>
      <c r="E25" s="126">
        <v>-142.22999999999999</v>
      </c>
      <c r="F25" s="127">
        <v>-124.47</v>
      </c>
      <c r="G25" s="26">
        <v>-105.02</v>
      </c>
      <c r="H25" s="115">
        <v>-89.54</v>
      </c>
      <c r="I25" s="159">
        <v>-77.39</v>
      </c>
      <c r="J25" s="150">
        <f>ROUND((SUM(I32:I33)+SUM(I37:I38)+SUM(J28:J29)/2)*J$35,2)</f>
        <v>-65.94</v>
      </c>
      <c r="K25" s="135">
        <f t="shared" ref="K25" si="7">ROUND((SUM(J32:J33)+SUM(J37:J38)+SUM(K28:K29)/2)*K$35,2)</f>
        <v>-53.04</v>
      </c>
      <c r="L25" s="81"/>
      <c r="O25" s="47">
        <f t="shared" si="6"/>
        <v>118.97999999999999</v>
      </c>
    </row>
    <row r="26" spans="1:15" x14ac:dyDescent="0.35">
      <c r="C26" s="64"/>
      <c r="D26" s="139"/>
      <c r="E26" s="139"/>
      <c r="F26" s="140"/>
      <c r="G26" s="64"/>
      <c r="H26" s="33"/>
      <c r="I26" s="160"/>
      <c r="J26" s="34"/>
      <c r="K26" s="34"/>
      <c r="L26" s="60"/>
    </row>
    <row r="27" spans="1:15" x14ac:dyDescent="0.35">
      <c r="A27" s="46" t="s">
        <v>51</v>
      </c>
      <c r="C27" s="65"/>
      <c r="D27" s="140"/>
      <c r="E27" s="140"/>
      <c r="F27" s="140"/>
      <c r="G27" s="265"/>
      <c r="H27" s="35"/>
      <c r="I27" s="161"/>
      <c r="J27" s="34"/>
      <c r="K27" s="34"/>
      <c r="L27" s="60"/>
    </row>
    <row r="28" spans="1:15" x14ac:dyDescent="0.35">
      <c r="A28" s="46" t="s">
        <v>24</v>
      </c>
      <c r="C28" s="99">
        <f t="shared" ref="C28:L28" si="8">C22-C18</f>
        <v>-9536.58</v>
      </c>
      <c r="D28" s="41">
        <f t="shared" si="8"/>
        <v>2145.27</v>
      </c>
      <c r="E28" s="41">
        <f t="shared" si="8"/>
        <v>2859.23</v>
      </c>
      <c r="F28" s="105">
        <f t="shared" si="8"/>
        <v>3775.02</v>
      </c>
      <c r="G28" s="40">
        <f t="shared" si="8"/>
        <v>3494.76</v>
      </c>
      <c r="H28" s="41">
        <f t="shared" si="8"/>
        <v>2407.46</v>
      </c>
      <c r="I28" s="61">
        <f t="shared" si="8"/>
        <v>2193.15</v>
      </c>
      <c r="J28" s="116">
        <f t="shared" si="8"/>
        <v>2163.08</v>
      </c>
      <c r="K28" s="41">
        <f t="shared" si="8"/>
        <v>2700.31</v>
      </c>
      <c r="L28" s="61">
        <f t="shared" si="8"/>
        <v>3779.68</v>
      </c>
    </row>
    <row r="29" spans="1:15" x14ac:dyDescent="0.35">
      <c r="A29" s="46" t="s">
        <v>25</v>
      </c>
      <c r="C29" s="99">
        <f t="shared" ref="C29:L29" si="9">C23-C19</f>
        <v>0</v>
      </c>
      <c r="D29" s="41">
        <f t="shared" si="9"/>
        <v>0</v>
      </c>
      <c r="E29" s="41">
        <f t="shared" si="9"/>
        <v>0</v>
      </c>
      <c r="F29" s="105">
        <f t="shared" si="9"/>
        <v>0</v>
      </c>
      <c r="G29" s="40">
        <f t="shared" si="9"/>
        <v>0</v>
      </c>
      <c r="H29" s="41">
        <f t="shared" si="9"/>
        <v>0</v>
      </c>
      <c r="I29" s="61">
        <f t="shared" si="9"/>
        <v>0</v>
      </c>
      <c r="J29" s="116">
        <f t="shared" si="9"/>
        <v>0</v>
      </c>
      <c r="K29" s="41">
        <f t="shared" si="9"/>
        <v>0</v>
      </c>
      <c r="L29" s="61">
        <f t="shared" si="9"/>
        <v>0</v>
      </c>
    </row>
    <row r="30" spans="1:15" x14ac:dyDescent="0.35">
      <c r="C30" s="98"/>
      <c r="D30" s="17"/>
      <c r="E30" s="17"/>
      <c r="F30" s="17"/>
      <c r="G30" s="28"/>
      <c r="H30" s="17"/>
      <c r="I30" s="11"/>
      <c r="J30" s="17"/>
      <c r="K30" s="17"/>
      <c r="L30" s="11"/>
    </row>
    <row r="31" spans="1:15" ht="15" thickBot="1" x14ac:dyDescent="0.4">
      <c r="A31" s="46" t="s">
        <v>52</v>
      </c>
      <c r="C31" s="98"/>
      <c r="D31" s="17"/>
      <c r="E31" s="17"/>
      <c r="F31" s="17"/>
      <c r="G31" s="28"/>
      <c r="H31" s="17"/>
      <c r="I31" s="11"/>
      <c r="J31" s="17"/>
      <c r="K31" s="17"/>
      <c r="L31" s="11"/>
    </row>
    <row r="32" spans="1:15" x14ac:dyDescent="0.35">
      <c r="A32" s="46" t="s">
        <v>24</v>
      </c>
      <c r="B32" s="346">
        <v>-20115.919999999958</v>
      </c>
      <c r="C32" s="99">
        <f>B32+C28+B37</f>
        <v>-29652.499999999956</v>
      </c>
      <c r="D32" s="41">
        <f t="shared" ref="D32:L33" si="10">C32+D28+C37</f>
        <v>-27207.979999999956</v>
      </c>
      <c r="E32" s="41">
        <f t="shared" si="10"/>
        <v>-24506.229999999956</v>
      </c>
      <c r="F32" s="105">
        <f t="shared" si="10"/>
        <v>-20873.439999999955</v>
      </c>
      <c r="G32" s="40">
        <f t="shared" si="10"/>
        <v>-17503.149999999958</v>
      </c>
      <c r="H32" s="41">
        <f t="shared" si="10"/>
        <v>-15200.709999999959</v>
      </c>
      <c r="I32" s="61">
        <f t="shared" si="10"/>
        <v>-13097.09999999996</v>
      </c>
      <c r="J32" s="116">
        <f t="shared" si="10"/>
        <v>-11011.40999999996</v>
      </c>
      <c r="K32" s="41">
        <f t="shared" si="10"/>
        <v>-8377.0399999999609</v>
      </c>
      <c r="L32" s="61">
        <f t="shared" si="10"/>
        <v>-4650.3999999999605</v>
      </c>
    </row>
    <row r="33" spans="1:15" ht="15" thickBot="1" x14ac:dyDescent="0.4">
      <c r="A33" s="46" t="s">
        <v>25</v>
      </c>
      <c r="B33" s="348">
        <v>0</v>
      </c>
      <c r="C33" s="99">
        <f>B33+C29+B38</f>
        <v>0</v>
      </c>
      <c r="D33" s="41">
        <f t="shared" si="10"/>
        <v>0</v>
      </c>
      <c r="E33" s="41">
        <f t="shared" si="10"/>
        <v>0</v>
      </c>
      <c r="F33" s="105">
        <f t="shared" si="10"/>
        <v>0</v>
      </c>
      <c r="G33" s="40">
        <f t="shared" si="10"/>
        <v>0</v>
      </c>
      <c r="H33" s="41">
        <f t="shared" si="10"/>
        <v>0</v>
      </c>
      <c r="I33" s="61">
        <f t="shared" si="10"/>
        <v>0</v>
      </c>
      <c r="J33" s="116">
        <f t="shared" si="10"/>
        <v>0</v>
      </c>
      <c r="K33" s="41">
        <f t="shared" si="10"/>
        <v>0</v>
      </c>
      <c r="L33" s="61">
        <f t="shared" si="10"/>
        <v>0</v>
      </c>
    </row>
    <row r="34" spans="1:15" x14ac:dyDescent="0.35">
      <c r="C34" s="98"/>
      <c r="D34" s="17"/>
      <c r="E34" s="17"/>
      <c r="F34" s="17"/>
      <c r="G34" s="10"/>
      <c r="H34" s="17"/>
      <c r="I34" s="11"/>
      <c r="J34" s="17"/>
      <c r="K34" s="17"/>
      <c r="L34" s="11"/>
    </row>
    <row r="35" spans="1:15" x14ac:dyDescent="0.35">
      <c r="A35" s="39" t="s">
        <v>86</v>
      </c>
      <c r="B35" s="39"/>
      <c r="C35" s="101"/>
      <c r="D35" s="323">
        <f>+'PCR Cycle 2'!D47</f>
        <v>5.5686099999999999E-3</v>
      </c>
      <c r="E35" s="323">
        <f>+'PCR Cycle 2'!E47</f>
        <v>5.4837899999999997E-3</v>
      </c>
      <c r="F35" s="323">
        <f>+'PCR Cycle 2'!F47</f>
        <v>5.4684599999999996E-3</v>
      </c>
      <c r="G35" s="324">
        <f>+'PCR Cycle 2'!G47</f>
        <v>5.4552200000000002E-3</v>
      </c>
      <c r="H35" s="323">
        <f>+'PCR Cycle 2'!H47</f>
        <v>5.4582900000000002E-3</v>
      </c>
      <c r="I35" s="325">
        <f>+'PCR Cycle 2'!I47</f>
        <v>5.45277E-3</v>
      </c>
      <c r="J35" s="323">
        <f>+'PCR Cycle 2'!J47</f>
        <v>5.45277E-3</v>
      </c>
      <c r="K35" s="323">
        <f>+'PCR Cycle 2'!K47</f>
        <v>5.45277E-3</v>
      </c>
      <c r="L35" s="84"/>
    </row>
    <row r="36" spans="1:15" x14ac:dyDescent="0.35">
      <c r="A36" s="39" t="s">
        <v>36</v>
      </c>
      <c r="B36" s="39"/>
      <c r="C36" s="103"/>
      <c r="D36" s="82"/>
      <c r="E36" s="82"/>
      <c r="F36" s="82"/>
      <c r="G36" s="83"/>
      <c r="H36" s="82"/>
      <c r="I36" s="84"/>
      <c r="J36" s="82"/>
      <c r="K36" s="82"/>
      <c r="L36" s="84"/>
    </row>
    <row r="37" spans="1:15" x14ac:dyDescent="0.35">
      <c r="A37" s="46" t="s">
        <v>24</v>
      </c>
      <c r="C37" s="349">
        <v>299.25</v>
      </c>
      <c r="D37" s="41">
        <f t="shared" ref="D37:L38" si="11">ROUND((C32+C37+D28/2)*D$35,2)</f>
        <v>-157.47999999999999</v>
      </c>
      <c r="E37" s="41">
        <f t="shared" si="11"/>
        <v>-142.22999999999999</v>
      </c>
      <c r="F37" s="105">
        <f t="shared" si="11"/>
        <v>-124.47</v>
      </c>
      <c r="G37" s="40">
        <f t="shared" si="11"/>
        <v>-105.02</v>
      </c>
      <c r="H37" s="116">
        <f t="shared" si="11"/>
        <v>-89.54</v>
      </c>
      <c r="I37" s="49">
        <f t="shared" si="11"/>
        <v>-77.39</v>
      </c>
      <c r="J37" s="151">
        <f t="shared" si="11"/>
        <v>-65.94</v>
      </c>
      <c r="K37" s="105">
        <f t="shared" si="11"/>
        <v>-53.04</v>
      </c>
      <c r="L37" s="61">
        <f t="shared" si="11"/>
        <v>0</v>
      </c>
      <c r="O37" s="47">
        <f t="shared" ref="O37:O38" si="12">-SUM(J37:L37)</f>
        <v>118.97999999999999</v>
      </c>
    </row>
    <row r="38" spans="1:15" ht="15" thickBot="1" x14ac:dyDescent="0.4">
      <c r="A38" s="46" t="s">
        <v>25</v>
      </c>
      <c r="C38" s="349">
        <v>0</v>
      </c>
      <c r="D38" s="41">
        <f t="shared" si="11"/>
        <v>0</v>
      </c>
      <c r="E38" s="41">
        <f t="shared" si="11"/>
        <v>0</v>
      </c>
      <c r="F38" s="105">
        <f t="shared" si="11"/>
        <v>0</v>
      </c>
      <c r="G38" s="40">
        <f t="shared" si="11"/>
        <v>0</v>
      </c>
      <c r="H38" s="116">
        <f t="shared" si="11"/>
        <v>0</v>
      </c>
      <c r="I38" s="49">
        <f t="shared" si="11"/>
        <v>0</v>
      </c>
      <c r="J38" s="151">
        <f t="shared" si="11"/>
        <v>0</v>
      </c>
      <c r="K38" s="105">
        <f t="shared" si="11"/>
        <v>0</v>
      </c>
      <c r="L38" s="61">
        <f t="shared" si="11"/>
        <v>0</v>
      </c>
      <c r="O38" s="47">
        <f t="shared" si="12"/>
        <v>0</v>
      </c>
    </row>
    <row r="39" spans="1:15" ht="15.5" thickTop="1" thickBot="1" x14ac:dyDescent="0.4">
      <c r="A39" s="54" t="s">
        <v>22</v>
      </c>
      <c r="B39" s="54"/>
      <c r="C39" s="104">
        <v>0</v>
      </c>
      <c r="D39" s="42">
        <f t="shared" ref="D39:I39" si="13">SUM(D37:D38)+SUM(D32:D33)-D42</f>
        <v>0</v>
      </c>
      <c r="E39" s="42">
        <f t="shared" si="13"/>
        <v>0</v>
      </c>
      <c r="F39" s="50">
        <f t="shared" ref="F39:H39" si="14">SUM(F37:F38)+SUM(F32:F33)-F42</f>
        <v>0</v>
      </c>
      <c r="G39" s="266">
        <f t="shared" si="14"/>
        <v>0</v>
      </c>
      <c r="H39" s="50">
        <f t="shared" si="14"/>
        <v>0</v>
      </c>
      <c r="I39" s="62">
        <f t="shared" si="13"/>
        <v>0</v>
      </c>
      <c r="J39" s="152">
        <f t="shared" ref="J39:L39" si="15">SUM(J37:J38)+SUM(J32:J33)-J42</f>
        <v>0</v>
      </c>
      <c r="K39" s="50">
        <f t="shared" si="15"/>
        <v>0</v>
      </c>
      <c r="L39" s="62">
        <f t="shared" si="15"/>
        <v>0</v>
      </c>
    </row>
    <row r="40" spans="1:15" ht="15.5" thickTop="1" thickBot="1" x14ac:dyDescent="0.4">
      <c r="A40" s="54" t="s">
        <v>23</v>
      </c>
      <c r="B40" s="54"/>
      <c r="C40" s="104">
        <v>0</v>
      </c>
      <c r="D40" s="42">
        <f t="shared" ref="D40:I40" si="16">SUM(D37:D38)-D25</f>
        <v>1.0000000000019327E-2</v>
      </c>
      <c r="E40" s="42">
        <f t="shared" si="16"/>
        <v>0</v>
      </c>
      <c r="F40" s="50">
        <f t="shared" ref="F40:H40" si="17">SUM(F37:F38)-F25</f>
        <v>0</v>
      </c>
      <c r="G40" s="266">
        <f t="shared" si="17"/>
        <v>0</v>
      </c>
      <c r="H40" s="50">
        <f t="shared" si="17"/>
        <v>0</v>
      </c>
      <c r="I40" s="62">
        <f t="shared" si="16"/>
        <v>0</v>
      </c>
      <c r="J40" s="153">
        <f t="shared" ref="J40:L40" si="18">SUM(J37:J38)-J25</f>
        <v>0</v>
      </c>
      <c r="K40" s="42">
        <f t="shared" si="18"/>
        <v>0</v>
      </c>
      <c r="L40" s="42">
        <f t="shared" si="18"/>
        <v>0</v>
      </c>
    </row>
    <row r="41" spans="1:15" ht="15.5" thickTop="1" thickBot="1" x14ac:dyDescent="0.4">
      <c r="C41" s="98"/>
      <c r="D41" s="17"/>
      <c r="E41" s="17"/>
      <c r="F41" s="17"/>
      <c r="G41" s="10"/>
      <c r="H41" s="17"/>
      <c r="I41" s="11"/>
      <c r="J41" s="17"/>
      <c r="K41" s="17"/>
      <c r="L41" s="11"/>
    </row>
    <row r="42" spans="1:15" ht="15" thickBot="1" x14ac:dyDescent="0.4">
      <c r="A42" s="46" t="s">
        <v>35</v>
      </c>
      <c r="B42" s="113">
        <f>SUM(B32:B33)</f>
        <v>-20115.919999999958</v>
      </c>
      <c r="C42" s="99">
        <f t="shared" ref="C42:L42" si="19">(C15-SUM(C18:C19))+SUM(C37:C38)+B42</f>
        <v>-29353.249999999956</v>
      </c>
      <c r="D42" s="41">
        <f t="shared" si="19"/>
        <v>-27365.459999999955</v>
      </c>
      <c r="E42" s="41">
        <f t="shared" si="19"/>
        <v>-24648.459999999955</v>
      </c>
      <c r="F42" s="105">
        <f t="shared" si="19"/>
        <v>-20997.909999999956</v>
      </c>
      <c r="G42" s="40">
        <f t="shared" si="19"/>
        <v>-17608.169999999955</v>
      </c>
      <c r="H42" s="41">
        <f t="shared" si="19"/>
        <v>-15290.249999999955</v>
      </c>
      <c r="I42" s="61">
        <f t="shared" si="19"/>
        <v>-13174.489999999954</v>
      </c>
      <c r="J42" s="151">
        <f t="shared" si="19"/>
        <v>-11077.349999999955</v>
      </c>
      <c r="K42" s="105">
        <f t="shared" si="19"/>
        <v>-8430.0799999999545</v>
      </c>
      <c r="L42" s="61">
        <f t="shared" si="19"/>
        <v>-4650.3999999999542</v>
      </c>
    </row>
    <row r="43" spans="1:15" x14ac:dyDescent="0.35">
      <c r="A43" s="46" t="s">
        <v>12</v>
      </c>
      <c r="C43" s="114"/>
      <c r="D43" s="17"/>
      <c r="E43" s="17"/>
      <c r="F43" s="17"/>
      <c r="G43" s="10"/>
      <c r="H43" s="17"/>
      <c r="I43" s="11"/>
      <c r="J43" s="17"/>
      <c r="K43" s="17"/>
      <c r="L43" s="11"/>
    </row>
    <row r="44" spans="1:15" ht="15" thickBot="1" x14ac:dyDescent="0.4">
      <c r="A44" s="37"/>
      <c r="B44" s="37"/>
      <c r="C44" s="138"/>
      <c r="D44" s="44"/>
      <c r="E44" s="44"/>
      <c r="F44" s="44"/>
      <c r="G44" s="43"/>
      <c r="H44" s="44"/>
      <c r="I44" s="45"/>
      <c r="J44" s="44"/>
      <c r="K44" s="44"/>
      <c r="L44" s="45"/>
    </row>
    <row r="46" spans="1:15" x14ac:dyDescent="0.35">
      <c r="A46" s="69" t="s">
        <v>11</v>
      </c>
      <c r="B46" s="69"/>
      <c r="C46" s="69"/>
    </row>
    <row r="47" spans="1:15" x14ac:dyDescent="0.35">
      <c r="A47" s="385" t="s">
        <v>165</v>
      </c>
      <c r="B47" s="385"/>
      <c r="C47" s="385"/>
      <c r="D47" s="385"/>
      <c r="E47" s="385"/>
      <c r="F47" s="385"/>
      <c r="G47" s="385"/>
      <c r="H47" s="385"/>
      <c r="I47" s="385"/>
      <c r="J47" s="168"/>
      <c r="K47" s="168"/>
      <c r="L47" s="168"/>
    </row>
    <row r="48" spans="1:15" ht="61.5" customHeight="1" x14ac:dyDescent="0.35">
      <c r="A48" s="368" t="s">
        <v>301</v>
      </c>
      <c r="B48" s="368"/>
      <c r="C48" s="368"/>
      <c r="D48" s="368"/>
      <c r="E48" s="368"/>
      <c r="F48" s="368"/>
      <c r="G48" s="368"/>
      <c r="H48" s="368"/>
      <c r="I48" s="368"/>
      <c r="J48" s="168"/>
      <c r="K48" s="168"/>
    </row>
    <row r="49" spans="1:12" x14ac:dyDescent="0.35">
      <c r="A49" s="368" t="s">
        <v>304</v>
      </c>
      <c r="B49" s="368"/>
      <c r="C49" s="368"/>
      <c r="D49" s="368"/>
      <c r="E49" s="368"/>
      <c r="F49" s="368"/>
      <c r="G49" s="368"/>
      <c r="H49" s="368"/>
      <c r="I49" s="368"/>
      <c r="J49" s="168"/>
      <c r="K49" s="168"/>
      <c r="L49" s="168"/>
    </row>
    <row r="50" spans="1:12" x14ac:dyDescent="0.35">
      <c r="A50" s="63" t="s">
        <v>286</v>
      </c>
      <c r="B50" s="63"/>
      <c r="C50" s="63"/>
      <c r="D50" s="39"/>
      <c r="E50" s="39"/>
      <c r="F50" s="39"/>
      <c r="G50" s="39"/>
      <c r="H50" s="39"/>
      <c r="I50" s="360"/>
    </row>
    <row r="51" spans="1:12" x14ac:dyDescent="0.35">
      <c r="A51" s="3" t="s">
        <v>123</v>
      </c>
      <c r="B51" s="3"/>
      <c r="C51" s="3"/>
      <c r="I51" s="4"/>
    </row>
    <row r="52" spans="1:12" x14ac:dyDescent="0.35">
      <c r="A52" s="3" t="s">
        <v>178</v>
      </c>
      <c r="B52" s="63"/>
      <c r="C52" s="63"/>
      <c r="D52" s="39"/>
      <c r="E52" s="39"/>
      <c r="F52" s="39"/>
      <c r="G52" s="39"/>
      <c r="H52" s="39"/>
      <c r="I52" s="39"/>
    </row>
    <row r="53" spans="1:12" x14ac:dyDescent="0.35">
      <c r="A53" s="3"/>
      <c r="B53" s="3"/>
      <c r="C53" s="3"/>
    </row>
  </sheetData>
  <mergeCells count="6">
    <mergeCell ref="A49:I49"/>
    <mergeCell ref="D13:F13"/>
    <mergeCell ref="G13:I13"/>
    <mergeCell ref="J13:L13"/>
    <mergeCell ref="A47:I47"/>
    <mergeCell ref="A48:I48"/>
  </mergeCells>
  <pageMargins left="0.2" right="0.2" top="0.75" bottom="0.25" header="0.3" footer="0.3"/>
  <pageSetup scale="62" orientation="landscape" r:id="rId1"/>
  <headerFooter>
    <oddHeader>&amp;C&amp;F &amp;A&amp;R&amp;"Arial"&amp;10&amp;K000000CONFIDENTIAL</oddHeader>
    <oddFooter xml:space="preserve">&amp;R_x000D_&amp;1#&amp;"Calibri"&amp;10&amp;KA80000 Restricted – Sensitive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55197-5D25-4B83-9D4C-E7AB3BA59864}">
  <sheetPr>
    <pageSetUpPr fitToPage="1"/>
  </sheetPr>
  <dimension ref="A1:AI65"/>
  <sheetViews>
    <sheetView zoomScale="85" zoomScaleNormal="85" workbookViewId="0">
      <selection activeCell="E10" sqref="E10"/>
    </sheetView>
  </sheetViews>
  <sheetFormatPr defaultColWidth="9.1796875" defaultRowHeight="14.5" outlineLevelCol="1" x14ac:dyDescent="0.35"/>
  <cols>
    <col min="1" max="1" width="37.7265625" style="46" customWidth="1"/>
    <col min="2" max="2" width="12.26953125" style="46" bestFit="1" customWidth="1"/>
    <col min="3" max="3" width="12.453125" style="46" bestFit="1" customWidth="1"/>
    <col min="4" max="4" width="15.453125" style="46" customWidth="1"/>
    <col min="5" max="5" width="15.81640625" style="46" bestFit="1" customWidth="1"/>
    <col min="6" max="6" width="12.26953125" style="46" bestFit="1" customWidth="1"/>
    <col min="7" max="8" width="13.26953125" style="46" bestFit="1" customWidth="1"/>
    <col min="9" max="9" width="14.453125" style="46" bestFit="1" customWidth="1"/>
    <col min="10" max="10" width="12.453125" style="46" customWidth="1"/>
    <col min="11" max="11" width="12.81640625" style="46" customWidth="1"/>
    <col min="12" max="12" width="16" style="46" customWidth="1"/>
    <col min="13" max="13" width="15" style="46" bestFit="1" customWidth="1"/>
    <col min="14" max="14" width="16" style="46" bestFit="1" customWidth="1"/>
    <col min="15" max="15" width="17.81640625" style="46" customWidth="1" outlineLevel="1"/>
    <col min="16" max="16" width="15.26953125" style="46" bestFit="1" customWidth="1"/>
    <col min="17" max="17" width="17.453125" style="46" bestFit="1" customWidth="1"/>
    <col min="18" max="18" width="16.26953125" style="46" bestFit="1" customWidth="1"/>
    <col min="19" max="19" width="15.26953125" style="46" bestFit="1" customWidth="1"/>
    <col min="20" max="20" width="12.453125" style="46" customWidth="1"/>
    <col min="21" max="22" width="14.26953125" style="46" bestFit="1" customWidth="1"/>
    <col min="23" max="16384" width="9.1796875" style="46"/>
  </cols>
  <sheetData>
    <row r="1" spans="1:35" x14ac:dyDescent="0.35">
      <c r="A1" s="3" t="str">
        <f>+'PPC Cycle 3'!A1</f>
        <v>Evergy Missouri West, Inc. - DSIM Rider Update Filed 06/01/2024</v>
      </c>
      <c r="B1" s="3"/>
      <c r="C1" s="3"/>
    </row>
    <row r="2" spans="1:35" x14ac:dyDescent="0.35">
      <c r="D2" s="3" t="s">
        <v>171</v>
      </c>
    </row>
    <row r="3" spans="1:35" ht="29" x14ac:dyDescent="0.35">
      <c r="D3" s="48" t="s">
        <v>45</v>
      </c>
      <c r="E3" s="70" t="s">
        <v>17</v>
      </c>
      <c r="F3" s="48" t="s">
        <v>3</v>
      </c>
      <c r="G3" s="70" t="s">
        <v>54</v>
      </c>
      <c r="H3" s="48" t="s">
        <v>10</v>
      </c>
      <c r="I3" s="48" t="s">
        <v>18</v>
      </c>
      <c r="S3" s="48"/>
    </row>
    <row r="4" spans="1:35" x14ac:dyDescent="0.35">
      <c r="A4" s="20" t="s">
        <v>24</v>
      </c>
      <c r="B4" s="20"/>
      <c r="C4" s="20"/>
      <c r="D4" s="22">
        <f>SUM(C20:L20)</f>
        <v>-44903.479999999989</v>
      </c>
      <c r="E4" s="22">
        <f>SUM(C26:K26)</f>
        <v>0</v>
      </c>
      <c r="F4" s="22">
        <f>E4-D4</f>
        <v>44903.479999999989</v>
      </c>
      <c r="G4" s="22">
        <f>+B40</f>
        <v>-113801.98999999987</v>
      </c>
      <c r="H4" s="22">
        <f>SUM(C47:K47)</f>
        <v>-3469.2699999999995</v>
      </c>
      <c r="I4" s="25">
        <f>SUM(F4:H4)</f>
        <v>-72367.779999999897</v>
      </c>
      <c r="J4" s="315">
        <f>+I4-L40</f>
        <v>0</v>
      </c>
      <c r="M4" s="47"/>
    </row>
    <row r="5" spans="1:35" x14ac:dyDescent="0.35">
      <c r="A5" s="20" t="s">
        <v>105</v>
      </c>
      <c r="B5" s="20"/>
      <c r="C5" s="20"/>
      <c r="D5" s="22">
        <f t="shared" ref="D5:D6" si="0">SUM(C21:L21)</f>
        <v>0</v>
      </c>
      <c r="E5" s="22">
        <f t="shared" ref="E5:E6" si="1">SUM(C27:K27)</f>
        <v>0</v>
      </c>
      <c r="F5" s="22">
        <f t="shared" ref="F5:F6" si="2">E5-D5</f>
        <v>0</v>
      </c>
      <c r="G5" s="22">
        <f t="shared" ref="G5:G6" si="3">+B41</f>
        <v>6.4570571112199104E-13</v>
      </c>
      <c r="H5" s="22">
        <f t="shared" ref="H5:H6" si="4">SUM(C48:K48)</f>
        <v>0</v>
      </c>
      <c r="I5" s="25">
        <f t="shared" ref="I5:I6" si="5">SUM(F5:H5)</f>
        <v>6.4570571112199104E-13</v>
      </c>
      <c r="J5" s="315"/>
      <c r="M5" s="47"/>
    </row>
    <row r="6" spans="1:35" x14ac:dyDescent="0.35">
      <c r="A6" s="20" t="s">
        <v>106</v>
      </c>
      <c r="B6" s="20"/>
      <c r="C6" s="20"/>
      <c r="D6" s="22">
        <f t="shared" si="0"/>
        <v>0</v>
      </c>
      <c r="E6" s="22">
        <f t="shared" si="1"/>
        <v>0</v>
      </c>
      <c r="F6" s="22">
        <f t="shared" si="2"/>
        <v>0</v>
      </c>
      <c r="G6" s="22">
        <f t="shared" si="3"/>
        <v>1.0036416142611415E-13</v>
      </c>
      <c r="H6" s="22">
        <f t="shared" si="4"/>
        <v>0</v>
      </c>
      <c r="I6" s="25">
        <f t="shared" si="5"/>
        <v>1.0036416142611415E-13</v>
      </c>
      <c r="J6" s="315"/>
      <c r="M6" s="47"/>
    </row>
    <row r="7" spans="1:35" ht="15" thickBot="1" x14ac:dyDescent="0.4">
      <c r="A7" s="20" t="s">
        <v>107</v>
      </c>
      <c r="B7" s="20"/>
      <c r="C7" s="20"/>
      <c r="D7" s="22">
        <f>SUM(C23:L23)</f>
        <v>0</v>
      </c>
      <c r="E7" s="22">
        <f>SUM(C29:K29)</f>
        <v>0</v>
      </c>
      <c r="F7" s="22">
        <f>E7-D7</f>
        <v>0</v>
      </c>
      <c r="G7" s="22">
        <f>+B43</f>
        <v>-6.3504757008558954E-14</v>
      </c>
      <c r="H7" s="22">
        <f>SUM(C50:K50)</f>
        <v>0</v>
      </c>
      <c r="I7" s="25">
        <f>SUM(F7:H7)</f>
        <v>-6.3504757008558954E-14</v>
      </c>
      <c r="J7" s="315">
        <f>+I7-L43</f>
        <v>0</v>
      </c>
      <c r="M7" s="47"/>
    </row>
    <row r="8" spans="1:35" ht="15.5" thickTop="1" thickBot="1" x14ac:dyDescent="0.4">
      <c r="D8" s="27">
        <f t="shared" ref="D8" si="6">SUM(D4:D7)</f>
        <v>-44903.479999999989</v>
      </c>
      <c r="E8" s="27">
        <f>SUM(E4:E7)</f>
        <v>0</v>
      </c>
      <c r="F8" s="27">
        <f>SUM(F4:F7)</f>
        <v>44903.479999999989</v>
      </c>
      <c r="G8" s="27">
        <f>SUM(G4:G7)</f>
        <v>-113801.98999999987</v>
      </c>
      <c r="H8" s="27">
        <f>SUM(H4:H7)</f>
        <v>-3469.2699999999995</v>
      </c>
      <c r="I8" s="27">
        <f>SUM(I4:I7)</f>
        <v>-72367.779999999897</v>
      </c>
      <c r="T8" s="5"/>
    </row>
    <row r="9" spans="1:35" ht="44" thickTop="1" x14ac:dyDescent="0.35">
      <c r="I9" s="211"/>
      <c r="J9" s="210" t="s">
        <v>120</v>
      </c>
    </row>
    <row r="10" spans="1:35" x14ac:dyDescent="0.35">
      <c r="A10" s="20" t="s">
        <v>105</v>
      </c>
      <c r="I10" s="25">
        <f>ROUND($I$7*J10,2)</f>
        <v>0</v>
      </c>
      <c r="J10" s="208">
        <f>+'PCR Cycle 2'!K8</f>
        <v>0.39209287804949344</v>
      </c>
      <c r="K10" s="39"/>
    </row>
    <row r="11" spans="1:35" x14ac:dyDescent="0.35">
      <c r="A11" s="20" t="s">
        <v>106</v>
      </c>
      <c r="I11" s="25">
        <f t="shared" ref="I11:I12" si="7">ROUND($I$7*J11,2)</f>
        <v>0</v>
      </c>
      <c r="J11" s="208">
        <f>+'PCR Cycle 2'!K9</f>
        <v>0.45435908608374953</v>
      </c>
      <c r="K11" s="39"/>
    </row>
    <row r="12" spans="1:35" ht="15" thickBot="1" x14ac:dyDescent="0.4">
      <c r="A12" s="20" t="s">
        <v>107</v>
      </c>
      <c r="I12" s="25">
        <f t="shared" si="7"/>
        <v>0</v>
      </c>
      <c r="J12" s="208">
        <f>+'PCR Cycle 2'!K10</f>
        <v>0.15354803586675725</v>
      </c>
      <c r="K12" s="39"/>
    </row>
    <row r="13" spans="1:35" ht="15.5" thickTop="1" thickBot="1" x14ac:dyDescent="0.4">
      <c r="A13" s="20" t="s">
        <v>109</v>
      </c>
      <c r="I13" s="27">
        <f>SUM(I10:I12)</f>
        <v>0</v>
      </c>
      <c r="J13" s="209">
        <f>SUM(J10:J12)</f>
        <v>1.0000000000000002</v>
      </c>
      <c r="V13" s="4"/>
    </row>
    <row r="14" spans="1:35" ht="15.5" thickTop="1" thickBot="1" x14ac:dyDescent="0.4">
      <c r="V14" s="4"/>
      <c r="W14" s="5"/>
    </row>
    <row r="15" spans="1:35" ht="116.5" thickBot="1" x14ac:dyDescent="0.4">
      <c r="B15" s="112" t="str">
        <f>+'PCR Cycle 2'!B13</f>
        <v>Cumulative Over/Under Carryover From 12/01/2023 Filing</v>
      </c>
      <c r="C15" s="143" t="str">
        <f>+'PCR Cycle 2'!C13</f>
        <v>Reverse November 2023 - January 2024 Forecast From 12/01/2023 Filing</v>
      </c>
      <c r="D15" s="373" t="s">
        <v>32</v>
      </c>
      <c r="E15" s="373"/>
      <c r="F15" s="374"/>
      <c r="G15" s="380" t="s">
        <v>32</v>
      </c>
      <c r="H15" s="381"/>
      <c r="I15" s="382"/>
      <c r="J15" s="370" t="s">
        <v>8</v>
      </c>
      <c r="K15" s="371"/>
      <c r="L15" s="372"/>
      <c r="O15" s="280" t="s">
        <v>223</v>
      </c>
    </row>
    <row r="16" spans="1:35" x14ac:dyDescent="0.35">
      <c r="A16" s="46" t="s">
        <v>89</v>
      </c>
      <c r="C16" s="102"/>
      <c r="D16" s="19">
        <f>+'PCR Cycle 2'!D14</f>
        <v>45260</v>
      </c>
      <c r="E16" s="19">
        <f t="shared" ref="E16:L16" si="8">EOMONTH(D16,1)</f>
        <v>45291</v>
      </c>
      <c r="F16" s="19">
        <f t="shared" si="8"/>
        <v>45322</v>
      </c>
      <c r="G16" s="14">
        <f t="shared" si="8"/>
        <v>45351</v>
      </c>
      <c r="H16" s="19">
        <f t="shared" si="8"/>
        <v>45382</v>
      </c>
      <c r="I16" s="15">
        <f t="shared" si="8"/>
        <v>45412</v>
      </c>
      <c r="J16" s="19">
        <f t="shared" si="8"/>
        <v>45443</v>
      </c>
      <c r="K16" s="19">
        <f t="shared" si="8"/>
        <v>45473</v>
      </c>
      <c r="L16" s="15">
        <f t="shared" si="8"/>
        <v>45504</v>
      </c>
      <c r="Z16" s="1"/>
      <c r="AA16" s="1"/>
      <c r="AB16" s="1"/>
      <c r="AC16" s="1"/>
      <c r="AD16" s="1"/>
      <c r="AE16" s="1"/>
      <c r="AF16" s="1"/>
      <c r="AG16" s="1"/>
      <c r="AH16" s="1"/>
      <c r="AI16" s="1"/>
    </row>
    <row r="17" spans="1:15" x14ac:dyDescent="0.35">
      <c r="A17" s="46" t="s">
        <v>5</v>
      </c>
      <c r="C17" s="96">
        <v>0</v>
      </c>
      <c r="D17" s="106">
        <f>SUM(D26:D29)</f>
        <v>0</v>
      </c>
      <c r="E17" s="106">
        <f t="shared" ref="E17:H17" si="9">SUM(E26:E29)</f>
        <v>0</v>
      </c>
      <c r="F17" s="107">
        <f t="shared" si="9"/>
        <v>0</v>
      </c>
      <c r="G17" s="16">
        <f t="shared" si="9"/>
        <v>0</v>
      </c>
      <c r="H17" s="55">
        <f t="shared" si="9"/>
        <v>0</v>
      </c>
      <c r="I17" s="154">
        <f>+I26+I29</f>
        <v>0</v>
      </c>
      <c r="J17" s="147">
        <f t="shared" ref="J17:K17" si="10">+J26+J29</f>
        <v>0</v>
      </c>
      <c r="K17" s="77">
        <f t="shared" si="10"/>
        <v>0</v>
      </c>
      <c r="L17" s="78"/>
      <c r="O17" s="47">
        <f>-SUM(J17:L17)</f>
        <v>0</v>
      </c>
    </row>
    <row r="18" spans="1:15" x14ac:dyDescent="0.35">
      <c r="C18" s="98"/>
      <c r="D18" s="17"/>
      <c r="E18" s="17"/>
      <c r="F18" s="17"/>
      <c r="G18" s="28"/>
      <c r="H18" s="17"/>
      <c r="I18" s="11"/>
      <c r="J18" s="31"/>
      <c r="K18" s="31"/>
      <c r="L18" s="29"/>
    </row>
    <row r="19" spans="1:15" x14ac:dyDescent="0.35">
      <c r="A19" s="46" t="s">
        <v>88</v>
      </c>
      <c r="C19" s="98"/>
      <c r="D19" s="18"/>
      <c r="E19" s="18"/>
      <c r="F19" s="18"/>
      <c r="G19" s="264"/>
      <c r="H19" s="18"/>
      <c r="I19" s="155"/>
      <c r="J19" s="31"/>
      <c r="K19" s="31"/>
      <c r="L19" s="29"/>
      <c r="M19" s="3" t="s">
        <v>49</v>
      </c>
      <c r="N19" s="39"/>
    </row>
    <row r="20" spans="1:15" x14ac:dyDescent="0.35">
      <c r="A20" s="46" t="s">
        <v>24</v>
      </c>
      <c r="C20" s="96">
        <v>66756.040000000008</v>
      </c>
      <c r="D20" s="126">
        <f>ROUND('[4]November 2023'!$G97,2)</f>
        <v>-15010.68</v>
      </c>
      <c r="E20" s="126">
        <f>ROUND('[4]December 2023'!$G97,2)</f>
        <v>-20013.75</v>
      </c>
      <c r="F20" s="126">
        <f>ROUND('[4]January 2024'!$G97,2)</f>
        <v>-26420.51</v>
      </c>
      <c r="G20" s="16">
        <f>ROUND('[4]February 2024'!$G97,2)</f>
        <v>-10485.98</v>
      </c>
      <c r="H20" s="55">
        <f>ROUND('[4]March 2024'!$G97,2)</f>
        <v>-7220.85</v>
      </c>
      <c r="I20" s="154">
        <f>ROUND('[4]April 2024'!$G97,2)</f>
        <v>-6578.55</v>
      </c>
      <c r="J20" s="116">
        <f>ROUND('PCR Cycle 2'!J26*$M20,2)</f>
        <v>-6489.24</v>
      </c>
      <c r="K20" s="41">
        <f>ROUND('PCR Cycle 2'!K26*$M20,2)</f>
        <v>-8100.92</v>
      </c>
      <c r="L20" s="61">
        <f>ROUND('PCR Cycle 2'!L26*$M20,2)</f>
        <v>-11339.04</v>
      </c>
      <c r="M20" s="72">
        <v>-3.0000000000000001E-5</v>
      </c>
      <c r="N20" s="4"/>
      <c r="O20" s="47">
        <f>-SUM(J20:L20)</f>
        <v>25929.200000000001</v>
      </c>
    </row>
    <row r="21" spans="1:15" x14ac:dyDescent="0.35">
      <c r="A21" s="46" t="s">
        <v>105</v>
      </c>
      <c r="C21" s="96">
        <v>0</v>
      </c>
      <c r="D21" s="126">
        <f>ROUND('[4]November 2023'!$G98,2)</f>
        <v>0</v>
      </c>
      <c r="E21" s="126">
        <f>ROUND('[4]December 2023'!$G98,2)</f>
        <v>0</v>
      </c>
      <c r="F21" s="126">
        <f>ROUND('[4]January 2024'!$G98,2)</f>
        <v>0</v>
      </c>
      <c r="G21" s="16">
        <f>ROUND('[4]February 2024'!$G98,2)</f>
        <v>0</v>
      </c>
      <c r="H21" s="55">
        <f>ROUND('[4]March 2024'!$G98,2)</f>
        <v>0</v>
      </c>
      <c r="I21" s="154">
        <f>ROUND('[4]April 2024'!$G98,2)</f>
        <v>0</v>
      </c>
      <c r="J21" s="116">
        <f>ROUND('PCR Cycle 2'!J27*$M21,2)</f>
        <v>0</v>
      </c>
      <c r="K21" s="41">
        <f>ROUND('PCR Cycle 2'!K27*$M21,2)</f>
        <v>0</v>
      </c>
      <c r="L21" s="61">
        <f>ROUND('PCR Cycle 2'!L27*$M21,2)</f>
        <v>0</v>
      </c>
      <c r="M21" s="72">
        <v>0</v>
      </c>
      <c r="N21" s="4"/>
      <c r="O21" s="47">
        <f t="shared" ref="O21:O23" si="11">-SUM(J21:L21)</f>
        <v>0</v>
      </c>
    </row>
    <row r="22" spans="1:15" x14ac:dyDescent="0.35">
      <c r="A22" s="46" t="s">
        <v>106</v>
      </c>
      <c r="C22" s="96">
        <v>0</v>
      </c>
      <c r="D22" s="126">
        <f>ROUND('[4]November 2023'!$G99,2)</f>
        <v>0</v>
      </c>
      <c r="E22" s="126">
        <f>ROUND('[4]December 2023'!$G99,2)</f>
        <v>0</v>
      </c>
      <c r="F22" s="126">
        <f>ROUND('[4]January 2024'!$G99,2)</f>
        <v>0</v>
      </c>
      <c r="G22" s="16">
        <f>ROUND('[4]February 2024'!$G99,2)</f>
        <v>0</v>
      </c>
      <c r="H22" s="55">
        <f>ROUND('[4]March 2024'!$G99,2)</f>
        <v>0</v>
      </c>
      <c r="I22" s="154">
        <f>ROUND('[4]April 2024'!$G99,2)</f>
        <v>0</v>
      </c>
      <c r="J22" s="116">
        <f>ROUND('PCR Cycle 2'!J28*$M22,2)</f>
        <v>0</v>
      </c>
      <c r="K22" s="41">
        <f>ROUND('PCR Cycle 2'!K28*$M22,2)</f>
        <v>0</v>
      </c>
      <c r="L22" s="61">
        <f>ROUND('PCR Cycle 2'!L28*$M22,2)</f>
        <v>0</v>
      </c>
      <c r="M22" s="72">
        <v>0</v>
      </c>
      <c r="N22" s="4"/>
      <c r="O22" s="47">
        <f t="shared" si="11"/>
        <v>0</v>
      </c>
    </row>
    <row r="23" spans="1:15" x14ac:dyDescent="0.35">
      <c r="A23" s="46" t="s">
        <v>107</v>
      </c>
      <c r="C23" s="96">
        <v>0</v>
      </c>
      <c r="D23" s="126">
        <f>ROUND('[4]November 2023'!$G100,2)</f>
        <v>0</v>
      </c>
      <c r="E23" s="126">
        <f>ROUND('[4]December 2023'!$G100,2)</f>
        <v>0</v>
      </c>
      <c r="F23" s="126">
        <f>ROUND('[4]January 2024'!$G100,2)</f>
        <v>0</v>
      </c>
      <c r="G23" s="16">
        <f>ROUND('[4]February 2024'!$G100,2)</f>
        <v>0</v>
      </c>
      <c r="H23" s="55">
        <f>ROUND('[4]March 2024'!$G100,2)</f>
        <v>0</v>
      </c>
      <c r="I23" s="154">
        <f>ROUND('[4]April 2024'!$G100,2)</f>
        <v>0</v>
      </c>
      <c r="J23" s="116">
        <f>ROUND('PCR Cycle 2'!J29*$M23,2)</f>
        <v>0</v>
      </c>
      <c r="K23" s="41">
        <f>ROUND('PCR Cycle 2'!K29*$M23,2)</f>
        <v>0</v>
      </c>
      <c r="L23" s="61">
        <f>ROUND('PCR Cycle 2'!L29*$M23,2)</f>
        <v>0</v>
      </c>
      <c r="M23" s="72">
        <v>0</v>
      </c>
      <c r="N23" s="4"/>
      <c r="O23" s="47">
        <f t="shared" si="11"/>
        <v>0</v>
      </c>
    </row>
    <row r="24" spans="1:15" x14ac:dyDescent="0.35">
      <c r="C24" s="67"/>
      <c r="D24" s="68"/>
      <c r="E24" s="68"/>
      <c r="F24" s="68"/>
      <c r="G24" s="97"/>
      <c r="H24" s="68"/>
      <c r="I24" s="156"/>
      <c r="J24" s="56"/>
      <c r="K24" s="56"/>
      <c r="L24" s="13"/>
      <c r="N24" s="4"/>
    </row>
    <row r="25" spans="1:15" x14ac:dyDescent="0.35">
      <c r="A25" s="46" t="s">
        <v>90</v>
      </c>
      <c r="C25" s="36"/>
      <c r="D25" s="37"/>
      <c r="E25" s="37"/>
      <c r="F25" s="37"/>
      <c r="G25" s="36"/>
      <c r="H25" s="37"/>
      <c r="I25" s="158"/>
      <c r="J25" s="52"/>
      <c r="K25" s="52"/>
      <c r="L25" s="38"/>
    </row>
    <row r="26" spans="1:15" x14ac:dyDescent="0.35">
      <c r="A26" s="46" t="s">
        <v>24</v>
      </c>
      <c r="C26" s="96">
        <v>0</v>
      </c>
      <c r="D26" s="106">
        <v>0</v>
      </c>
      <c r="E26" s="106">
        <v>0</v>
      </c>
      <c r="F26" s="107">
        <v>0</v>
      </c>
      <c r="G26" s="16">
        <v>0</v>
      </c>
      <c r="H26" s="55">
        <v>0</v>
      </c>
      <c r="I26" s="154">
        <v>0</v>
      </c>
      <c r="J26" s="149">
        <v>0</v>
      </c>
      <c r="K26" s="133">
        <v>0</v>
      </c>
      <c r="L26" s="78"/>
      <c r="O26" s="47">
        <f>-SUM(J26:L26)</f>
        <v>0</v>
      </c>
    </row>
    <row r="27" spans="1:15" x14ac:dyDescent="0.35">
      <c r="A27" s="46" t="s">
        <v>105</v>
      </c>
      <c r="C27" s="96">
        <v>0</v>
      </c>
      <c r="D27" s="106">
        <v>0</v>
      </c>
      <c r="E27" s="106">
        <v>0</v>
      </c>
      <c r="F27" s="107">
        <v>0</v>
      </c>
      <c r="G27" s="16">
        <v>0</v>
      </c>
      <c r="H27" s="55">
        <v>0</v>
      </c>
      <c r="I27" s="154">
        <v>0</v>
      </c>
      <c r="J27" s="149">
        <v>0</v>
      </c>
      <c r="K27" s="133">
        <v>0</v>
      </c>
      <c r="L27" s="78"/>
      <c r="O27" s="47">
        <f t="shared" ref="O27:O31" si="12">-SUM(J27:L27)</f>
        <v>0</v>
      </c>
    </row>
    <row r="28" spans="1:15" x14ac:dyDescent="0.35">
      <c r="A28" s="46" t="s">
        <v>106</v>
      </c>
      <c r="C28" s="96">
        <v>0</v>
      </c>
      <c r="D28" s="106">
        <v>0</v>
      </c>
      <c r="E28" s="106">
        <v>0</v>
      </c>
      <c r="F28" s="107">
        <v>0</v>
      </c>
      <c r="G28" s="16">
        <v>0</v>
      </c>
      <c r="H28" s="55">
        <v>0</v>
      </c>
      <c r="I28" s="154">
        <v>0</v>
      </c>
      <c r="J28" s="149">
        <v>0</v>
      </c>
      <c r="K28" s="133">
        <v>0</v>
      </c>
      <c r="L28" s="78"/>
      <c r="O28" s="47">
        <f t="shared" si="12"/>
        <v>0</v>
      </c>
    </row>
    <row r="29" spans="1:15" x14ac:dyDescent="0.35">
      <c r="A29" s="46" t="s">
        <v>107</v>
      </c>
      <c r="C29" s="96">
        <v>0</v>
      </c>
      <c r="D29" s="106">
        <v>0</v>
      </c>
      <c r="E29" s="106">
        <v>0</v>
      </c>
      <c r="F29" s="107">
        <v>0</v>
      </c>
      <c r="G29" s="16">
        <v>0</v>
      </c>
      <c r="H29" s="55">
        <v>0</v>
      </c>
      <c r="I29" s="154">
        <v>0</v>
      </c>
      <c r="J29" s="149">
        <v>0</v>
      </c>
      <c r="K29" s="133">
        <v>0</v>
      </c>
      <c r="L29" s="78"/>
      <c r="N29" s="47"/>
      <c r="O29" s="47">
        <f t="shared" si="12"/>
        <v>0</v>
      </c>
    </row>
    <row r="30" spans="1:15" x14ac:dyDescent="0.35">
      <c r="C30" s="98"/>
      <c r="D30" s="18"/>
      <c r="E30" s="18"/>
      <c r="F30" s="18"/>
      <c r="G30" s="264"/>
      <c r="H30" s="18"/>
      <c r="I30" s="155"/>
      <c r="J30" s="56"/>
      <c r="K30" s="56"/>
      <c r="L30" s="13"/>
    </row>
    <row r="31" spans="1:15" ht="15" thickBot="1" x14ac:dyDescent="0.4">
      <c r="A31" s="3" t="s">
        <v>14</v>
      </c>
      <c r="B31" s="3"/>
      <c r="C31" s="100">
        <v>1796.51</v>
      </c>
      <c r="D31" s="126">
        <v>-953.66</v>
      </c>
      <c r="E31" s="126">
        <v>-848.33</v>
      </c>
      <c r="F31" s="127">
        <v>-723.63</v>
      </c>
      <c r="G31" s="26">
        <v>-625.16</v>
      </c>
      <c r="H31" s="115">
        <v>-580.6</v>
      </c>
      <c r="I31" s="159">
        <v>-545.55999999999995</v>
      </c>
      <c r="J31" s="150">
        <f>ROUND((SUM(I40:I43)+SUM(I47:I50)+SUM(J34:J37)/2)*J$45,2)</f>
        <v>-512.91</v>
      </c>
      <c r="K31" s="135">
        <f>ROUND((SUM(J40:J43)+SUM(J47:J50)+SUM(K34:K37)/2)*K$45,2)</f>
        <v>-475.93</v>
      </c>
      <c r="L31" s="81"/>
      <c r="O31" s="47">
        <f t="shared" si="12"/>
        <v>988.83999999999992</v>
      </c>
    </row>
    <row r="32" spans="1:15" x14ac:dyDescent="0.35">
      <c r="C32" s="64"/>
      <c r="D32" s="139"/>
      <c r="E32" s="139"/>
      <c r="F32" s="140"/>
      <c r="G32" s="64"/>
      <c r="H32" s="33"/>
      <c r="I32" s="160"/>
      <c r="J32" s="34"/>
      <c r="K32" s="34"/>
      <c r="L32" s="60"/>
    </row>
    <row r="33" spans="1:15" x14ac:dyDescent="0.35">
      <c r="A33" s="46" t="s">
        <v>51</v>
      </c>
      <c r="C33" s="65"/>
      <c r="D33" s="140"/>
      <c r="E33" s="140"/>
      <c r="F33" s="140"/>
      <c r="G33" s="265"/>
      <c r="H33" s="35"/>
      <c r="I33" s="161"/>
      <c r="J33" s="34"/>
      <c r="K33" s="34"/>
      <c r="L33" s="60"/>
    </row>
    <row r="34" spans="1:15" x14ac:dyDescent="0.35">
      <c r="A34" s="46" t="s">
        <v>24</v>
      </c>
      <c r="C34" s="99">
        <f>C26-C20</f>
        <v>-66756.040000000008</v>
      </c>
      <c r="D34" s="41">
        <f t="shared" ref="D34:L34" si="13">D26-D20</f>
        <v>15010.68</v>
      </c>
      <c r="E34" s="41">
        <f t="shared" si="13"/>
        <v>20013.75</v>
      </c>
      <c r="F34" s="105">
        <f t="shared" si="13"/>
        <v>26420.51</v>
      </c>
      <c r="G34" s="40">
        <f t="shared" si="13"/>
        <v>10485.98</v>
      </c>
      <c r="H34" s="41">
        <f t="shared" si="13"/>
        <v>7220.85</v>
      </c>
      <c r="I34" s="61">
        <f t="shared" si="13"/>
        <v>6578.55</v>
      </c>
      <c r="J34" s="116">
        <f t="shared" si="13"/>
        <v>6489.24</v>
      </c>
      <c r="K34" s="41">
        <f t="shared" si="13"/>
        <v>8100.92</v>
      </c>
      <c r="L34" s="61">
        <f t="shared" si="13"/>
        <v>11339.04</v>
      </c>
    </row>
    <row r="35" spans="1:15" x14ac:dyDescent="0.35">
      <c r="A35" s="46" t="s">
        <v>105</v>
      </c>
      <c r="C35" s="99">
        <f t="shared" ref="C35:L35" si="14">C27-C21</f>
        <v>0</v>
      </c>
      <c r="D35" s="41">
        <f t="shared" si="14"/>
        <v>0</v>
      </c>
      <c r="E35" s="41">
        <f t="shared" si="14"/>
        <v>0</v>
      </c>
      <c r="F35" s="105">
        <f t="shared" si="14"/>
        <v>0</v>
      </c>
      <c r="G35" s="40">
        <f t="shared" si="14"/>
        <v>0</v>
      </c>
      <c r="H35" s="41">
        <f t="shared" si="14"/>
        <v>0</v>
      </c>
      <c r="I35" s="61">
        <f t="shared" si="14"/>
        <v>0</v>
      </c>
      <c r="J35" s="116">
        <f t="shared" si="14"/>
        <v>0</v>
      </c>
      <c r="K35" s="41">
        <f t="shared" si="14"/>
        <v>0</v>
      </c>
      <c r="L35" s="61">
        <f t="shared" si="14"/>
        <v>0</v>
      </c>
    </row>
    <row r="36" spans="1:15" x14ac:dyDescent="0.35">
      <c r="A36" s="46" t="s">
        <v>106</v>
      </c>
      <c r="C36" s="99">
        <f t="shared" ref="C36:L36" si="15">C28-C22</f>
        <v>0</v>
      </c>
      <c r="D36" s="41">
        <f t="shared" si="15"/>
        <v>0</v>
      </c>
      <c r="E36" s="41">
        <f t="shared" si="15"/>
        <v>0</v>
      </c>
      <c r="F36" s="105">
        <f t="shared" si="15"/>
        <v>0</v>
      </c>
      <c r="G36" s="40">
        <f t="shared" si="15"/>
        <v>0</v>
      </c>
      <c r="H36" s="41">
        <f t="shared" si="15"/>
        <v>0</v>
      </c>
      <c r="I36" s="61">
        <f t="shared" si="15"/>
        <v>0</v>
      </c>
      <c r="J36" s="116">
        <f t="shared" si="15"/>
        <v>0</v>
      </c>
      <c r="K36" s="41">
        <f t="shared" si="15"/>
        <v>0</v>
      </c>
      <c r="L36" s="61">
        <f t="shared" si="15"/>
        <v>0</v>
      </c>
    </row>
    <row r="37" spans="1:15" x14ac:dyDescent="0.35">
      <c r="A37" s="46" t="s">
        <v>107</v>
      </c>
      <c r="C37" s="99">
        <f t="shared" ref="C37:L37" si="16">C29-C23</f>
        <v>0</v>
      </c>
      <c r="D37" s="41">
        <f t="shared" si="16"/>
        <v>0</v>
      </c>
      <c r="E37" s="41">
        <f t="shared" si="16"/>
        <v>0</v>
      </c>
      <c r="F37" s="105">
        <f t="shared" si="16"/>
        <v>0</v>
      </c>
      <c r="G37" s="40">
        <f t="shared" si="16"/>
        <v>0</v>
      </c>
      <c r="H37" s="41">
        <f t="shared" si="16"/>
        <v>0</v>
      </c>
      <c r="I37" s="61">
        <f t="shared" si="16"/>
        <v>0</v>
      </c>
      <c r="J37" s="116">
        <f t="shared" si="16"/>
        <v>0</v>
      </c>
      <c r="K37" s="41">
        <f t="shared" si="16"/>
        <v>0</v>
      </c>
      <c r="L37" s="61">
        <f t="shared" si="16"/>
        <v>0</v>
      </c>
    </row>
    <row r="38" spans="1:15" x14ac:dyDescent="0.35">
      <c r="C38" s="98"/>
      <c r="D38" s="17"/>
      <c r="E38" s="17"/>
      <c r="F38" s="17"/>
      <c r="G38" s="28"/>
      <c r="H38" s="17"/>
      <c r="I38" s="11"/>
      <c r="J38" s="17"/>
      <c r="K38" s="17"/>
      <c r="L38" s="11"/>
    </row>
    <row r="39" spans="1:15" ht="15" thickBot="1" x14ac:dyDescent="0.4">
      <c r="A39" s="46" t="s">
        <v>52</v>
      </c>
      <c r="C39" s="98"/>
      <c r="D39" s="17"/>
      <c r="E39" s="17"/>
      <c r="F39" s="17"/>
      <c r="G39" s="28"/>
      <c r="H39" s="17"/>
      <c r="I39" s="11"/>
      <c r="J39" s="17"/>
      <c r="K39" s="17"/>
      <c r="L39" s="11"/>
    </row>
    <row r="40" spans="1:15" x14ac:dyDescent="0.35">
      <c r="A40" s="46" t="s">
        <v>24</v>
      </c>
      <c r="B40" s="346">
        <v>-113801.98999999987</v>
      </c>
      <c r="C40" s="99">
        <f>B40+C34+B47</f>
        <v>-180558.02999999988</v>
      </c>
      <c r="D40" s="41">
        <f t="shared" ref="D40:L40" si="17">C40+D34+C47</f>
        <v>-163750.83999999988</v>
      </c>
      <c r="E40" s="41">
        <f t="shared" si="17"/>
        <v>-144690.74999999988</v>
      </c>
      <c r="F40" s="105">
        <f t="shared" si="17"/>
        <v>-119118.56999999989</v>
      </c>
      <c r="G40" s="40">
        <f t="shared" si="17"/>
        <v>-109356.2199999999</v>
      </c>
      <c r="H40" s="41">
        <f t="shared" si="17"/>
        <v>-102760.5299999999</v>
      </c>
      <c r="I40" s="61">
        <f t="shared" si="17"/>
        <v>-96762.5799999999</v>
      </c>
      <c r="J40" s="116">
        <f t="shared" si="17"/>
        <v>-90818.899999999892</v>
      </c>
      <c r="K40" s="41">
        <f t="shared" si="17"/>
        <v>-83230.889999999898</v>
      </c>
      <c r="L40" s="61">
        <f t="shared" si="17"/>
        <v>-72367.779999999882</v>
      </c>
    </row>
    <row r="41" spans="1:15" x14ac:dyDescent="0.35">
      <c r="A41" s="46" t="s">
        <v>105</v>
      </c>
      <c r="B41" s="347">
        <v>6.4570571112199104E-13</v>
      </c>
      <c r="C41" s="99">
        <f t="shared" ref="C41:L41" si="18">B41+C35+B48</f>
        <v>6.4570571112199104E-13</v>
      </c>
      <c r="D41" s="41">
        <f t="shared" si="18"/>
        <v>6.4570571112199104E-13</v>
      </c>
      <c r="E41" s="41">
        <f t="shared" si="18"/>
        <v>6.4570571112199104E-13</v>
      </c>
      <c r="F41" s="105">
        <f t="shared" si="18"/>
        <v>6.4570571112199104E-13</v>
      </c>
      <c r="G41" s="40">
        <f t="shared" si="18"/>
        <v>6.4570571112199104E-13</v>
      </c>
      <c r="H41" s="41">
        <f t="shared" si="18"/>
        <v>6.4570571112199104E-13</v>
      </c>
      <c r="I41" s="61">
        <f t="shared" si="18"/>
        <v>6.4570571112199104E-13</v>
      </c>
      <c r="J41" s="116">
        <f t="shared" si="18"/>
        <v>6.4570571112199104E-13</v>
      </c>
      <c r="K41" s="41">
        <f t="shared" si="18"/>
        <v>6.4570571112199104E-13</v>
      </c>
      <c r="L41" s="61">
        <f t="shared" si="18"/>
        <v>6.4570571112199104E-13</v>
      </c>
    </row>
    <row r="42" spans="1:15" x14ac:dyDescent="0.35">
      <c r="A42" s="46" t="s">
        <v>106</v>
      </c>
      <c r="B42" s="347">
        <v>1.0036416142611415E-13</v>
      </c>
      <c r="C42" s="99">
        <f t="shared" ref="C42:L42" si="19">B42+C36+B49</f>
        <v>1.0036416142611415E-13</v>
      </c>
      <c r="D42" s="41">
        <f t="shared" si="19"/>
        <v>1.0036416142611415E-13</v>
      </c>
      <c r="E42" s="41">
        <f t="shared" si="19"/>
        <v>1.0036416142611415E-13</v>
      </c>
      <c r="F42" s="105">
        <f t="shared" si="19"/>
        <v>1.0036416142611415E-13</v>
      </c>
      <c r="G42" s="40">
        <f t="shared" si="19"/>
        <v>1.0036416142611415E-13</v>
      </c>
      <c r="H42" s="41">
        <f t="shared" si="19"/>
        <v>1.0036416142611415E-13</v>
      </c>
      <c r="I42" s="61">
        <f t="shared" si="19"/>
        <v>1.0036416142611415E-13</v>
      </c>
      <c r="J42" s="116">
        <f t="shared" si="19"/>
        <v>1.0036416142611415E-13</v>
      </c>
      <c r="K42" s="41">
        <f t="shared" si="19"/>
        <v>1.0036416142611415E-13</v>
      </c>
      <c r="L42" s="61">
        <f t="shared" si="19"/>
        <v>1.0036416142611415E-13</v>
      </c>
    </row>
    <row r="43" spans="1:15" ht="15" thickBot="1" x14ac:dyDescent="0.4">
      <c r="A43" s="46" t="s">
        <v>107</v>
      </c>
      <c r="B43" s="348">
        <v>-6.3504757008558954E-14</v>
      </c>
      <c r="C43" s="99">
        <f t="shared" ref="C43:L43" si="20">B43+C37+B50</f>
        <v>-6.3504757008558954E-14</v>
      </c>
      <c r="D43" s="41">
        <f t="shared" si="20"/>
        <v>-6.3504757008558954E-14</v>
      </c>
      <c r="E43" s="41">
        <f t="shared" si="20"/>
        <v>-6.3504757008558954E-14</v>
      </c>
      <c r="F43" s="105">
        <f t="shared" si="20"/>
        <v>-6.3504757008558954E-14</v>
      </c>
      <c r="G43" s="40">
        <f t="shared" si="20"/>
        <v>-6.3504757008558954E-14</v>
      </c>
      <c r="H43" s="41">
        <f t="shared" si="20"/>
        <v>-6.3504757008558954E-14</v>
      </c>
      <c r="I43" s="61">
        <f t="shared" si="20"/>
        <v>-6.3504757008558954E-14</v>
      </c>
      <c r="J43" s="116">
        <f t="shared" si="20"/>
        <v>-6.3504757008558954E-14</v>
      </c>
      <c r="K43" s="41">
        <f t="shared" si="20"/>
        <v>-6.3504757008558954E-14</v>
      </c>
      <c r="L43" s="61">
        <f t="shared" si="20"/>
        <v>-6.3504757008558954E-14</v>
      </c>
    </row>
    <row r="44" spans="1:15" x14ac:dyDescent="0.35">
      <c r="C44" s="98"/>
      <c r="D44" s="17"/>
      <c r="E44" s="17"/>
      <c r="F44" s="17"/>
      <c r="G44" s="10"/>
      <c r="H44" s="17"/>
      <c r="I44" s="11"/>
      <c r="J44" s="17"/>
      <c r="K44" s="17"/>
      <c r="L44" s="11"/>
    </row>
    <row r="45" spans="1:15" x14ac:dyDescent="0.35">
      <c r="A45" s="39" t="s">
        <v>86</v>
      </c>
      <c r="B45" s="39"/>
      <c r="C45" s="101"/>
      <c r="D45" s="323">
        <f>+'PCR Cycle 2'!D47</f>
        <v>5.5686099999999999E-3</v>
      </c>
      <c r="E45" s="323">
        <f>+'PCR Cycle 2'!E47</f>
        <v>5.4837899999999997E-3</v>
      </c>
      <c r="F45" s="323">
        <f>+'PCR Cycle 2'!F47</f>
        <v>5.4684599999999996E-3</v>
      </c>
      <c r="G45" s="324">
        <f>+'PCR Cycle 2'!G47</f>
        <v>5.4552200000000002E-3</v>
      </c>
      <c r="H45" s="323">
        <f>+'PCR Cycle 2'!H47</f>
        <v>5.4582900000000002E-3</v>
      </c>
      <c r="I45" s="325">
        <f>+'PCR Cycle 2'!I47</f>
        <v>5.45277E-3</v>
      </c>
      <c r="J45" s="323">
        <f>+'PCR Cycle 2'!J47</f>
        <v>5.45277E-3</v>
      </c>
      <c r="K45" s="323">
        <f>+'PCR Cycle 2'!K47</f>
        <v>5.45277E-3</v>
      </c>
      <c r="L45" s="84"/>
    </row>
    <row r="46" spans="1:15" x14ac:dyDescent="0.35">
      <c r="A46" s="39" t="s">
        <v>36</v>
      </c>
      <c r="B46" s="39"/>
      <c r="C46" s="103"/>
      <c r="D46" s="82"/>
      <c r="E46" s="82"/>
      <c r="F46" s="82"/>
      <c r="G46" s="83"/>
      <c r="H46" s="82"/>
      <c r="I46" s="84"/>
      <c r="J46" s="82"/>
      <c r="K46" s="82"/>
      <c r="L46" s="84"/>
    </row>
    <row r="47" spans="1:15" x14ac:dyDescent="0.35">
      <c r="A47" s="46" t="s">
        <v>24</v>
      </c>
      <c r="C47" s="349">
        <v>1796.51</v>
      </c>
      <c r="D47" s="41">
        <f>ROUND((C40+C47+D34/2)*D$45,2)</f>
        <v>-953.66</v>
      </c>
      <c r="E47" s="41">
        <f t="shared" ref="E47:L47" si="21">ROUND((D40+D47+E34/2)*E$45,2)</f>
        <v>-848.33</v>
      </c>
      <c r="F47" s="105">
        <f t="shared" si="21"/>
        <v>-723.63</v>
      </c>
      <c r="G47" s="40">
        <f t="shared" si="21"/>
        <v>-625.16</v>
      </c>
      <c r="H47" s="116">
        <f t="shared" si="21"/>
        <v>-580.6</v>
      </c>
      <c r="I47" s="49">
        <f t="shared" si="21"/>
        <v>-545.55999999999995</v>
      </c>
      <c r="J47" s="151">
        <f t="shared" si="21"/>
        <v>-512.91</v>
      </c>
      <c r="K47" s="105">
        <f t="shared" si="21"/>
        <v>-475.93</v>
      </c>
      <c r="L47" s="61">
        <f t="shared" si="21"/>
        <v>0</v>
      </c>
      <c r="O47" s="47">
        <f>-SUM(J47:L47)</f>
        <v>988.83999999999992</v>
      </c>
    </row>
    <row r="48" spans="1:15" x14ac:dyDescent="0.35">
      <c r="A48" s="46" t="s">
        <v>105</v>
      </c>
      <c r="C48" s="349">
        <v>0</v>
      </c>
      <c r="D48" s="41">
        <f t="shared" ref="D48:L48" si="22">ROUND((C41+C48+D35/2)*D$45,2)</f>
        <v>0</v>
      </c>
      <c r="E48" s="41">
        <f t="shared" si="22"/>
        <v>0</v>
      </c>
      <c r="F48" s="105">
        <f t="shared" si="22"/>
        <v>0</v>
      </c>
      <c r="G48" s="40">
        <f>ROUND((F41+F48+G35/2)*G$45,2)*0</f>
        <v>0</v>
      </c>
      <c r="H48" s="116">
        <f t="shared" si="22"/>
        <v>0</v>
      </c>
      <c r="I48" s="49">
        <f t="shared" si="22"/>
        <v>0</v>
      </c>
      <c r="J48" s="151">
        <f t="shared" si="22"/>
        <v>0</v>
      </c>
      <c r="K48" s="105">
        <f t="shared" si="22"/>
        <v>0</v>
      </c>
      <c r="L48" s="61">
        <f t="shared" si="22"/>
        <v>0</v>
      </c>
      <c r="O48" s="47">
        <f t="shared" ref="O48:O50" si="23">-SUM(J48:L48)</f>
        <v>0</v>
      </c>
    </row>
    <row r="49" spans="1:15" x14ac:dyDescent="0.35">
      <c r="A49" s="46" t="s">
        <v>106</v>
      </c>
      <c r="C49" s="349">
        <v>0</v>
      </c>
      <c r="D49" s="41">
        <f t="shared" ref="D49:L49" si="24">ROUND((C42+C49+D36/2)*D$45,2)</f>
        <v>0</v>
      </c>
      <c r="E49" s="41">
        <f t="shared" si="24"/>
        <v>0</v>
      </c>
      <c r="F49" s="105">
        <f t="shared" si="24"/>
        <v>0</v>
      </c>
      <c r="G49" s="40">
        <f>ROUND((F42+F49+G36/2)*G$45,2)*0</f>
        <v>0</v>
      </c>
      <c r="H49" s="116">
        <f t="shared" si="24"/>
        <v>0</v>
      </c>
      <c r="I49" s="49">
        <f t="shared" si="24"/>
        <v>0</v>
      </c>
      <c r="J49" s="151">
        <f t="shared" si="24"/>
        <v>0</v>
      </c>
      <c r="K49" s="105">
        <f t="shared" si="24"/>
        <v>0</v>
      </c>
      <c r="L49" s="61">
        <f t="shared" si="24"/>
        <v>0</v>
      </c>
      <c r="O49" s="47">
        <f t="shared" si="23"/>
        <v>0</v>
      </c>
    </row>
    <row r="50" spans="1:15" ht="15" thickBot="1" x14ac:dyDescent="0.4">
      <c r="A50" s="46" t="s">
        <v>107</v>
      </c>
      <c r="C50" s="349">
        <v>0</v>
      </c>
      <c r="D50" s="41">
        <f t="shared" ref="D50:L50" si="25">ROUND((C43+C50+D37/2)*D$45,2)</f>
        <v>0</v>
      </c>
      <c r="E50" s="41">
        <f t="shared" si="25"/>
        <v>0</v>
      </c>
      <c r="F50" s="105">
        <f t="shared" si="25"/>
        <v>0</v>
      </c>
      <c r="G50" s="40">
        <f>ROUND((F43+F50+G37/2)*G$45,2)*0</f>
        <v>0</v>
      </c>
      <c r="H50" s="116">
        <f t="shared" si="25"/>
        <v>0</v>
      </c>
      <c r="I50" s="49">
        <f t="shared" si="25"/>
        <v>0</v>
      </c>
      <c r="J50" s="151">
        <f t="shared" si="25"/>
        <v>0</v>
      </c>
      <c r="K50" s="105">
        <f t="shared" si="25"/>
        <v>0</v>
      </c>
      <c r="L50" s="61">
        <f t="shared" si="25"/>
        <v>0</v>
      </c>
      <c r="O50" s="47">
        <f t="shared" si="23"/>
        <v>0</v>
      </c>
    </row>
    <row r="51" spans="1:15" ht="15.5" thickTop="1" thickBot="1" x14ac:dyDescent="0.4">
      <c r="A51" s="54" t="s">
        <v>22</v>
      </c>
      <c r="B51" s="54"/>
      <c r="C51" s="104">
        <v>0</v>
      </c>
      <c r="D51" s="42">
        <f t="shared" ref="D51:I51" si="26">SUM(D47:D50)+SUM(D40:D43)-D54</f>
        <v>0</v>
      </c>
      <c r="E51" s="42">
        <f t="shared" si="26"/>
        <v>0</v>
      </c>
      <c r="F51" s="50">
        <f t="shared" ref="F51:H51" si="27">SUM(F47:F50)+SUM(F40:F43)-F54</f>
        <v>0</v>
      </c>
      <c r="G51" s="266">
        <f t="shared" si="27"/>
        <v>0</v>
      </c>
      <c r="H51" s="50">
        <f t="shared" si="27"/>
        <v>0</v>
      </c>
      <c r="I51" s="62">
        <f t="shared" si="26"/>
        <v>0</v>
      </c>
      <c r="J51" s="152">
        <f t="shared" ref="J51:L51" si="28">SUM(J47:J50)+SUM(J40:J43)-J54</f>
        <v>0</v>
      </c>
      <c r="K51" s="50">
        <f t="shared" si="28"/>
        <v>0</v>
      </c>
      <c r="L51" s="62">
        <f t="shared" si="28"/>
        <v>0</v>
      </c>
    </row>
    <row r="52" spans="1:15" ht="15.5" thickTop="1" thickBot="1" x14ac:dyDescent="0.4">
      <c r="A52" s="54" t="s">
        <v>23</v>
      </c>
      <c r="B52" s="54"/>
      <c r="C52" s="104">
        <v>0</v>
      </c>
      <c r="D52" s="42">
        <f t="shared" ref="D52:I52" si="29">SUM(D47:D50)-D31</f>
        <v>0</v>
      </c>
      <c r="E52" s="42">
        <f t="shared" si="29"/>
        <v>0</v>
      </c>
      <c r="F52" s="50">
        <f t="shared" ref="F52:H52" si="30">SUM(F47:F50)-F31</f>
        <v>0</v>
      </c>
      <c r="G52" s="266">
        <f t="shared" si="30"/>
        <v>0</v>
      </c>
      <c r="H52" s="50">
        <f t="shared" si="30"/>
        <v>0</v>
      </c>
      <c r="I52" s="62">
        <f t="shared" si="29"/>
        <v>0</v>
      </c>
      <c r="J52" s="153">
        <f t="shared" ref="J52:L52" si="31">SUM(J47:J50)-J31</f>
        <v>0</v>
      </c>
      <c r="K52" s="42">
        <f t="shared" si="31"/>
        <v>0</v>
      </c>
      <c r="L52" s="42">
        <f t="shared" si="31"/>
        <v>0</v>
      </c>
    </row>
    <row r="53" spans="1:15" ht="15.5" thickTop="1" thickBot="1" x14ac:dyDescent="0.4">
      <c r="C53" s="98"/>
      <c r="D53" s="17"/>
      <c r="E53" s="17"/>
      <c r="F53" s="17"/>
      <c r="G53" s="10"/>
      <c r="H53" s="17"/>
      <c r="I53" s="11"/>
      <c r="J53" s="17"/>
      <c r="K53" s="17"/>
      <c r="L53" s="11"/>
    </row>
    <row r="54" spans="1:15" ht="15" thickBot="1" x14ac:dyDescent="0.4">
      <c r="A54" s="46" t="s">
        <v>35</v>
      </c>
      <c r="B54" s="113">
        <f>SUM(B40:B43)</f>
        <v>-113801.98999999987</v>
      </c>
      <c r="C54" s="99">
        <f t="shared" ref="C54:L54" si="32">(C17-SUM(C20:C23))+SUM(C47:C50)+B54</f>
        <v>-178761.51999999987</v>
      </c>
      <c r="D54" s="41">
        <f t="shared" si="32"/>
        <v>-164704.49999999988</v>
      </c>
      <c r="E54" s="41">
        <f t="shared" si="32"/>
        <v>-145539.0799999999</v>
      </c>
      <c r="F54" s="105">
        <f t="shared" si="32"/>
        <v>-119842.1999999999</v>
      </c>
      <c r="G54" s="40">
        <f t="shared" si="32"/>
        <v>-109981.37999999989</v>
      </c>
      <c r="H54" s="41">
        <f t="shared" si="32"/>
        <v>-103341.12999999989</v>
      </c>
      <c r="I54" s="61">
        <f t="shared" si="32"/>
        <v>-97308.139999999883</v>
      </c>
      <c r="J54" s="151">
        <f t="shared" si="32"/>
        <v>-91331.809999999881</v>
      </c>
      <c r="K54" s="105">
        <f t="shared" si="32"/>
        <v>-83706.819999999876</v>
      </c>
      <c r="L54" s="61">
        <f t="shared" si="32"/>
        <v>-72367.779999999882</v>
      </c>
    </row>
    <row r="55" spans="1:15" x14ac:dyDescent="0.35">
      <c r="A55" s="46" t="s">
        <v>12</v>
      </c>
      <c r="C55" s="114"/>
      <c r="D55" s="17"/>
      <c r="E55" s="17"/>
      <c r="F55" s="17"/>
      <c r="G55" s="10"/>
      <c r="H55" s="17"/>
      <c r="I55" s="11"/>
      <c r="J55" s="17"/>
      <c r="K55" s="17"/>
      <c r="L55" s="11"/>
    </row>
    <row r="56" spans="1:15" ht="15" thickBot="1" x14ac:dyDescent="0.4">
      <c r="A56" s="37"/>
      <c r="B56" s="37"/>
      <c r="C56" s="138"/>
      <c r="D56" s="44"/>
      <c r="E56" s="44"/>
      <c r="F56" s="44"/>
      <c r="G56" s="43"/>
      <c r="H56" s="44"/>
      <c r="I56" s="45"/>
      <c r="J56" s="44"/>
      <c r="K56" s="44"/>
      <c r="L56" s="45"/>
    </row>
    <row r="58" spans="1:15" x14ac:dyDescent="0.35">
      <c r="A58" s="69" t="s">
        <v>11</v>
      </c>
      <c r="B58" s="69"/>
      <c r="C58" s="69"/>
    </row>
    <row r="59" spans="1:15" x14ac:dyDescent="0.35">
      <c r="A59" s="385" t="s">
        <v>165</v>
      </c>
      <c r="B59" s="385"/>
      <c r="C59" s="385"/>
      <c r="D59" s="385"/>
      <c r="E59" s="385"/>
      <c r="F59" s="385"/>
      <c r="G59" s="385"/>
      <c r="H59" s="385"/>
      <c r="I59" s="385"/>
      <c r="J59" s="275"/>
      <c r="K59" s="275"/>
      <c r="L59" s="275"/>
    </row>
    <row r="60" spans="1:15" ht="58.5" customHeight="1" x14ac:dyDescent="0.35">
      <c r="A60" s="368" t="s">
        <v>301</v>
      </c>
      <c r="B60" s="368"/>
      <c r="C60" s="368"/>
      <c r="D60" s="368"/>
      <c r="E60" s="368"/>
      <c r="F60" s="368"/>
      <c r="G60" s="368"/>
      <c r="H60" s="368"/>
      <c r="I60" s="368"/>
      <c r="J60" s="275"/>
      <c r="K60" s="275"/>
    </row>
    <row r="61" spans="1:15" x14ac:dyDescent="0.35">
      <c r="A61" s="368" t="s">
        <v>304</v>
      </c>
      <c r="B61" s="368"/>
      <c r="C61" s="368"/>
      <c r="D61" s="368"/>
      <c r="E61" s="368"/>
      <c r="F61" s="368"/>
      <c r="G61" s="368"/>
      <c r="H61" s="368"/>
      <c r="I61" s="368"/>
      <c r="J61" s="275"/>
      <c r="K61" s="275"/>
      <c r="L61" s="275"/>
    </row>
    <row r="62" spans="1:15" x14ac:dyDescent="0.35">
      <c r="A62" s="63" t="s">
        <v>286</v>
      </c>
      <c r="B62" s="63"/>
      <c r="C62" s="63"/>
      <c r="D62" s="39"/>
      <c r="E62" s="39"/>
      <c r="F62" s="39"/>
      <c r="G62" s="39"/>
      <c r="H62" s="39"/>
      <c r="I62" s="360"/>
    </row>
    <row r="63" spans="1:15" x14ac:dyDescent="0.35">
      <c r="A63" s="3" t="s">
        <v>123</v>
      </c>
      <c r="B63" s="3"/>
      <c r="C63" s="3"/>
      <c r="I63" s="4"/>
    </row>
    <row r="64" spans="1:15" x14ac:dyDescent="0.35">
      <c r="A64" s="3"/>
      <c r="B64" s="63"/>
      <c r="C64" s="63"/>
      <c r="D64" s="39"/>
      <c r="E64" s="39"/>
      <c r="F64" s="39"/>
      <c r="G64" s="39"/>
      <c r="H64" s="39"/>
      <c r="I64" s="39"/>
    </row>
    <row r="65" spans="1:3" x14ac:dyDescent="0.35">
      <c r="A65" s="3"/>
      <c r="B65" s="3"/>
      <c r="C65" s="3"/>
    </row>
  </sheetData>
  <mergeCells count="6">
    <mergeCell ref="A61:I61"/>
    <mergeCell ref="D15:F15"/>
    <mergeCell ref="G15:I15"/>
    <mergeCell ref="J15:L15"/>
    <mergeCell ref="A59:I59"/>
    <mergeCell ref="A60:I60"/>
  </mergeCells>
  <pageMargins left="0.2" right="0.2" top="0.75" bottom="0.25" header="0.3" footer="0.3"/>
  <pageSetup scale="62" orientation="landscape" r:id="rId1"/>
  <headerFooter>
    <oddHeader>&amp;C&amp;F &amp;A&amp;R&amp;"Arial"&amp;10&amp;K000000CONFIDENTIAL</oddHeader>
    <oddFooter xml:space="preserve">&amp;R_x000D_&amp;1#&amp;"Calibri"&amp;10&amp;KA80000 Restricted – Sensitive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0"/>
  <sheetViews>
    <sheetView tabSelected="1" zoomScale="90" zoomScaleNormal="90" workbookViewId="0">
      <selection activeCell="E10" sqref="E10"/>
    </sheetView>
  </sheetViews>
  <sheetFormatPr defaultRowHeight="14.5" outlineLevelCol="1" x14ac:dyDescent="0.35"/>
  <cols>
    <col min="2" max="2" width="25.1796875" customWidth="1"/>
    <col min="3" max="4" width="16.7265625" bestFit="1" customWidth="1"/>
    <col min="5" max="5" width="15.453125" bestFit="1" customWidth="1"/>
    <col min="6" max="6" width="14.26953125" bestFit="1" customWidth="1"/>
    <col min="7" max="7" width="19.1796875" bestFit="1" customWidth="1"/>
    <col min="8" max="8" width="14.26953125" bestFit="1" customWidth="1"/>
    <col min="9" max="9" width="3.54296875" customWidth="1"/>
    <col min="10" max="10" width="13.7265625" bestFit="1" customWidth="1"/>
    <col min="11" max="11" width="13" bestFit="1" customWidth="1"/>
    <col min="12" max="12" width="13.7265625" bestFit="1" customWidth="1"/>
    <col min="13" max="13" width="14.26953125" bestFit="1" customWidth="1"/>
    <col min="14" max="14" width="12.26953125" bestFit="1" customWidth="1"/>
    <col min="15" max="16" width="16" bestFit="1" customWidth="1" outlineLevel="1"/>
    <col min="17" max="17" width="16" style="46" customWidth="1" outlineLevel="1"/>
    <col min="18" max="18" width="9.1796875" customWidth="1" outlineLevel="1"/>
    <col min="19" max="20" width="16.7265625" bestFit="1" customWidth="1" outlineLevel="1"/>
    <col min="21" max="21" width="16.7265625" style="46" bestFit="1" customWidth="1" outlineLevel="1"/>
    <col min="22" max="22" width="16.7265625" bestFit="1" customWidth="1" outlineLevel="1"/>
    <col min="23" max="23" width="9.1796875" customWidth="1" outlineLevel="1"/>
    <col min="24" max="27" width="16.7265625" bestFit="1" customWidth="1" outlineLevel="1"/>
    <col min="28" max="28" width="12.81640625" bestFit="1" customWidth="1"/>
    <col min="29" max="32" width="16.7265625" customWidth="1"/>
    <col min="33" max="33" width="12.81640625" bestFit="1" customWidth="1"/>
  </cols>
  <sheetData>
    <row r="1" spans="1:33" x14ac:dyDescent="0.35">
      <c r="A1" s="3" t="str">
        <f>+'PPC Cycle 3'!A1</f>
        <v>Evergy Missouri West, Inc. - DSIM Rider Update Filed 06/01/2024</v>
      </c>
    </row>
    <row r="2" spans="1:33" ht="15" thickBot="1" x14ac:dyDescent="0.4">
      <c r="H2" s="46"/>
      <c r="I2" s="46"/>
      <c r="J2" s="48"/>
      <c r="K2" s="48"/>
    </row>
    <row r="3" spans="1:33" ht="27.5" thickBot="1" x14ac:dyDescent="0.4">
      <c r="B3" s="86" t="s">
        <v>7</v>
      </c>
      <c r="C3" s="123" t="s">
        <v>19</v>
      </c>
      <c r="D3" s="123" t="s">
        <v>20</v>
      </c>
      <c r="E3" s="123" t="s">
        <v>56</v>
      </c>
      <c r="F3" s="123" t="s">
        <v>21</v>
      </c>
      <c r="G3" s="123" t="s">
        <v>37</v>
      </c>
      <c r="H3" s="88" t="s">
        <v>28</v>
      </c>
      <c r="I3" s="39"/>
      <c r="J3" s="87" t="s">
        <v>13</v>
      </c>
      <c r="K3" s="88" t="s">
        <v>55</v>
      </c>
      <c r="L3" s="88" t="s">
        <v>70</v>
      </c>
      <c r="M3" s="88" t="s">
        <v>71</v>
      </c>
      <c r="N3" s="290" t="s">
        <v>222</v>
      </c>
      <c r="O3" s="17"/>
    </row>
    <row r="4" spans="1:33" ht="15" thickBot="1" x14ac:dyDescent="0.4">
      <c r="B4" s="89" t="s">
        <v>24</v>
      </c>
      <c r="C4" s="121">
        <f t="shared" ref="C4:F7" si="0">C12+C20</f>
        <v>3893333.9423199999</v>
      </c>
      <c r="D4" s="122">
        <f t="shared" si="0"/>
        <v>1993815.0899999999</v>
      </c>
      <c r="E4" s="122">
        <f t="shared" si="0"/>
        <v>2815151.4078199994</v>
      </c>
      <c r="F4" s="122">
        <f t="shared" si="0"/>
        <v>-77018.179999999862</v>
      </c>
      <c r="G4" s="287">
        <f>+'PPC Cycle 3'!B5</f>
        <v>3692703369</v>
      </c>
      <c r="H4" s="260">
        <f>ROUND(SUM(C4:F4)/G4,5)</f>
        <v>2.3400000000000001E-3</v>
      </c>
      <c r="I4" s="261"/>
      <c r="J4" s="364">
        <f>ROUND((C12+C20)/G4,5)+0.00001</f>
        <v>1.06E-3</v>
      </c>
      <c r="K4" s="268">
        <f>ROUND((D12+D20)/G4,5)</f>
        <v>5.4000000000000001E-4</v>
      </c>
      <c r="L4" s="125">
        <f>ROUND((E12+E20)/G4,5)</f>
        <v>7.6000000000000004E-4</v>
      </c>
      <c r="M4" s="125">
        <f>ROUND((F12+F20)/G4,5)</f>
        <v>-2.0000000000000002E-5</v>
      </c>
      <c r="N4" s="289">
        <f>+H4-SUM(J4:M4)</f>
        <v>0</v>
      </c>
      <c r="O4" s="244"/>
      <c r="P4" s="244"/>
      <c r="Q4" s="244"/>
      <c r="R4" s="244"/>
      <c r="S4" s="244"/>
    </row>
    <row r="5" spans="1:33" ht="15" thickBot="1" x14ac:dyDescent="0.4">
      <c r="B5" s="89" t="s">
        <v>105</v>
      </c>
      <c r="C5" s="121">
        <f t="shared" si="0"/>
        <v>1095994.1200000001</v>
      </c>
      <c r="D5" s="122">
        <f t="shared" si="0"/>
        <v>811497.35</v>
      </c>
      <c r="E5" s="122">
        <f t="shared" si="0"/>
        <v>567738.67999999993</v>
      </c>
      <c r="F5" s="122">
        <f t="shared" si="0"/>
        <v>0</v>
      </c>
      <c r="G5" s="287">
        <f>+'PPC Cycle 3'!B6</f>
        <v>1385633036</v>
      </c>
      <c r="H5" s="260">
        <f>ROUND(SUM(C5:F5)/G5,5)</f>
        <v>1.7899999999999999E-3</v>
      </c>
      <c r="I5" s="261"/>
      <c r="J5" s="233">
        <f>ROUND((C13+C21)/G5,5)</f>
        <v>7.9000000000000001E-4</v>
      </c>
      <c r="K5" s="268">
        <f>ROUND((D13+D21)/G5,5)</f>
        <v>5.9000000000000003E-4</v>
      </c>
      <c r="L5" s="125">
        <f>ROUND((E13+E21)/G5,5)</f>
        <v>4.0999999999999999E-4</v>
      </c>
      <c r="M5" s="125">
        <f>ROUND((F13+F21)/G5,5)</f>
        <v>0</v>
      </c>
      <c r="N5" s="289">
        <f t="shared" ref="N5:N7" si="1">+H5-SUM(J5:M5)</f>
        <v>0</v>
      </c>
      <c r="O5" s="244">
        <f>C5/SUM(C$5:C$7)</f>
        <v>0.84297453065699068</v>
      </c>
      <c r="P5" s="244">
        <f t="shared" ref="P5:Q5" si="2">D5/SUM(D$5:D$7)</f>
        <v>0.46741462851287502</v>
      </c>
      <c r="Q5" s="244">
        <f t="shared" si="2"/>
        <v>0.28269476304816826</v>
      </c>
      <c r="R5" s="244" t="e">
        <f>F5/SUM(F$5:F$7)</f>
        <v>#DIV/0!</v>
      </c>
      <c r="S5" s="244">
        <f>G5/SUM(G$5:G$7)</f>
        <v>0.41515230425874206</v>
      </c>
    </row>
    <row r="6" spans="1:33" s="46" customFormat="1" ht="15" thickBot="1" x14ac:dyDescent="0.4">
      <c r="B6" s="89" t="s">
        <v>106</v>
      </c>
      <c r="C6" s="121">
        <f t="shared" si="0"/>
        <v>424315.25999999989</v>
      </c>
      <c r="D6" s="122">
        <f t="shared" si="0"/>
        <v>776038.34000000008</v>
      </c>
      <c r="E6" s="122">
        <f t="shared" si="0"/>
        <v>836264.16999999993</v>
      </c>
      <c r="F6" s="122">
        <f t="shared" si="0"/>
        <v>0</v>
      </c>
      <c r="G6" s="287">
        <f>+'PPC Cycle 3'!B7</f>
        <v>1175390871</v>
      </c>
      <c r="H6" s="260">
        <f>ROUND(SUM(C6:F6)/G6,5)</f>
        <v>1.73E-3</v>
      </c>
      <c r="I6" s="261"/>
      <c r="J6" s="233">
        <f>ROUND((C14+C22)/G6,5)</f>
        <v>3.6000000000000002E-4</v>
      </c>
      <c r="K6" s="268">
        <f>ROUND((D14+D22)/G6,5)</f>
        <v>6.6E-4</v>
      </c>
      <c r="L6" s="125">
        <f>ROUND((E14+E22)/G6,5)</f>
        <v>7.1000000000000002E-4</v>
      </c>
      <c r="M6" s="125">
        <f>ROUND((F14+F22)/G6,5)</f>
        <v>0</v>
      </c>
      <c r="N6" s="289">
        <f t="shared" si="1"/>
        <v>0</v>
      </c>
      <c r="O6" s="244">
        <f t="shared" ref="O6:O7" si="3">C6/SUM(C$5:C$7)</f>
        <v>0.32635846362852644</v>
      </c>
      <c r="P6" s="244">
        <f t="shared" ref="P6:P7" si="4">D6/SUM(D$5:D$7)</f>
        <v>0.44699058155007931</v>
      </c>
      <c r="Q6" s="244">
        <f t="shared" ref="Q6:Q7" si="5">E6/SUM(E$5:E$7)</f>
        <v>0.4164019639877683</v>
      </c>
      <c r="R6" s="244" t="e">
        <f>F6/SUM(F$5:F$7)</f>
        <v>#DIV/0!</v>
      </c>
      <c r="S6" s="244">
        <f t="shared" ref="S6:S7" si="6">G6/SUM(G$5:G$7)</f>
        <v>0.35216122582425191</v>
      </c>
    </row>
    <row r="7" spans="1:33" s="46" customFormat="1" ht="15" thickBot="1" x14ac:dyDescent="0.4">
      <c r="B7" s="89" t="s">
        <v>107</v>
      </c>
      <c r="C7" s="121">
        <f t="shared" si="0"/>
        <v>-220158.44999999972</v>
      </c>
      <c r="D7" s="122">
        <f t="shared" si="0"/>
        <v>148604.56000000003</v>
      </c>
      <c r="E7" s="122">
        <f t="shared" si="0"/>
        <v>604307.01</v>
      </c>
      <c r="F7" s="122">
        <f t="shared" si="0"/>
        <v>0</v>
      </c>
      <c r="G7" s="287">
        <f>+'PPC Cycle 3'!B8</f>
        <v>776625967</v>
      </c>
      <c r="H7" s="260">
        <f>ROUND(SUM(C7:F7)/G7,5)</f>
        <v>6.8999999999999997E-4</v>
      </c>
      <c r="I7" s="261"/>
      <c r="J7" s="233">
        <f>ROUND((C15+C23)/G7,5)</f>
        <v>-2.7999999999999998E-4</v>
      </c>
      <c r="K7" s="268">
        <f>ROUND((D15+D23)/G7,5)</f>
        <v>1.9000000000000001E-4</v>
      </c>
      <c r="L7" s="125">
        <f>ROUND((E15+E23)/G7,5)</f>
        <v>7.7999999999999999E-4</v>
      </c>
      <c r="M7" s="125">
        <f>ROUND((F15+F23)/G7,5)</f>
        <v>0</v>
      </c>
      <c r="N7" s="289">
        <f t="shared" si="1"/>
        <v>0</v>
      </c>
      <c r="O7" s="244">
        <f t="shared" si="3"/>
        <v>-0.16933299428551707</v>
      </c>
      <c r="P7" s="244">
        <f t="shared" si="4"/>
        <v>8.5594789937045709E-2</v>
      </c>
      <c r="Q7" s="244">
        <f t="shared" si="5"/>
        <v>0.30090327296406344</v>
      </c>
      <c r="R7" s="244" t="e">
        <f>F7/SUM(F$5:F$7)</f>
        <v>#DIV/0!</v>
      </c>
      <c r="S7" s="244">
        <f t="shared" si="6"/>
        <v>0.23268646991700603</v>
      </c>
    </row>
    <row r="8" spans="1:33" x14ac:dyDescent="0.35">
      <c r="C8" s="120"/>
      <c r="D8" s="120"/>
      <c r="E8" s="120"/>
      <c r="F8" s="120"/>
      <c r="G8" s="119"/>
      <c r="H8" s="262"/>
      <c r="I8" s="262"/>
      <c r="J8" s="262"/>
    </row>
    <row r="9" spans="1:33" x14ac:dyDescent="0.35">
      <c r="C9" s="120"/>
      <c r="D9" s="120"/>
      <c r="E9" s="120"/>
      <c r="F9" s="120"/>
      <c r="G9" s="119"/>
      <c r="H9" s="46"/>
      <c r="I9" s="46"/>
      <c r="J9" s="17"/>
      <c r="K9" s="17"/>
      <c r="L9" s="46"/>
      <c r="M9" s="46"/>
    </row>
    <row r="10" spans="1:33" ht="15" thickBot="1" x14ac:dyDescent="0.4">
      <c r="C10" s="120"/>
      <c r="D10" s="120"/>
      <c r="E10" s="120"/>
      <c r="F10" s="120"/>
      <c r="G10" s="119"/>
      <c r="H10" s="46"/>
      <c r="I10" s="46"/>
      <c r="J10" s="17"/>
      <c r="K10" s="17"/>
      <c r="L10" s="46"/>
      <c r="M10" s="46"/>
    </row>
    <row r="11" spans="1:33" ht="15" thickBot="1" x14ac:dyDescent="0.4">
      <c r="B11" s="86" t="s">
        <v>7</v>
      </c>
      <c r="C11" s="124" t="s">
        <v>6</v>
      </c>
      <c r="D11" s="124" t="s">
        <v>16</v>
      </c>
      <c r="E11" s="124" t="s">
        <v>57</v>
      </c>
      <c r="F11" s="124" t="s">
        <v>17</v>
      </c>
      <c r="G11" s="119"/>
      <c r="H11" s="46"/>
      <c r="I11" s="46"/>
      <c r="J11" s="17"/>
      <c r="K11" s="17"/>
      <c r="L11" s="46"/>
      <c r="M11" s="46"/>
      <c r="O11" s="124" t="s">
        <v>72</v>
      </c>
      <c r="P11" s="124" t="s">
        <v>73</v>
      </c>
      <c r="Q11" s="124" t="s">
        <v>80</v>
      </c>
      <c r="R11" s="46"/>
      <c r="S11" s="124" t="s">
        <v>74</v>
      </c>
      <c r="T11" s="124" t="s">
        <v>75</v>
      </c>
      <c r="U11" s="124" t="s">
        <v>101</v>
      </c>
      <c r="V11" s="124" t="s">
        <v>91</v>
      </c>
      <c r="X11" s="124" t="s">
        <v>112</v>
      </c>
      <c r="Y11" s="124" t="s">
        <v>113</v>
      </c>
      <c r="Z11" s="124" t="s">
        <v>114</v>
      </c>
      <c r="AA11" s="124" t="s">
        <v>115</v>
      </c>
      <c r="AC11" s="124" t="s">
        <v>237</v>
      </c>
      <c r="AD11" s="124" t="s">
        <v>238</v>
      </c>
      <c r="AE11" s="124" t="s">
        <v>239</v>
      </c>
      <c r="AF11" s="124" t="s">
        <v>240</v>
      </c>
      <c r="AG11" s="46"/>
    </row>
    <row r="12" spans="1:33" ht="15" thickBot="1" x14ac:dyDescent="0.4">
      <c r="B12" s="89" t="s">
        <v>24</v>
      </c>
      <c r="C12" s="288">
        <f>+'PPC Cycle 3'!C5</f>
        <v>4124064.91</v>
      </c>
      <c r="D12" s="288">
        <f>'PTD Cycle 2'!C6+'PTD Cycle 3'!C6</f>
        <v>1997976.92</v>
      </c>
      <c r="E12" s="288">
        <f>+'EO Cycle 2'!G7+'EO Cycle 3'!G7</f>
        <v>2393007.12</v>
      </c>
      <c r="F12" s="288">
        <f>+'OA Cycle 3'!F9</f>
        <v>0</v>
      </c>
      <c r="G12" s="119"/>
      <c r="H12" s="46"/>
      <c r="I12" s="46"/>
      <c r="J12" s="46"/>
      <c r="K12" s="46"/>
      <c r="L12" s="46"/>
      <c r="M12" s="46"/>
      <c r="O12" s="291">
        <v>0</v>
      </c>
      <c r="P12" s="291">
        <v>0</v>
      </c>
      <c r="Q12" s="292">
        <v>0</v>
      </c>
      <c r="R12" s="146"/>
      <c r="S12" s="293">
        <v>0</v>
      </c>
      <c r="T12" s="294">
        <f>ROUND(+'PTD Cycle 2'!C6/'Tariff Tables'!G4,5)</f>
        <v>0</v>
      </c>
      <c r="U12" s="294">
        <f>ROUND('EO Cycle 2'!G7/'Tariff Tables'!G4,5)</f>
        <v>0</v>
      </c>
      <c r="V12" s="294">
        <f>ROUND(0/'Tariff Tables'!G4,5)</f>
        <v>0</v>
      </c>
      <c r="X12" s="294">
        <f>ROUND('PPC Cycle 3'!C5/'Tariff Tables'!$G4,5)</f>
        <v>1.1199999999999999E-3</v>
      </c>
      <c r="Y12" s="294">
        <f>ROUND('PTD Cycle 3'!C6/'Tariff Tables'!G4,5)</f>
        <v>5.4000000000000001E-4</v>
      </c>
      <c r="Z12" s="294">
        <f>ROUND('EO Cycle 3'!G7/'Tariff Tables'!G4,5)</f>
        <v>6.4999999999999997E-4</v>
      </c>
      <c r="AA12" s="294">
        <f>ROUND('OA Cycle 3'!F9/'Tariff Tables'!G4,5)</f>
        <v>0</v>
      </c>
      <c r="AB12" s="146"/>
      <c r="AC12" s="294"/>
      <c r="AD12" s="294"/>
      <c r="AE12" s="294"/>
      <c r="AF12" s="294"/>
      <c r="AG12" s="146">
        <f ca="1">SUM($O12:OFFSET(AG12,0,-1),$O20:OFFSET(AG20,0,-1))</f>
        <v>2.3399999999999996E-3</v>
      </c>
    </row>
    <row r="13" spans="1:33" ht="15" thickBot="1" x14ac:dyDescent="0.4">
      <c r="B13" s="89" t="s">
        <v>105</v>
      </c>
      <c r="C13" s="288">
        <f>+'PPC Cycle 3'!C6</f>
        <v>955159.72</v>
      </c>
      <c r="D13" s="288">
        <f>'PTD Cycle 2'!C10+'PTD Cycle 3'!C7</f>
        <v>859788.4</v>
      </c>
      <c r="E13" s="288">
        <f>+'EO Cycle 2'!G11+'EO Cycle 3'!G11</f>
        <v>513211.60000000003</v>
      </c>
      <c r="F13" s="288">
        <f>+'OA Cycle 3'!F14</f>
        <v>0</v>
      </c>
      <c r="G13" s="119"/>
      <c r="H13" s="46"/>
      <c r="I13" s="46"/>
      <c r="J13" s="46"/>
      <c r="K13" s="46"/>
      <c r="L13" s="46"/>
      <c r="M13" s="46"/>
      <c r="O13" s="291">
        <v>0</v>
      </c>
      <c r="P13" s="291">
        <v>0</v>
      </c>
      <c r="Q13" s="292">
        <v>0</v>
      </c>
      <c r="R13" s="146"/>
      <c r="S13" s="293">
        <v>0</v>
      </c>
      <c r="T13" s="295">
        <f>ROUND(+'PTD Cycle 2'!C10/'Tariff Tables'!G5,5)</f>
        <v>0</v>
      </c>
      <c r="U13" s="296">
        <f>ROUND('EO Cycle 2'!G11/'Tariff Tables'!G5,5)</f>
        <v>0</v>
      </c>
      <c r="V13" s="295">
        <f>ROUND('OA Cycle 2'!B13/'Tariff Tables'!G5,5)</f>
        <v>0</v>
      </c>
      <c r="X13" s="294">
        <f>ROUND('PPC Cycle 3'!C6/'Tariff Tables'!$G5,5)</f>
        <v>6.8999999999999997E-4</v>
      </c>
      <c r="Y13" s="294">
        <f>ROUND('PTD Cycle 3'!C7/'Tariff Tables'!G5,5)</f>
        <v>6.2E-4</v>
      </c>
      <c r="Z13" s="294">
        <f>ROUND('EO Cycle 3'!G11/'Tariff Tables'!G5,5)</f>
        <v>3.6999999999999999E-4</v>
      </c>
      <c r="AA13" s="294">
        <f>ROUND(0/'Tariff Tables'!G5,5)</f>
        <v>0</v>
      </c>
      <c r="AB13" s="146"/>
      <c r="AC13" s="294"/>
      <c r="AD13" s="294"/>
      <c r="AE13" s="294"/>
      <c r="AF13" s="294"/>
      <c r="AG13" s="146">
        <f ca="1">SUM($O13:OFFSET(AG13,0,-1),$O21:OFFSET(AG21,0,-1))</f>
        <v>1.7900000000000004E-3</v>
      </c>
    </row>
    <row r="14" spans="1:33" s="46" customFormat="1" ht="15" thickBot="1" x14ac:dyDescent="0.4">
      <c r="B14" s="89" t="s">
        <v>106</v>
      </c>
      <c r="C14" s="288">
        <f>+'PPC Cycle 3'!C7</f>
        <v>1008132.19</v>
      </c>
      <c r="D14" s="288">
        <f>'PTD Cycle 2'!C11+'PTD Cycle 3'!C8</f>
        <v>703304.16999999993</v>
      </c>
      <c r="E14" s="288">
        <f>+'EO Cycle 2'!G12+'EO Cycle 3'!G12</f>
        <v>725228.98</v>
      </c>
      <c r="F14" s="288">
        <f>+'OA Cycle 3'!F15</f>
        <v>0</v>
      </c>
      <c r="G14" s="119"/>
      <c r="O14" s="291">
        <v>0</v>
      </c>
      <c r="P14" s="291">
        <v>0</v>
      </c>
      <c r="Q14" s="292">
        <v>0</v>
      </c>
      <c r="R14" s="222"/>
      <c r="S14" s="293">
        <v>0</v>
      </c>
      <c r="T14" s="295">
        <f>ROUND(+'PTD Cycle 2'!C11/'Tariff Tables'!G6,5)</f>
        <v>0</v>
      </c>
      <c r="U14" s="296">
        <f>ROUND('EO Cycle 2'!G12/'Tariff Tables'!G6,5)</f>
        <v>0</v>
      </c>
      <c r="V14" s="295">
        <f>ROUND('OA Cycle 2'!B14/'Tariff Tables'!G6,5)</f>
        <v>0</v>
      </c>
      <c r="X14" s="294">
        <f>ROUND('PPC Cycle 3'!C7/'Tariff Tables'!$G6,5)</f>
        <v>8.5999999999999998E-4</v>
      </c>
      <c r="Y14" s="294">
        <f>ROUND('PTD Cycle 3'!C8/'Tariff Tables'!G6,5)</f>
        <v>5.9999999999999995E-4</v>
      </c>
      <c r="Z14" s="294">
        <f>ROUND('EO Cycle 3'!G12/'Tariff Tables'!G6,5)</f>
        <v>6.2E-4</v>
      </c>
      <c r="AA14" s="294">
        <f>ROUND(0/'Tariff Tables'!G6,5)</f>
        <v>0</v>
      </c>
      <c r="AB14" s="146"/>
      <c r="AC14" s="294"/>
      <c r="AD14" s="294"/>
      <c r="AE14" s="294"/>
      <c r="AF14" s="294"/>
      <c r="AG14" s="146">
        <f ca="1">SUM($O14:OFFSET(AG14,0,-1),$O22:OFFSET(AG22,0,-1))</f>
        <v>1.73E-3</v>
      </c>
    </row>
    <row r="15" spans="1:33" s="46" customFormat="1" ht="15" thickBot="1" x14ac:dyDescent="0.4">
      <c r="B15" s="89" t="s">
        <v>107</v>
      </c>
      <c r="C15" s="288">
        <f>+'PPC Cycle 3'!C8</f>
        <v>911718.47</v>
      </c>
      <c r="D15" s="288">
        <f>'PTD Cycle 2'!C12+'PTD Cycle 3'!C9</f>
        <v>110965.78</v>
      </c>
      <c r="E15" s="288">
        <f>+'EO Cycle 2'!G13+'EO Cycle 3'!G13</f>
        <v>546905.89</v>
      </c>
      <c r="F15" s="288">
        <f>+'OA Cycle 3'!F16</f>
        <v>0</v>
      </c>
      <c r="G15" s="119"/>
      <c r="O15" s="291">
        <v>0</v>
      </c>
      <c r="P15" s="291">
        <v>0</v>
      </c>
      <c r="Q15" s="292">
        <v>0</v>
      </c>
      <c r="R15" s="222"/>
      <c r="S15" s="293">
        <v>0</v>
      </c>
      <c r="T15" s="295">
        <f>ROUND(+'PTD Cycle 2'!C12/'Tariff Tables'!G7,5)</f>
        <v>0</v>
      </c>
      <c r="U15" s="296">
        <f>ROUND('EO Cycle 2'!G13/'Tariff Tables'!G7,5)</f>
        <v>0</v>
      </c>
      <c r="V15" s="295">
        <f>ROUND('OA Cycle 2'!B15/'Tariff Tables'!G7,5)</f>
        <v>0</v>
      </c>
      <c r="X15" s="294">
        <f>ROUND('PPC Cycle 3'!C8/'Tariff Tables'!$G7,5)</f>
        <v>1.17E-3</v>
      </c>
      <c r="Y15" s="294">
        <f>ROUND('PTD Cycle 3'!C9/'Tariff Tables'!G7,5)</f>
        <v>1.3999999999999999E-4</v>
      </c>
      <c r="Z15" s="294">
        <f>ROUND('EO Cycle 3'!G13/'Tariff Tables'!G7,5)</f>
        <v>6.9999999999999999E-4</v>
      </c>
      <c r="AA15" s="294">
        <f>ROUND(0/'Tariff Tables'!G7,5)</f>
        <v>0</v>
      </c>
      <c r="AB15" s="146"/>
      <c r="AC15" s="294"/>
      <c r="AD15" s="294"/>
      <c r="AE15" s="294"/>
      <c r="AF15" s="294"/>
      <c r="AG15" s="146">
        <f ca="1">SUM($O15:OFFSET(AG15,0,-1),$O23:OFFSET(AG23,0,-1))</f>
        <v>6.9000000000000018E-4</v>
      </c>
    </row>
    <row r="16" spans="1:33" x14ac:dyDescent="0.35">
      <c r="C16" s="120"/>
      <c r="D16" s="120"/>
      <c r="E16" s="120"/>
      <c r="F16" s="120"/>
      <c r="G16" s="119"/>
      <c r="J16" s="17"/>
      <c r="K16" s="17"/>
      <c r="O16" s="169"/>
      <c r="P16" s="169"/>
      <c r="Q16" s="223"/>
      <c r="R16" s="222"/>
      <c r="S16" s="222"/>
      <c r="T16" s="222"/>
      <c r="U16" s="222"/>
      <c r="V16" s="146"/>
      <c r="X16" s="222"/>
      <c r="Y16" s="222"/>
      <c r="Z16" s="222"/>
      <c r="AA16" s="222"/>
      <c r="AC16" s="222"/>
      <c r="AD16" s="222"/>
      <c r="AE16" s="222"/>
      <c r="AF16" s="222"/>
      <c r="AG16" s="46"/>
    </row>
    <row r="17" spans="2:33" x14ac:dyDescent="0.35">
      <c r="C17" s="120"/>
      <c r="D17" s="120"/>
      <c r="E17" s="120"/>
      <c r="F17" s="120"/>
      <c r="G17" s="119"/>
      <c r="J17" s="17"/>
      <c r="K17" s="17"/>
      <c r="O17" s="169"/>
      <c r="P17" s="169"/>
      <c r="Q17" s="223"/>
      <c r="R17" s="222"/>
      <c r="S17" s="222"/>
      <c r="T17" s="222"/>
      <c r="U17" s="222"/>
      <c r="V17" s="146"/>
      <c r="X17" s="222"/>
      <c r="Y17" s="222"/>
      <c r="Z17" s="222"/>
      <c r="AA17" s="222"/>
      <c r="AC17" s="222"/>
      <c r="AD17" s="222"/>
      <c r="AE17" s="222"/>
      <c r="AF17" s="222"/>
      <c r="AG17" s="46"/>
    </row>
    <row r="18" spans="2:33" ht="15" thickBot="1" x14ac:dyDescent="0.4">
      <c r="C18" s="120"/>
      <c r="D18" s="120"/>
      <c r="E18" s="120"/>
      <c r="F18" s="120"/>
      <c r="G18" s="119"/>
      <c r="J18" s="17"/>
      <c r="K18" s="17"/>
      <c r="O18" s="169"/>
      <c r="P18" s="169"/>
      <c r="Q18" s="223"/>
      <c r="R18" s="222"/>
      <c r="S18" s="222"/>
      <c r="T18" s="222"/>
      <c r="U18" s="222"/>
      <c r="V18" s="222"/>
      <c r="W18" s="262"/>
      <c r="X18" s="222"/>
      <c r="Y18" s="222"/>
      <c r="Z18" s="222"/>
      <c r="AA18" s="222"/>
      <c r="AC18" s="222"/>
      <c r="AD18" s="222"/>
      <c r="AE18" s="222"/>
      <c r="AF18" s="222"/>
      <c r="AG18" s="46"/>
    </row>
    <row r="19" spans="2:33" ht="15" thickBot="1" x14ac:dyDescent="0.4">
      <c r="B19" s="86" t="s">
        <v>7</v>
      </c>
      <c r="C19" s="124" t="s">
        <v>4</v>
      </c>
      <c r="D19" s="124" t="s">
        <v>9</v>
      </c>
      <c r="E19" s="124" t="s">
        <v>58</v>
      </c>
      <c r="F19" s="124" t="s">
        <v>18</v>
      </c>
      <c r="G19" s="119"/>
      <c r="O19" s="170" t="s">
        <v>76</v>
      </c>
      <c r="P19" s="170" t="s">
        <v>77</v>
      </c>
      <c r="Q19" s="224" t="s">
        <v>81</v>
      </c>
      <c r="R19" s="222"/>
      <c r="S19" s="225" t="s">
        <v>78</v>
      </c>
      <c r="T19" s="225" t="s">
        <v>79</v>
      </c>
      <c r="U19" s="224" t="s">
        <v>104</v>
      </c>
      <c r="V19" s="225" t="s">
        <v>92</v>
      </c>
      <c r="W19" s="262"/>
      <c r="X19" s="225" t="s">
        <v>116</v>
      </c>
      <c r="Y19" s="225" t="s">
        <v>117</v>
      </c>
      <c r="Z19" s="224" t="s">
        <v>118</v>
      </c>
      <c r="AA19" s="225" t="s">
        <v>119</v>
      </c>
      <c r="AC19" s="225" t="s">
        <v>241</v>
      </c>
      <c r="AD19" s="225" t="s">
        <v>242</v>
      </c>
      <c r="AE19" s="224" t="s">
        <v>243</v>
      </c>
      <c r="AF19" s="225" t="s">
        <v>244</v>
      </c>
      <c r="AG19" s="46"/>
    </row>
    <row r="20" spans="2:33" ht="15" thickBot="1" x14ac:dyDescent="0.4">
      <c r="B20" s="89" t="s">
        <v>24</v>
      </c>
      <c r="C20" s="288">
        <f>+'PCR Cycle 4'!K4+'PCR Cycle 3'!K4+'PCR Cycle 2'!J4</f>
        <v>-230730.96768000041</v>
      </c>
      <c r="D20" s="288">
        <f>'TDR Cycle 3'!K4+'TDR Cycle 2'!K4</f>
        <v>-4161.8299999999872</v>
      </c>
      <c r="E20" s="288">
        <f>+'EOR Cycle 2'!I4+'EOR Cycle 3'!I4</f>
        <v>422144.2878199995</v>
      </c>
      <c r="F20" s="288">
        <f>+'OAR Cycle 2'!I4+'OAR Cycle 3'!I4</f>
        <v>-77018.179999999862</v>
      </c>
      <c r="G20" s="119"/>
      <c r="O20" s="291">
        <v>0</v>
      </c>
      <c r="P20" s="291">
        <v>0</v>
      </c>
      <c r="Q20" s="291">
        <v>0</v>
      </c>
      <c r="R20" s="222"/>
      <c r="S20" s="294">
        <f>ROUND(+'PCR Cycle 2'!J4/'Tariff Tables'!G4,5)</f>
        <v>0</v>
      </c>
      <c r="T20" s="294">
        <f>ROUND(+'TDR Cycle 2'!K4/'Tariff Tables'!G4,5)</f>
        <v>5.0000000000000002E-5</v>
      </c>
      <c r="U20" s="294">
        <f>ROUND('EOR Cycle 2'!I4/'Tariff Tables'!G4,5)</f>
        <v>0</v>
      </c>
      <c r="V20" s="294">
        <f>ROUND('OAR Cycle 2'!I4/'Tariff Tables'!G4,5)</f>
        <v>0</v>
      </c>
      <c r="W20" s="262"/>
      <c r="X20" s="294">
        <f>ROUND('PCR Cycle 3'!K4/'Tariff Tables'!G4,5)</f>
        <v>-6.9999999999999994E-5</v>
      </c>
      <c r="Y20" s="294">
        <f>ROUND('TDR Cycle 3'!K4/'Tariff Tables'!G4,5)</f>
        <v>-5.0000000000000002E-5</v>
      </c>
      <c r="Z20" s="361">
        <f>ROUND('EOR Cycle 3'!I4/'Tariff Tables'!G4,5)-0.00001</f>
        <v>1.1E-4</v>
      </c>
      <c r="AA20" s="297">
        <f>ROUND('OAR Cycle 3'!I4/'Tariff Tables'!G4,5)</f>
        <v>-2.0000000000000002E-5</v>
      </c>
      <c r="AC20" s="295">
        <f>ROUND('PCR Cycle 4'!$K4/'Tariff Tables'!$G4,5)</f>
        <v>1.0000000000000001E-5</v>
      </c>
      <c r="AD20" s="294"/>
      <c r="AE20" s="294"/>
      <c r="AF20" s="297"/>
      <c r="AG20" s="46"/>
    </row>
    <row r="21" spans="2:33" ht="15" thickBot="1" x14ac:dyDescent="0.4">
      <c r="B21" s="89" t="s">
        <v>105</v>
      </c>
      <c r="C21" s="288">
        <f>+'PCR Cycle 4'!K5+'PCR Cycle 3'!K5+'PCR Cycle 2'!J8</f>
        <v>140834.40000000008</v>
      </c>
      <c r="D21" s="288">
        <f>'TDR Cycle 3'!K5+'TDR Cycle 2'!K8</f>
        <v>-48291.050000000017</v>
      </c>
      <c r="E21" s="288">
        <f>+'EOR Cycle 2'!I8+'EOR Cycle 3'!I5</f>
        <v>54527.079999999951</v>
      </c>
      <c r="F21" s="288">
        <f>+'OAR Cycle 2'!I8</f>
        <v>0</v>
      </c>
      <c r="G21" s="119"/>
      <c r="O21" s="291">
        <v>0</v>
      </c>
      <c r="P21" s="291">
        <v>0</v>
      </c>
      <c r="Q21" s="291">
        <v>0</v>
      </c>
      <c r="R21" s="222"/>
      <c r="S21" s="295">
        <f>ROUND(+'PCR Cycle 2'!J8/'Tariff Tables'!G5,5)</f>
        <v>0</v>
      </c>
      <c r="T21" s="295">
        <f>ROUND(+'TDR Cycle 2'!K8/'Tariff Tables'!G5,5)</f>
        <v>3.0000000000000001E-5</v>
      </c>
      <c r="U21" s="295">
        <f>ROUND('EOR Cycle 2'!I8/'Tariff Tables'!G5,5)</f>
        <v>1.0000000000000001E-5</v>
      </c>
      <c r="V21" s="294">
        <f>ROUND('OAR Cycle 2'!I8/'Tariff Tables'!G5,5)</f>
        <v>0</v>
      </c>
      <c r="W21" s="262"/>
      <c r="X21" s="362">
        <f>ROUND('PCR Cycle 3'!K5/'Tariff Tables'!G5,5)-0.00001</f>
        <v>9.0000000000000006E-5</v>
      </c>
      <c r="Y21" s="294">
        <f>ROUND('TDR Cycle 3'!K5/'Tariff Tables'!G5,5)</f>
        <v>-6.0000000000000002E-5</v>
      </c>
      <c r="Z21" s="294">
        <f>ROUND('EOR Cycle 3'!I5/'Tariff Tables'!G5,5)</f>
        <v>3.0000000000000001E-5</v>
      </c>
      <c r="AA21" s="294">
        <f>ROUND('OAR Cycle 3'!I5/'Tariff Tables'!G5,5)</f>
        <v>0</v>
      </c>
      <c r="AC21" s="295">
        <f>ROUND('PCR Cycle 4'!$K5/'Tariff Tables'!$G5,5)</f>
        <v>1.0000000000000001E-5</v>
      </c>
      <c r="AD21" s="294"/>
      <c r="AE21" s="294"/>
      <c r="AF21" s="294"/>
      <c r="AG21" s="46"/>
    </row>
    <row r="22" spans="2:33" s="46" customFormat="1" ht="15" thickBot="1" x14ac:dyDescent="0.4">
      <c r="B22" s="89" t="s">
        <v>106</v>
      </c>
      <c r="C22" s="288">
        <f>+'PCR Cycle 4'!K6+'PCR Cycle 3'!K6+'PCR Cycle 2'!J9</f>
        <v>-583816.93000000005</v>
      </c>
      <c r="D22" s="288">
        <f>'TDR Cycle 3'!K6+'TDR Cycle 2'!K9</f>
        <v>72734.170000000115</v>
      </c>
      <c r="E22" s="288">
        <f>+'EOR Cycle 2'!I9+'EOR Cycle 3'!I6</f>
        <v>111035.18999999996</v>
      </c>
      <c r="F22" s="288">
        <f>+'OAR Cycle 2'!I9</f>
        <v>0</v>
      </c>
      <c r="G22" s="119"/>
      <c r="O22" s="291">
        <v>0</v>
      </c>
      <c r="P22" s="291">
        <v>0</v>
      </c>
      <c r="Q22" s="291">
        <v>0</v>
      </c>
      <c r="R22" s="222"/>
      <c r="S22" s="295">
        <f>ROUND(+'PCR Cycle 2'!J9/'Tariff Tables'!G6,5)</f>
        <v>0</v>
      </c>
      <c r="T22" s="295">
        <f>ROUND(+'TDR Cycle 2'!K9/'Tariff Tables'!G6,5)</f>
        <v>4.0000000000000003E-5</v>
      </c>
      <c r="U22" s="362">
        <f>ROUND('EOR Cycle 2'!I9/'Tariff Tables'!G6,5)-0.00001</f>
        <v>1.0000000000000001E-5</v>
      </c>
      <c r="V22" s="294">
        <f>ROUND('OAR Cycle 2'!I9/'Tariff Tables'!G6,5)</f>
        <v>0</v>
      </c>
      <c r="W22" s="262"/>
      <c r="X22" s="362">
        <f>ROUND('PCR Cycle 3'!K6/'Tariff Tables'!G6,5)-0.00001</f>
        <v>-5.1000000000000004E-4</v>
      </c>
      <c r="Y22" s="294">
        <f>ROUND('TDR Cycle 3'!K6/'Tariff Tables'!G6,5)</f>
        <v>2.0000000000000002E-5</v>
      </c>
      <c r="Z22" s="294">
        <f>ROUND('EOR Cycle 3'!I6/'Tariff Tables'!G6,5)</f>
        <v>8.0000000000000007E-5</v>
      </c>
      <c r="AA22" s="294">
        <f>ROUND('OAR Cycle 3'!I6/'Tariff Tables'!G6,5)</f>
        <v>0</v>
      </c>
      <c r="AC22" s="295">
        <f>ROUND('PCR Cycle 4'!$K6/'Tariff Tables'!$G6,5)</f>
        <v>1.0000000000000001E-5</v>
      </c>
      <c r="AD22" s="294"/>
      <c r="AE22" s="294"/>
      <c r="AF22" s="294"/>
    </row>
    <row r="23" spans="2:33" s="46" customFormat="1" ht="15" thickBot="1" x14ac:dyDescent="0.4">
      <c r="B23" s="89" t="s">
        <v>107</v>
      </c>
      <c r="C23" s="288">
        <f>+'PCR Cycle 4'!K7+'PCR Cycle 3'!K7+'PCR Cycle 2'!J10</f>
        <v>-1131876.9199999997</v>
      </c>
      <c r="D23" s="288">
        <f>'TDR Cycle 3'!K7+'TDR Cycle 2'!K10</f>
        <v>37638.780000000021</v>
      </c>
      <c r="E23" s="288">
        <f>+'EOR Cycle 2'!I10+'EOR Cycle 3'!I7</f>
        <v>57401.119999999959</v>
      </c>
      <c r="F23" s="288">
        <f>+'OAR Cycle 2'!I10</f>
        <v>0</v>
      </c>
      <c r="G23" s="119"/>
      <c r="O23" s="291">
        <v>0</v>
      </c>
      <c r="P23" s="291">
        <v>0</v>
      </c>
      <c r="Q23" s="291">
        <v>0</v>
      </c>
      <c r="R23" s="222"/>
      <c r="S23" s="295">
        <f>ROUND(+'PCR Cycle 2'!J10/'Tariff Tables'!G7,5)</f>
        <v>0</v>
      </c>
      <c r="T23" s="295">
        <f>ROUND(+'TDR Cycle 2'!K10/'Tariff Tables'!G7,5)</f>
        <v>2.0000000000000002E-5</v>
      </c>
      <c r="U23" s="295">
        <f>ROUND('EOR Cycle 2'!I10/'Tariff Tables'!G7,5)</f>
        <v>1.0000000000000001E-5</v>
      </c>
      <c r="V23" s="294">
        <f>ROUND('OAR Cycle 2'!I10/'Tariff Tables'!G7,5)</f>
        <v>0</v>
      </c>
      <c r="W23" s="262"/>
      <c r="X23" s="294">
        <f>ROUND('PCR Cycle 3'!K7/'Tariff Tables'!G7,5)</f>
        <v>-1.47E-3</v>
      </c>
      <c r="Y23" s="294">
        <f>ROUND('TDR Cycle 3'!K7/'Tariff Tables'!G7,5)</f>
        <v>3.0000000000000001E-5</v>
      </c>
      <c r="Z23" s="294">
        <f>ROUND('EOR Cycle 3'!I7/'Tariff Tables'!G7,5)</f>
        <v>6.9999999999999994E-5</v>
      </c>
      <c r="AA23" s="294">
        <f>ROUND('OAR Cycle 3'!I7/'Tariff Tables'!G7,5)</f>
        <v>0</v>
      </c>
      <c r="AC23" s="295">
        <f>ROUND('PCR Cycle 4'!$K7/'Tariff Tables'!$G7,5)</f>
        <v>2.0000000000000002E-5</v>
      </c>
      <c r="AD23" s="294"/>
      <c r="AE23" s="294"/>
      <c r="AF23" s="294"/>
    </row>
    <row r="24" spans="2:33" x14ac:dyDescent="0.35">
      <c r="O24" s="46"/>
      <c r="P24" s="46"/>
      <c r="R24" s="46"/>
      <c r="S24" s="262"/>
      <c r="T24" s="262"/>
      <c r="U24" s="262"/>
      <c r="V24" s="262"/>
      <c r="W24" s="262"/>
      <c r="X24" s="262"/>
      <c r="Y24" s="262"/>
      <c r="Z24" s="262"/>
    </row>
    <row r="25" spans="2:33" x14ac:dyDescent="0.35">
      <c r="B25" s="92" t="s">
        <v>38</v>
      </c>
      <c r="R25" t="s">
        <v>147</v>
      </c>
      <c r="S25" s="350">
        <f>+J4-O12-O20-S12-S20-X12-X20-AC12-AC20</f>
        <v>5.2516042729766621E-20</v>
      </c>
      <c r="T25" s="350">
        <f t="shared" ref="T25:V25" si="7">+K4-P12-P20-T12-T20-Y12-Y20-AD12-AD20</f>
        <v>-2.0328790734103208E-20</v>
      </c>
      <c r="U25" s="350">
        <f t="shared" si="7"/>
        <v>6.7762635780344027E-20</v>
      </c>
      <c r="V25" s="350">
        <f t="shared" si="7"/>
        <v>0</v>
      </c>
      <c r="W25" s="262"/>
      <c r="X25" s="262"/>
      <c r="Y25" s="262"/>
      <c r="Z25" s="262"/>
    </row>
    <row r="26" spans="2:33" x14ac:dyDescent="0.35">
      <c r="B26" s="93" t="s">
        <v>39</v>
      </c>
      <c r="R26" t="s">
        <v>148</v>
      </c>
      <c r="S26" s="350">
        <f t="shared" ref="S26:V26" si="8">+J5-O13-O21-S13-S21-X13-X21-AC13-AC21</f>
        <v>3.8963515573697816E-20</v>
      </c>
      <c r="T26" s="350">
        <f t="shared" si="8"/>
        <v>6.0986372202309624E-20</v>
      </c>
      <c r="U26" s="350">
        <f t="shared" si="8"/>
        <v>-3.0493186101154812E-20</v>
      </c>
      <c r="V26" s="350">
        <f t="shared" si="8"/>
        <v>0</v>
      </c>
      <c r="W26" s="262"/>
      <c r="X26" s="262"/>
      <c r="Y26" s="262"/>
      <c r="Z26" s="262"/>
    </row>
    <row r="27" spans="2:33" x14ac:dyDescent="0.35">
      <c r="B27" s="93" t="s">
        <v>42</v>
      </c>
      <c r="R27" t="s">
        <v>149</v>
      </c>
      <c r="S27" s="351">
        <f t="shared" ref="S27:V27" si="9">+J6-O14-O22-S14-S22-X14-X22-AC14-AC22</f>
        <v>2.541098841762901E-20</v>
      </c>
      <c r="T27" s="351">
        <f t="shared" si="9"/>
        <v>5.082197683525802E-20</v>
      </c>
      <c r="U27" s="351">
        <f t="shared" si="9"/>
        <v>-1.3552527156068805E-20</v>
      </c>
      <c r="V27" s="350">
        <f t="shared" si="9"/>
        <v>0</v>
      </c>
    </row>
    <row r="28" spans="2:33" x14ac:dyDescent="0.35">
      <c r="B28" s="93" t="s">
        <v>140</v>
      </c>
      <c r="R28" t="s">
        <v>150</v>
      </c>
      <c r="S28" s="351">
        <f t="shared" ref="S28:V28" si="10">+J7-O15-O23-S15-S23-X15-X23-AC15-AC23</f>
        <v>5.082197683525802E-20</v>
      </c>
      <c r="T28" s="351">
        <f t="shared" si="10"/>
        <v>2.3716922523120409E-20</v>
      </c>
      <c r="U28" s="351">
        <f t="shared" si="10"/>
        <v>-2.7105054312137611E-20</v>
      </c>
      <c r="V28" s="350">
        <f t="shared" si="10"/>
        <v>0</v>
      </c>
    </row>
    <row r="29" spans="2:33" x14ac:dyDescent="0.35">
      <c r="B29" s="93" t="s">
        <v>40</v>
      </c>
      <c r="R29" s="46"/>
      <c r="S29" s="46"/>
      <c r="T29" s="46"/>
    </row>
    <row r="30" spans="2:33" x14ac:dyDescent="0.35">
      <c r="B30" s="93" t="s">
        <v>145</v>
      </c>
      <c r="O30" s="237"/>
      <c r="P30" s="237"/>
      <c r="Q30" s="237"/>
      <c r="R30" s="141"/>
      <c r="S30" s="141"/>
      <c r="T30" s="46"/>
    </row>
    <row r="31" spans="2:33" x14ac:dyDescent="0.35">
      <c r="B31" s="93" t="s">
        <v>139</v>
      </c>
      <c r="O31" s="141"/>
      <c r="P31" s="141"/>
      <c r="Q31" s="238"/>
      <c r="R31" s="141"/>
      <c r="S31" s="141"/>
      <c r="T31" s="46"/>
    </row>
    <row r="32" spans="2:33" x14ac:dyDescent="0.35">
      <c r="B32" s="93" t="s">
        <v>47</v>
      </c>
      <c r="O32" s="239"/>
      <c r="P32" s="141"/>
      <c r="Q32" s="238"/>
      <c r="R32" s="141"/>
      <c r="S32" s="141"/>
      <c r="T32" s="46"/>
    </row>
    <row r="33" spans="2:20" x14ac:dyDescent="0.35">
      <c r="B33" s="93" t="s">
        <v>144</v>
      </c>
      <c r="O33" s="240"/>
      <c r="P33" s="241"/>
      <c r="Q33" s="238"/>
      <c r="R33" s="238"/>
      <c r="S33" s="141"/>
      <c r="T33" s="46"/>
    </row>
    <row r="34" spans="2:20" x14ac:dyDescent="0.35">
      <c r="B34" s="93" t="s">
        <v>141</v>
      </c>
      <c r="O34" s="240"/>
      <c r="P34" s="241"/>
      <c r="Q34" s="238"/>
      <c r="R34" s="238"/>
      <c r="S34" s="141"/>
      <c r="T34" s="46"/>
    </row>
    <row r="35" spans="2:20" x14ac:dyDescent="0.35">
      <c r="B35" s="93" t="s">
        <v>142</v>
      </c>
      <c r="O35" s="240"/>
      <c r="P35" s="241"/>
      <c r="Q35" s="238"/>
      <c r="R35" s="238"/>
      <c r="S35" s="141"/>
      <c r="T35" s="46"/>
    </row>
    <row r="36" spans="2:20" x14ac:dyDescent="0.35">
      <c r="B36" s="93" t="s">
        <v>146</v>
      </c>
      <c r="O36" s="240"/>
      <c r="P36" s="241"/>
      <c r="Q36" s="238"/>
      <c r="R36" s="238"/>
      <c r="S36" s="141"/>
      <c r="T36" s="46"/>
    </row>
    <row r="37" spans="2:20" x14ac:dyDescent="0.35">
      <c r="B37" s="93" t="s">
        <v>41</v>
      </c>
      <c r="O37" s="240"/>
      <c r="P37" s="241"/>
      <c r="Q37" s="238"/>
      <c r="R37" s="238"/>
      <c r="S37" s="141"/>
      <c r="T37" s="46"/>
    </row>
    <row r="38" spans="2:20" x14ac:dyDescent="0.35">
      <c r="B38" s="93" t="s">
        <v>143</v>
      </c>
      <c r="O38" s="240"/>
      <c r="P38" s="241"/>
      <c r="Q38" s="238"/>
      <c r="R38" s="238"/>
      <c r="S38" s="141"/>
      <c r="T38" s="46"/>
    </row>
    <row r="39" spans="2:20" x14ac:dyDescent="0.35">
      <c r="B39" s="93" t="s">
        <v>180</v>
      </c>
      <c r="O39" s="242"/>
      <c r="P39" s="241"/>
      <c r="Q39" s="238"/>
      <c r="R39" s="238"/>
      <c r="S39" s="141"/>
      <c r="T39" s="46"/>
    </row>
    <row r="40" spans="2:20" x14ac:dyDescent="0.35">
      <c r="B40" s="93" t="s">
        <v>181</v>
      </c>
      <c r="O40" s="141"/>
      <c r="P40" s="243"/>
      <c r="Q40" s="238"/>
      <c r="R40" s="238"/>
      <c r="S40" s="141"/>
      <c r="T40" s="46"/>
    </row>
    <row r="41" spans="2:20" x14ac:dyDescent="0.35">
      <c r="O41" s="239"/>
      <c r="P41" s="141"/>
      <c r="Q41" s="238"/>
      <c r="R41" s="238"/>
      <c r="S41" s="141"/>
      <c r="T41" s="46"/>
    </row>
    <row r="42" spans="2:20" x14ac:dyDescent="0.35">
      <c r="O42" s="240"/>
      <c r="P42" s="241"/>
      <c r="Q42" s="238"/>
      <c r="R42" s="238"/>
      <c r="S42" s="141"/>
      <c r="T42" s="46"/>
    </row>
    <row r="43" spans="2:20" x14ac:dyDescent="0.35">
      <c r="O43" s="240"/>
      <c r="P43" s="241"/>
      <c r="Q43" s="238"/>
      <c r="R43" s="238"/>
      <c r="S43" s="141"/>
      <c r="T43" s="46"/>
    </row>
    <row r="44" spans="2:20" x14ac:dyDescent="0.35">
      <c r="O44" s="240"/>
      <c r="P44" s="241"/>
      <c r="Q44" s="238"/>
      <c r="R44" s="238"/>
      <c r="S44" s="141"/>
      <c r="T44" s="46"/>
    </row>
    <row r="45" spans="2:20" x14ac:dyDescent="0.35">
      <c r="O45" s="240"/>
      <c r="P45" s="241"/>
      <c r="Q45" s="238"/>
      <c r="R45" s="238"/>
      <c r="S45" s="141"/>
      <c r="T45" s="46"/>
    </row>
    <row r="46" spans="2:20" x14ac:dyDescent="0.35">
      <c r="O46" s="240"/>
      <c r="P46" s="241"/>
      <c r="Q46" s="238"/>
      <c r="R46" s="238"/>
      <c r="S46" s="141"/>
      <c r="T46" s="46"/>
    </row>
    <row r="47" spans="2:20" x14ac:dyDescent="0.35">
      <c r="O47" s="240"/>
      <c r="P47" s="241"/>
      <c r="Q47" s="238"/>
      <c r="R47" s="238"/>
      <c r="S47" s="141"/>
      <c r="T47" s="46"/>
    </row>
    <row r="48" spans="2:20" x14ac:dyDescent="0.35">
      <c r="O48" s="242"/>
      <c r="P48" s="241"/>
      <c r="Q48" s="238"/>
      <c r="R48" s="238"/>
      <c r="S48" s="141"/>
    </row>
    <row r="49" spans="15:19" x14ac:dyDescent="0.35">
      <c r="O49" s="141"/>
      <c r="P49" s="243"/>
      <c r="Q49" s="238"/>
      <c r="R49" s="238"/>
      <c r="S49" s="141"/>
    </row>
    <row r="50" spans="15:19" x14ac:dyDescent="0.35">
      <c r="O50" s="141"/>
      <c r="P50" s="141"/>
      <c r="Q50" s="238"/>
      <c r="R50" s="238"/>
      <c r="S50" s="141"/>
    </row>
  </sheetData>
  <pageMargins left="0.2" right="0.2" top="0.75" bottom="0.25" header="0.3" footer="0.3"/>
  <pageSetup scale="43" orientation="landscape" r:id="rId1"/>
  <headerFooter>
    <oddHeader>&amp;C&amp;F &amp;A&amp;R&amp;"Arial"&amp;10&amp;K000000CONFIDENTIAL</oddHeader>
    <oddFooter xml:space="preserve">&amp;R_x000D_&amp;1#&amp;"Calibri"&amp;10&amp;KA80000 Restricted – Sensitive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EC481-2195-45D8-994C-377275A1914C}">
  <dimension ref="A2:G37"/>
  <sheetViews>
    <sheetView workbookViewId="0">
      <selection activeCell="I17" sqref="I17"/>
    </sheetView>
  </sheetViews>
  <sheetFormatPr defaultRowHeight="14.5" x14ac:dyDescent="0.35"/>
  <cols>
    <col min="1" max="1" width="27.7265625" customWidth="1"/>
    <col min="2" max="2" width="11.26953125" bestFit="1" customWidth="1"/>
    <col min="3" max="3" width="10.1796875" bestFit="1" customWidth="1"/>
    <col min="4" max="5" width="11.26953125" bestFit="1" customWidth="1"/>
    <col min="6" max="6" width="10.1796875" bestFit="1" customWidth="1"/>
  </cols>
  <sheetData>
    <row r="2" spans="1:6" x14ac:dyDescent="0.35">
      <c r="A2" s="3" t="str">
        <f>+'Tariff Tables'!A1</f>
        <v>Evergy Missouri West, Inc. - DSIM Rider Update Filed 06/01/2024</v>
      </c>
    </row>
    <row r="3" spans="1:6" ht="15" thickBot="1" x14ac:dyDescent="0.4">
      <c r="A3" s="3" t="s">
        <v>124</v>
      </c>
    </row>
    <row r="4" spans="1:6" ht="27.5" thickBot="1" x14ac:dyDescent="0.4">
      <c r="A4" s="86" t="s">
        <v>131</v>
      </c>
      <c r="B4" s="123" t="s">
        <v>130</v>
      </c>
      <c r="C4" s="123" t="s">
        <v>129</v>
      </c>
      <c r="D4" s="123" t="s">
        <v>128</v>
      </c>
      <c r="E4" s="123" t="s">
        <v>127</v>
      </c>
      <c r="F4" s="88" t="s">
        <v>28</v>
      </c>
    </row>
    <row r="5" spans="1:6" ht="15" thickBot="1" x14ac:dyDescent="0.4">
      <c r="A5" s="89" t="s">
        <v>24</v>
      </c>
      <c r="B5" s="298">
        <f>+'Tariff Tables'!S12+'Tariff Tables'!S20</f>
        <v>0</v>
      </c>
      <c r="C5" s="298">
        <f>+'Tariff Tables'!T12+'Tariff Tables'!T20</f>
        <v>5.0000000000000002E-5</v>
      </c>
      <c r="D5" s="298">
        <f>+'Tariff Tables'!U12+'Tariff Tables'!U20</f>
        <v>0</v>
      </c>
      <c r="E5" s="298">
        <f>+'Tariff Tables'!V12+'Tariff Tables'!V20</f>
        <v>0</v>
      </c>
      <c r="F5" s="218">
        <f>SUM(B5:E5)</f>
        <v>5.0000000000000002E-5</v>
      </c>
    </row>
    <row r="6" spans="1:6" ht="15" thickBot="1" x14ac:dyDescent="0.4">
      <c r="A6" s="89" t="s">
        <v>105</v>
      </c>
      <c r="B6" s="298">
        <f>+'Tariff Tables'!S13+'Tariff Tables'!S21</f>
        <v>0</v>
      </c>
      <c r="C6" s="298">
        <f>+'Tariff Tables'!T13+'Tariff Tables'!T21</f>
        <v>3.0000000000000001E-5</v>
      </c>
      <c r="D6" s="298">
        <f>+'Tariff Tables'!U13+'Tariff Tables'!U21</f>
        <v>1.0000000000000001E-5</v>
      </c>
      <c r="E6" s="298">
        <f>+'Tariff Tables'!V13+'Tariff Tables'!V21</f>
        <v>0</v>
      </c>
      <c r="F6" s="218">
        <f t="shared" ref="F6:F8" si="0">SUM(B6:E6)</f>
        <v>4.0000000000000003E-5</v>
      </c>
    </row>
    <row r="7" spans="1:6" ht="15" thickBot="1" x14ac:dyDescent="0.4">
      <c r="A7" s="89" t="s">
        <v>106</v>
      </c>
      <c r="B7" s="298">
        <f>+'Tariff Tables'!S14+'Tariff Tables'!S22</f>
        <v>0</v>
      </c>
      <c r="C7" s="298">
        <f>+'Tariff Tables'!T14+'Tariff Tables'!T22</f>
        <v>4.0000000000000003E-5</v>
      </c>
      <c r="D7" s="298">
        <f>+'Tariff Tables'!U14+'Tariff Tables'!U22</f>
        <v>1.0000000000000001E-5</v>
      </c>
      <c r="E7" s="298">
        <f>+'Tariff Tables'!V14+'Tariff Tables'!V22</f>
        <v>0</v>
      </c>
      <c r="F7" s="218">
        <f t="shared" si="0"/>
        <v>5.0000000000000002E-5</v>
      </c>
    </row>
    <row r="8" spans="1:6" ht="15" thickBot="1" x14ac:dyDescent="0.4">
      <c r="A8" s="89" t="s">
        <v>107</v>
      </c>
      <c r="B8" s="298">
        <f>+'Tariff Tables'!S15+'Tariff Tables'!S23</f>
        <v>0</v>
      </c>
      <c r="C8" s="298">
        <f>+'Tariff Tables'!T15+'Tariff Tables'!T23</f>
        <v>2.0000000000000002E-5</v>
      </c>
      <c r="D8" s="298">
        <f>+'Tariff Tables'!U15+'Tariff Tables'!U23</f>
        <v>1.0000000000000001E-5</v>
      </c>
      <c r="E8" s="298">
        <f>+'Tariff Tables'!V15+'Tariff Tables'!V23</f>
        <v>0</v>
      </c>
      <c r="F8" s="218">
        <f t="shared" si="0"/>
        <v>3.0000000000000004E-5</v>
      </c>
    </row>
    <row r="11" spans="1:6" ht="15" thickBot="1" x14ac:dyDescent="0.4">
      <c r="A11" s="3" t="s">
        <v>125</v>
      </c>
      <c r="B11" s="46"/>
      <c r="C11" s="46"/>
      <c r="D11" s="46"/>
      <c r="E11" s="46"/>
      <c r="F11" s="46"/>
    </row>
    <row r="12" spans="1:6" ht="27.5" thickBot="1" x14ac:dyDescent="0.4">
      <c r="A12" s="86" t="s">
        <v>131</v>
      </c>
      <c r="B12" s="123" t="s">
        <v>130</v>
      </c>
      <c r="C12" s="123" t="s">
        <v>129</v>
      </c>
      <c r="D12" s="123" t="s">
        <v>128</v>
      </c>
      <c r="E12" s="123" t="s">
        <v>127</v>
      </c>
      <c r="F12" s="88" t="s">
        <v>28</v>
      </c>
    </row>
    <row r="13" spans="1:6" ht="15" thickBot="1" x14ac:dyDescent="0.4">
      <c r="A13" s="89" t="s">
        <v>24</v>
      </c>
      <c r="B13" s="298">
        <f>+'Tariff Tables'!X12+'Tariff Tables'!X20</f>
        <v>1.0499999999999999E-3</v>
      </c>
      <c r="C13" s="298">
        <f>+'Tariff Tables'!Y12+'Tariff Tables'!Y20</f>
        <v>4.8999999999999998E-4</v>
      </c>
      <c r="D13" s="298">
        <f>+'Tariff Tables'!Z12+'Tariff Tables'!Z20</f>
        <v>7.5999999999999993E-4</v>
      </c>
      <c r="E13" s="298">
        <f>+'Tariff Tables'!AA12+'Tariff Tables'!AA20</f>
        <v>-2.0000000000000002E-5</v>
      </c>
      <c r="F13" s="218">
        <f>SUM(B13:E13)</f>
        <v>2.2799999999999999E-3</v>
      </c>
    </row>
    <row r="14" spans="1:6" ht="15" thickBot="1" x14ac:dyDescent="0.4">
      <c r="A14" s="89" t="s">
        <v>105</v>
      </c>
      <c r="B14" s="298">
        <f>+'Tariff Tables'!X13+'Tariff Tables'!X21</f>
        <v>7.7999999999999999E-4</v>
      </c>
      <c r="C14" s="298">
        <f>+'Tariff Tables'!Y13+'Tariff Tables'!Y21</f>
        <v>5.5999999999999995E-4</v>
      </c>
      <c r="D14" s="298">
        <f>+'Tariff Tables'!Z13+'Tariff Tables'!Z21</f>
        <v>4.0000000000000002E-4</v>
      </c>
      <c r="E14" s="298">
        <f>+'Tariff Tables'!AA13+'Tariff Tables'!AA21</f>
        <v>0</v>
      </c>
      <c r="F14" s="218">
        <f t="shared" ref="F14:F16" si="1">SUM(B14:E14)</f>
        <v>1.74E-3</v>
      </c>
    </row>
    <row r="15" spans="1:6" ht="15" thickBot="1" x14ac:dyDescent="0.4">
      <c r="A15" s="89" t="s">
        <v>106</v>
      </c>
      <c r="B15" s="298">
        <f>+'Tariff Tables'!X14+'Tariff Tables'!X22</f>
        <v>3.4999999999999994E-4</v>
      </c>
      <c r="C15" s="298">
        <f>+'Tariff Tables'!Y14+'Tariff Tables'!Y22</f>
        <v>6.2E-4</v>
      </c>
      <c r="D15" s="298">
        <f>+'Tariff Tables'!Z14+'Tariff Tables'!Z22</f>
        <v>6.9999999999999999E-4</v>
      </c>
      <c r="E15" s="298">
        <f>+'Tariff Tables'!AA14+'Tariff Tables'!AA22</f>
        <v>0</v>
      </c>
      <c r="F15" s="218">
        <f t="shared" si="1"/>
        <v>1.67E-3</v>
      </c>
    </row>
    <row r="16" spans="1:6" ht="15" thickBot="1" x14ac:dyDescent="0.4">
      <c r="A16" s="89" t="s">
        <v>107</v>
      </c>
      <c r="B16" s="298">
        <f>+'Tariff Tables'!X15+'Tariff Tables'!X23</f>
        <v>-2.9999999999999992E-4</v>
      </c>
      <c r="C16" s="298">
        <f>+'Tariff Tables'!Y15+'Tariff Tables'!Y23</f>
        <v>1.6999999999999999E-4</v>
      </c>
      <c r="D16" s="298">
        <f>+'Tariff Tables'!Z15+'Tariff Tables'!Z23</f>
        <v>7.6999999999999996E-4</v>
      </c>
      <c r="E16" s="298">
        <f>+'Tariff Tables'!AA15+'Tariff Tables'!AA23</f>
        <v>0</v>
      </c>
      <c r="F16" s="218">
        <f t="shared" si="1"/>
        <v>6.4000000000000005E-4</v>
      </c>
    </row>
    <row r="17" spans="1:7" s="46" customFormat="1" x14ac:dyDescent="0.35"/>
    <row r="18" spans="1:7" s="46" customFormat="1" x14ac:dyDescent="0.35"/>
    <row r="19" spans="1:7" s="46" customFormat="1" ht="15" thickBot="1" x14ac:dyDescent="0.4">
      <c r="A19" s="3" t="s">
        <v>246</v>
      </c>
    </row>
    <row r="20" spans="1:7" s="46" customFormat="1" ht="27.5" thickBot="1" x14ac:dyDescent="0.4">
      <c r="A20" s="86" t="s">
        <v>131</v>
      </c>
      <c r="B20" s="123" t="s">
        <v>130</v>
      </c>
      <c r="C20" s="123" t="s">
        <v>129</v>
      </c>
      <c r="D20" s="123" t="s">
        <v>128</v>
      </c>
      <c r="E20" s="123" t="s">
        <v>127</v>
      </c>
      <c r="F20" s="88" t="s">
        <v>28</v>
      </c>
    </row>
    <row r="21" spans="1:7" s="46" customFormat="1" ht="15" thickBot="1" x14ac:dyDescent="0.4">
      <c r="A21" s="89" t="s">
        <v>24</v>
      </c>
      <c r="B21" s="298">
        <f>+'Tariff Tables'!AC12+'Tariff Tables'!AC20</f>
        <v>1.0000000000000001E-5</v>
      </c>
      <c r="C21" s="298">
        <f>+'Tariff Tables'!AD12+'Tariff Tables'!AD20</f>
        <v>0</v>
      </c>
      <c r="D21" s="298">
        <f>+'Tariff Tables'!AE12+'Tariff Tables'!AE20</f>
        <v>0</v>
      </c>
      <c r="E21" s="298">
        <f>+'Tariff Tables'!AF12+'Tariff Tables'!AF20</f>
        <v>0</v>
      </c>
      <c r="F21" s="218">
        <f>SUM(B21:E21)</f>
        <v>1.0000000000000001E-5</v>
      </c>
    </row>
    <row r="22" spans="1:7" s="46" customFormat="1" ht="15" thickBot="1" x14ac:dyDescent="0.4">
      <c r="A22" s="89" t="s">
        <v>105</v>
      </c>
      <c r="B22" s="298">
        <f>+'Tariff Tables'!AC13+'Tariff Tables'!AC21</f>
        <v>1.0000000000000001E-5</v>
      </c>
      <c r="C22" s="298">
        <f>+'Tariff Tables'!AD13+'Tariff Tables'!AD21</f>
        <v>0</v>
      </c>
      <c r="D22" s="298">
        <f>+'Tariff Tables'!AE13+'Tariff Tables'!AE21</f>
        <v>0</v>
      </c>
      <c r="E22" s="298">
        <f>+'Tariff Tables'!AF13+'Tariff Tables'!AF21</f>
        <v>0</v>
      </c>
      <c r="F22" s="218">
        <f t="shared" ref="F22:F24" si="2">SUM(B22:E22)</f>
        <v>1.0000000000000001E-5</v>
      </c>
    </row>
    <row r="23" spans="1:7" s="46" customFormat="1" ht="15" thickBot="1" x14ac:dyDescent="0.4">
      <c r="A23" s="89" t="s">
        <v>106</v>
      </c>
      <c r="B23" s="298">
        <f>+'Tariff Tables'!AC14+'Tariff Tables'!AC22</f>
        <v>1.0000000000000001E-5</v>
      </c>
      <c r="C23" s="298">
        <f>+'Tariff Tables'!AD14+'Tariff Tables'!AD22</f>
        <v>0</v>
      </c>
      <c r="D23" s="298">
        <f>+'Tariff Tables'!AE14+'Tariff Tables'!AE22</f>
        <v>0</v>
      </c>
      <c r="E23" s="298">
        <f>+'Tariff Tables'!AF14+'Tariff Tables'!AF22</f>
        <v>0</v>
      </c>
      <c r="F23" s="218">
        <f t="shared" si="2"/>
        <v>1.0000000000000001E-5</v>
      </c>
    </row>
    <row r="24" spans="1:7" s="46" customFormat="1" ht="15" thickBot="1" x14ac:dyDescent="0.4">
      <c r="A24" s="89" t="s">
        <v>107</v>
      </c>
      <c r="B24" s="298">
        <f>+'Tariff Tables'!AC15+'Tariff Tables'!AC23</f>
        <v>2.0000000000000002E-5</v>
      </c>
      <c r="C24" s="298">
        <f>+'Tariff Tables'!AD15+'Tariff Tables'!AD23</f>
        <v>0</v>
      </c>
      <c r="D24" s="298">
        <f>+'Tariff Tables'!AE15+'Tariff Tables'!AE23</f>
        <v>0</v>
      </c>
      <c r="E24" s="298">
        <f>+'Tariff Tables'!AF15+'Tariff Tables'!AF23</f>
        <v>0</v>
      </c>
      <c r="F24" s="218">
        <f t="shared" si="2"/>
        <v>2.0000000000000002E-5</v>
      </c>
    </row>
    <row r="27" spans="1:7" ht="15" thickBot="1" x14ac:dyDescent="0.4">
      <c r="A27" s="3" t="s">
        <v>126</v>
      </c>
      <c r="B27" s="46"/>
      <c r="C27" s="46"/>
      <c r="D27" s="46"/>
      <c r="E27" s="46"/>
      <c r="F27" s="46"/>
    </row>
    <row r="28" spans="1:7" ht="27.5" thickBot="1" x14ac:dyDescent="0.4">
      <c r="A28" s="86" t="s">
        <v>131</v>
      </c>
      <c r="B28" s="123" t="s">
        <v>130</v>
      </c>
      <c r="C28" s="123" t="s">
        <v>129</v>
      </c>
      <c r="D28" s="123" t="s">
        <v>128</v>
      </c>
      <c r="E28" s="123" t="s">
        <v>127</v>
      </c>
      <c r="F28" s="88" t="s">
        <v>28</v>
      </c>
    </row>
    <row r="29" spans="1:7" ht="15" thickBot="1" x14ac:dyDescent="0.4">
      <c r="A29" s="89" t="s">
        <v>24</v>
      </c>
      <c r="B29" s="219">
        <f>SUMIFS(B$2:B$27,$A$2:$A$27,$A29)</f>
        <v>1.06E-3</v>
      </c>
      <c r="C29" s="220">
        <f t="shared" ref="C29:E32" si="3">SUMIFS(C$2:C$27,$A$2:$A$27,$A29)</f>
        <v>5.4000000000000001E-4</v>
      </c>
      <c r="D29" s="220">
        <f t="shared" si="3"/>
        <v>7.5999999999999993E-4</v>
      </c>
      <c r="E29" s="220">
        <f t="shared" si="3"/>
        <v>-2.0000000000000002E-5</v>
      </c>
      <c r="F29" s="218">
        <f>SUM(B29:E29)</f>
        <v>2.3399999999999996E-3</v>
      </c>
      <c r="G29" s="299">
        <f>+F29-'Tariff Tables'!H4</f>
        <v>0</v>
      </c>
    </row>
    <row r="30" spans="1:7" ht="15" thickBot="1" x14ac:dyDescent="0.4">
      <c r="A30" s="89" t="s">
        <v>105</v>
      </c>
      <c r="B30" s="219">
        <f t="shared" ref="B30:B32" si="4">SUMIFS(B$2:B$27,$A$2:$A$27,$A30)</f>
        <v>7.9000000000000001E-4</v>
      </c>
      <c r="C30" s="220">
        <f t="shared" si="3"/>
        <v>5.8999999999999992E-4</v>
      </c>
      <c r="D30" s="220">
        <f t="shared" si="3"/>
        <v>4.1000000000000005E-4</v>
      </c>
      <c r="E30" s="220">
        <f t="shared" si="3"/>
        <v>0</v>
      </c>
      <c r="F30" s="218">
        <f t="shared" ref="F30:F32" si="5">SUM(B30:E30)</f>
        <v>1.7899999999999999E-3</v>
      </c>
      <c r="G30" s="299">
        <f>+F30-'Tariff Tables'!H5</f>
        <v>0</v>
      </c>
    </row>
    <row r="31" spans="1:7" ht="15" thickBot="1" x14ac:dyDescent="0.4">
      <c r="A31" s="89" t="s">
        <v>106</v>
      </c>
      <c r="B31" s="219">
        <f t="shared" si="4"/>
        <v>3.5999999999999997E-4</v>
      </c>
      <c r="C31" s="220">
        <f t="shared" si="3"/>
        <v>6.6E-4</v>
      </c>
      <c r="D31" s="220">
        <f t="shared" si="3"/>
        <v>7.1000000000000002E-4</v>
      </c>
      <c r="E31" s="220">
        <f t="shared" si="3"/>
        <v>0</v>
      </c>
      <c r="F31" s="218">
        <f t="shared" si="5"/>
        <v>1.7300000000000002E-3</v>
      </c>
      <c r="G31" s="299">
        <f>+F31-'Tariff Tables'!H6</f>
        <v>0</v>
      </c>
    </row>
    <row r="32" spans="1:7" ht="15" thickBot="1" x14ac:dyDescent="0.4">
      <c r="A32" s="89" t="s">
        <v>107</v>
      </c>
      <c r="B32" s="219">
        <f t="shared" si="4"/>
        <v>-2.7999999999999992E-4</v>
      </c>
      <c r="C32" s="220">
        <f t="shared" si="3"/>
        <v>1.8999999999999998E-4</v>
      </c>
      <c r="D32" s="220">
        <f t="shared" si="3"/>
        <v>7.7999999999999999E-4</v>
      </c>
      <c r="E32" s="220">
        <f t="shared" si="3"/>
        <v>0</v>
      </c>
      <c r="F32" s="218">
        <f t="shared" si="5"/>
        <v>6.9000000000000008E-4</v>
      </c>
      <c r="G32" s="299">
        <f>+F32-'Tariff Tables'!H7</f>
        <v>0</v>
      </c>
    </row>
    <row r="34" spans="1:6" x14ac:dyDescent="0.35">
      <c r="A34" s="300" t="s">
        <v>222</v>
      </c>
      <c r="B34" s="299">
        <f>+B29-'Tariff Tables'!J4</f>
        <v>0</v>
      </c>
      <c r="C34" s="299">
        <f>+C29-'Tariff Tables'!K4</f>
        <v>0</v>
      </c>
      <c r="D34" s="299">
        <f>+D29-'Tariff Tables'!L4</f>
        <v>0</v>
      </c>
      <c r="E34" s="299">
        <f>+E29-'Tariff Tables'!M4</f>
        <v>0</v>
      </c>
      <c r="F34" s="221"/>
    </row>
    <row r="35" spans="1:6" x14ac:dyDescent="0.35">
      <c r="B35" s="299">
        <f>+B30-'Tariff Tables'!J5</f>
        <v>0</v>
      </c>
      <c r="C35" s="299">
        <f>+C30-'Tariff Tables'!K5</f>
        <v>0</v>
      </c>
      <c r="D35" s="299">
        <f>+D30-'Tariff Tables'!L5</f>
        <v>0</v>
      </c>
      <c r="E35" s="299">
        <f>+E30-'Tariff Tables'!M5</f>
        <v>0</v>
      </c>
      <c r="F35" s="221"/>
    </row>
    <row r="36" spans="1:6" x14ac:dyDescent="0.35">
      <c r="B36" s="299">
        <f>+B31-'Tariff Tables'!J6</f>
        <v>0</v>
      </c>
      <c r="C36" s="299">
        <f>+C31-'Tariff Tables'!K6</f>
        <v>0</v>
      </c>
      <c r="D36" s="299">
        <f>+D31-'Tariff Tables'!L6</f>
        <v>0</v>
      </c>
      <c r="E36" s="299">
        <f>+E31-'Tariff Tables'!M6</f>
        <v>0</v>
      </c>
      <c r="F36" s="221"/>
    </row>
    <row r="37" spans="1:6" x14ac:dyDescent="0.35">
      <c r="B37" s="299">
        <f>+B32-'Tariff Tables'!J7</f>
        <v>0</v>
      </c>
      <c r="C37" s="299">
        <f>+C32-'Tariff Tables'!K7</f>
        <v>0</v>
      </c>
      <c r="D37" s="299">
        <f>+D32-'Tariff Tables'!L7</f>
        <v>0</v>
      </c>
      <c r="E37" s="299">
        <f>+E32-'Tariff Tables'!M7</f>
        <v>0</v>
      </c>
      <c r="F37" s="221"/>
    </row>
  </sheetData>
  <pageMargins left="0.7" right="0.7" top="0.75" bottom="0.75" header="0.3" footer="0.3"/>
  <pageSetup orientation="portrait" r:id="rId1"/>
  <headerFooter>
    <oddFooter xml:space="preserve">&amp;R_x000D_&amp;1#&amp;"Calibri"&amp;10&amp;KA80000 Restricted – Sensitive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C4F0-FFC7-44B5-9D2D-BC0992E47F43}">
  <sheetPr>
    <pageSetUpPr fitToPage="1"/>
  </sheetPr>
  <dimension ref="A1:X48"/>
  <sheetViews>
    <sheetView workbookViewId="0">
      <selection activeCell="A15" sqref="A15"/>
    </sheetView>
  </sheetViews>
  <sheetFormatPr defaultColWidth="9.1796875" defaultRowHeight="14.5" x14ac:dyDescent="0.35"/>
  <cols>
    <col min="1" max="1" width="20.81640625" style="46" customWidth="1"/>
    <col min="2" max="2" width="22" style="46" customWidth="1"/>
    <col min="3" max="3" width="17.26953125" style="46" customWidth="1"/>
    <col min="4" max="4" width="12.54296875" style="46" bestFit="1" customWidth="1"/>
    <col min="5" max="5" width="15.26953125" style="46" customWidth="1"/>
    <col min="6" max="6" width="12.54296875" style="46" customWidth="1"/>
    <col min="7" max="16384" width="9.1796875" style="46"/>
  </cols>
  <sheetData>
    <row r="1" spans="1:24" x14ac:dyDescent="0.35">
      <c r="A1" s="63" t="s">
        <v>245</v>
      </c>
    </row>
    <row r="2" spans="1:24" x14ac:dyDescent="0.35">
      <c r="A2" s="9" t="s">
        <v>247</v>
      </c>
    </row>
    <row r="3" spans="1:24" ht="35.25" customHeight="1" x14ac:dyDescent="0.35">
      <c r="B3" s="367" t="s">
        <v>110</v>
      </c>
      <c r="C3" s="367"/>
    </row>
    <row r="4" spans="1:24" ht="58" x14ac:dyDescent="0.35">
      <c r="B4" s="245" t="s">
        <v>43</v>
      </c>
      <c r="C4" s="216" t="s">
        <v>26</v>
      </c>
      <c r="D4" s="269" t="s">
        <v>302</v>
      </c>
    </row>
    <row r="5" spans="1:24" x14ac:dyDescent="0.35">
      <c r="A5" s="20" t="s">
        <v>24</v>
      </c>
      <c r="B5" s="301">
        <f>SUM('[1]GMO Billed kWh Sales'!$H35:$I35)</f>
        <v>3692703369</v>
      </c>
      <c r="C5" s="214">
        <f>SUM(D5:D5)</f>
        <v>4124064.91</v>
      </c>
      <c r="D5" s="214">
        <f>ROUND(SUM('[2]Monthly Program Costs Ext'!$BJ301:$BU301),2)</f>
        <v>4124064.91</v>
      </c>
      <c r="F5" s="244"/>
      <c r="G5" s="244"/>
    </row>
    <row r="6" spans="1:24" x14ac:dyDescent="0.35">
      <c r="A6" s="20" t="s">
        <v>105</v>
      </c>
      <c r="B6" s="301">
        <f>SUM('[1]GMO Billed kWh Sales'!$H36:$I36)</f>
        <v>1385633036</v>
      </c>
      <c r="C6" s="214">
        <f>SUM(D6:D6)</f>
        <v>955159.72</v>
      </c>
      <c r="D6" s="214">
        <f>ROUND(SUM('[2]Monthly Program Costs Ext'!$BJ302:$BU302),2)</f>
        <v>955159.72</v>
      </c>
      <c r="F6" s="244"/>
      <c r="G6" s="244"/>
      <c r="H6" s="244"/>
    </row>
    <row r="7" spans="1:24" x14ac:dyDescent="0.35">
      <c r="A7" s="20" t="s">
        <v>106</v>
      </c>
      <c r="B7" s="301">
        <f>SUM('[1]GMO Billed kWh Sales'!$H37:$I37)</f>
        <v>1175390871</v>
      </c>
      <c r="C7" s="214">
        <f>SUM(D7:D7)</f>
        <v>1008132.19</v>
      </c>
      <c r="D7" s="214">
        <f>ROUND(SUM('[2]Monthly Program Costs Ext'!$BJ304:$BU304),2)</f>
        <v>1008132.19</v>
      </c>
      <c r="F7" s="244"/>
      <c r="G7" s="244"/>
      <c r="H7" s="244"/>
    </row>
    <row r="8" spans="1:24" x14ac:dyDescent="0.35">
      <c r="A8" s="20" t="s">
        <v>107</v>
      </c>
      <c r="B8" s="301">
        <f>SUM('[1]GMO Billed kWh Sales'!$H38:$I38)</f>
        <v>776625967</v>
      </c>
      <c r="C8" s="214">
        <f>SUM(D8:D8)</f>
        <v>911718.47</v>
      </c>
      <c r="D8" s="214">
        <f>ROUND(SUM('[2]Monthly Program Costs Ext'!$BJ305:$BU305),2)</f>
        <v>911718.47</v>
      </c>
      <c r="F8" s="244"/>
      <c r="G8" s="244"/>
      <c r="H8" s="244"/>
      <c r="O8" s="1"/>
      <c r="P8" s="1"/>
      <c r="Q8" s="1"/>
      <c r="R8" s="1"/>
      <c r="S8" s="1"/>
      <c r="T8" s="1"/>
      <c r="U8" s="1"/>
      <c r="V8" s="1"/>
      <c r="W8" s="1"/>
      <c r="X8" s="1"/>
    </row>
    <row r="9" spans="1:24" x14ac:dyDescent="0.35">
      <c r="A9" s="30" t="s">
        <v>109</v>
      </c>
      <c r="B9" s="246">
        <f>SUM(B5:B8)</f>
        <v>7030353243</v>
      </c>
      <c r="C9" s="215">
        <f>SUM(C5:C8)</f>
        <v>6999075.29</v>
      </c>
      <c r="D9" s="215">
        <f t="shared" ref="D9" si="0">SUM(D5:D8)</f>
        <v>6999075.29</v>
      </c>
      <c r="O9" s="1"/>
      <c r="P9" s="1"/>
      <c r="Q9" s="1"/>
      <c r="R9" s="1"/>
      <c r="S9" s="1"/>
      <c r="T9" s="1"/>
      <c r="U9" s="1"/>
      <c r="V9" s="1"/>
      <c r="W9" s="1"/>
      <c r="X9" s="1"/>
    </row>
    <row r="11" spans="1:24" x14ac:dyDescent="0.35">
      <c r="A11" s="53" t="s">
        <v>11</v>
      </c>
    </row>
    <row r="12" spans="1:24" ht="29.5" customHeight="1" x14ac:dyDescent="0.35">
      <c r="A12" s="366" t="s">
        <v>283</v>
      </c>
      <c r="B12" s="366"/>
      <c r="C12" s="366"/>
      <c r="D12" s="366"/>
      <c r="E12" s="366"/>
      <c r="F12" s="271"/>
      <c r="G12" s="273"/>
      <c r="H12" s="273"/>
      <c r="I12" s="273"/>
    </row>
    <row r="13" spans="1:24" ht="18.75" customHeight="1" x14ac:dyDescent="0.35">
      <c r="A13" s="366" t="s">
        <v>164</v>
      </c>
      <c r="B13" s="366"/>
      <c r="C13" s="366"/>
      <c r="D13" s="366"/>
      <c r="E13" s="366"/>
    </row>
    <row r="14" spans="1:24" ht="30" customHeight="1" x14ac:dyDescent="0.35">
      <c r="A14" s="366" t="s">
        <v>303</v>
      </c>
      <c r="B14" s="366"/>
      <c r="C14" s="366"/>
      <c r="D14" s="366"/>
      <c r="E14" s="366"/>
    </row>
    <row r="15" spans="1:24" ht="32.5" customHeight="1" x14ac:dyDescent="0.35"/>
    <row r="22" spans="3:3" x14ac:dyDescent="0.35">
      <c r="C22" s="2"/>
    </row>
    <row r="44" spans="2:3" x14ac:dyDescent="0.35">
      <c r="B44" s="8"/>
      <c r="C44" s="8"/>
    </row>
    <row r="48" spans="2:3" x14ac:dyDescent="0.35">
      <c r="B48" s="8"/>
      <c r="C48" s="8"/>
    </row>
  </sheetData>
  <mergeCells count="4">
    <mergeCell ref="A14:E14"/>
    <mergeCell ref="B3:C3"/>
    <mergeCell ref="A12:E12"/>
    <mergeCell ref="A13:E13"/>
  </mergeCells>
  <pageMargins left="0.2" right="0.2" top="0.75" bottom="0.25" header="0.3" footer="0.3"/>
  <pageSetup scale="80" orientation="landscape" r:id="rId1"/>
  <headerFooter>
    <oddHeader>&amp;C&amp;F &amp;A&amp;R&amp;"Arial"&amp;10&amp;K000000CONFIDENTIAL</oddHeader>
    <oddFooter xml:space="preserve">&amp;R_x000D_&amp;1#&amp;"Calibri"&amp;10&amp;KA80000 Restricted – Sensitive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74"/>
  <sheetViews>
    <sheetView zoomScale="85" zoomScaleNormal="85" workbookViewId="0">
      <pane xSplit="2" ySplit="14" topLeftCell="C15" activePane="bottomRight" state="frozen"/>
      <selection activeCell="E10" sqref="E10"/>
      <selection pane="topRight" activeCell="E10" sqref="E10"/>
      <selection pane="bottomLeft" activeCell="E10" sqref="E10"/>
      <selection pane="bottomRight" activeCell="E10" sqref="E10"/>
    </sheetView>
  </sheetViews>
  <sheetFormatPr defaultColWidth="9.1796875" defaultRowHeight="14.5" outlineLevelCol="1" x14ac:dyDescent="0.35"/>
  <cols>
    <col min="1" max="1" width="54.54296875" style="46" customWidth="1"/>
    <col min="2" max="2" width="14.7265625" style="46" customWidth="1"/>
    <col min="3" max="3" width="15" style="46" customWidth="1"/>
    <col min="4" max="4" width="15.26953125" style="46" customWidth="1"/>
    <col min="5" max="5" width="15.81640625" style="46" customWidth="1"/>
    <col min="6" max="6" width="17.54296875" style="46" customWidth="1"/>
    <col min="7" max="8" width="13.26953125" style="46" customWidth="1"/>
    <col min="9" max="9" width="15.7265625" style="46" customWidth="1"/>
    <col min="10" max="11" width="12.54296875" style="46" bestFit="1" customWidth="1"/>
    <col min="12" max="12" width="14.453125" style="46" customWidth="1"/>
    <col min="13" max="13" width="15" style="46" bestFit="1" customWidth="1"/>
    <col min="14" max="14" width="16.26953125" style="46" bestFit="1" customWidth="1"/>
    <col min="15" max="15" width="16.26953125" style="46" customWidth="1" outlineLevel="1"/>
    <col min="16" max="16" width="16.1796875" style="46" customWidth="1"/>
    <col min="17" max="17" width="17.26953125" style="46" bestFit="1" customWidth="1"/>
    <col min="18" max="18" width="17.453125" style="46" customWidth="1"/>
    <col min="19" max="19" width="15.54296875" style="46" customWidth="1"/>
    <col min="20" max="20" width="13" style="46" customWidth="1"/>
    <col min="21" max="21" width="9.1796875" style="46"/>
    <col min="22" max="22" width="14.26953125" style="46" bestFit="1" customWidth="1"/>
    <col min="23" max="16384" width="9.1796875" style="46"/>
  </cols>
  <sheetData>
    <row r="1" spans="1:35" x14ac:dyDescent="0.35">
      <c r="A1" s="3" t="str">
        <f>+'PPC Cycle 3'!A1</f>
        <v>Evergy Missouri West, Inc. - DSIM Rider Update Filed 06/01/2024</v>
      </c>
      <c r="B1" s="3"/>
      <c r="C1" s="3"/>
    </row>
    <row r="2" spans="1:35" x14ac:dyDescent="0.35">
      <c r="D2" s="3" t="s">
        <v>59</v>
      </c>
    </row>
    <row r="3" spans="1:35" ht="29" x14ac:dyDescent="0.35">
      <c r="D3" s="48" t="s">
        <v>45</v>
      </c>
      <c r="E3" s="48" t="s">
        <v>44</v>
      </c>
      <c r="F3" s="70" t="s">
        <v>2</v>
      </c>
      <c r="G3" s="48" t="s">
        <v>3</v>
      </c>
      <c r="H3" s="70" t="s">
        <v>54</v>
      </c>
      <c r="I3" s="48" t="s">
        <v>10</v>
      </c>
      <c r="J3" s="48" t="s">
        <v>4</v>
      </c>
    </row>
    <row r="4" spans="1:35" x14ac:dyDescent="0.35">
      <c r="A4" s="20" t="s">
        <v>24</v>
      </c>
      <c r="D4" s="22">
        <f>SUM(C32:L32)</f>
        <v>0</v>
      </c>
      <c r="E4" s="128">
        <f>SUM(C26:L26)</f>
        <v>1597928952.3823376</v>
      </c>
      <c r="F4" s="22">
        <f>SUM(C22:K22)</f>
        <v>0</v>
      </c>
      <c r="G4" s="22">
        <f>F4-D4</f>
        <v>0</v>
      </c>
      <c r="H4" s="22">
        <f>+B44</f>
        <v>-0.23768000013951607</v>
      </c>
      <c r="I4" s="22">
        <f>SUM(C49:K49)</f>
        <v>0</v>
      </c>
      <c r="J4" s="25">
        <f>SUM(G4:I4)</f>
        <v>-0.23768000013951607</v>
      </c>
      <c r="K4" s="47">
        <f>+J4-L44</f>
        <v>0</v>
      </c>
    </row>
    <row r="5" spans="1:35" ht="15" thickBot="1" x14ac:dyDescent="0.4">
      <c r="A5" s="20" t="s">
        <v>25</v>
      </c>
      <c r="D5" s="22">
        <f>SUM(C33:L35)</f>
        <v>-11209.76</v>
      </c>
      <c r="E5" s="128">
        <f>SUM(C27:L29)</f>
        <v>1588113920.7671335</v>
      </c>
      <c r="F5" s="22">
        <f>SUM(C23:K23)</f>
        <v>0</v>
      </c>
      <c r="G5" s="22">
        <f>F5-D5</f>
        <v>11209.76</v>
      </c>
      <c r="H5" s="22">
        <f>+B45</f>
        <v>-23072.938960000105</v>
      </c>
      <c r="I5" s="22">
        <f>SUM(C50:K50)</f>
        <v>-675.69999999999993</v>
      </c>
      <c r="J5" s="25">
        <f>SUM(G5:I5)</f>
        <v>-12538.878960000106</v>
      </c>
      <c r="K5" s="47">
        <f>+J5-L45</f>
        <v>0</v>
      </c>
    </row>
    <row r="6" spans="1:35" ht="15.5" thickTop="1" thickBot="1" x14ac:dyDescent="0.4">
      <c r="D6" s="27">
        <f>SUM(D4:D5)</f>
        <v>-11209.76</v>
      </c>
      <c r="E6" s="27">
        <f t="shared" ref="E6:H6" si="0">SUM(E4:E5)</f>
        <v>3186042873.1494713</v>
      </c>
      <c r="F6" s="27">
        <f t="shared" si="0"/>
        <v>0</v>
      </c>
      <c r="G6" s="27">
        <f t="shared" si="0"/>
        <v>11209.76</v>
      </c>
      <c r="H6" s="27">
        <f t="shared" si="0"/>
        <v>-23073.176640000245</v>
      </c>
      <c r="I6" s="27">
        <f>SUM(I4:I5)</f>
        <v>-675.69999999999993</v>
      </c>
      <c r="J6" s="27">
        <f>SUM(J4:J5)</f>
        <v>-12539.116640000246</v>
      </c>
    </row>
    <row r="7" spans="1:35" ht="44" thickTop="1" x14ac:dyDescent="0.35">
      <c r="D7" s="212"/>
      <c r="E7" s="213"/>
      <c r="F7" s="212"/>
      <c r="G7" s="212"/>
      <c r="H7" s="212"/>
      <c r="I7" s="211"/>
      <c r="J7" s="211"/>
      <c r="K7" s="210" t="s">
        <v>120</v>
      </c>
    </row>
    <row r="8" spans="1:35" x14ac:dyDescent="0.35">
      <c r="A8" s="20" t="s">
        <v>105</v>
      </c>
      <c r="D8" s="212"/>
      <c r="E8" s="213"/>
      <c r="F8" s="212"/>
      <c r="G8" s="212"/>
      <c r="H8" s="212"/>
      <c r="I8" s="211"/>
      <c r="J8" s="25">
        <f>ROUND($J$5*K8,2)</f>
        <v>-4916.41</v>
      </c>
      <c r="K8" s="334">
        <f>'[3]Monthly TD Calc'!$CZ$44</f>
        <v>0.39209287804949344</v>
      </c>
      <c r="L8" s="39"/>
    </row>
    <row r="9" spans="1:35" x14ac:dyDescent="0.35">
      <c r="A9" s="20" t="s">
        <v>106</v>
      </c>
      <c r="D9" s="212"/>
      <c r="E9" s="213"/>
      <c r="F9" s="212"/>
      <c r="G9" s="212"/>
      <c r="H9" s="212"/>
      <c r="I9" s="211"/>
      <c r="J9" s="25">
        <f t="shared" ref="J9:J10" si="1">ROUND($J$5*K9,2)</f>
        <v>-5697.15</v>
      </c>
      <c r="K9" s="334">
        <f>'[3]Monthly TD Calc'!$DB$44</f>
        <v>0.45435908608374953</v>
      </c>
      <c r="L9" s="39"/>
    </row>
    <row r="10" spans="1:35" ht="15" thickBot="1" x14ac:dyDescent="0.4">
      <c r="A10" s="20" t="s">
        <v>107</v>
      </c>
      <c r="D10" s="212"/>
      <c r="E10" s="213"/>
      <c r="F10" s="212"/>
      <c r="G10" s="212"/>
      <c r="H10" s="212"/>
      <c r="I10" s="211"/>
      <c r="J10" s="25">
        <f t="shared" si="1"/>
        <v>-1925.32</v>
      </c>
      <c r="K10" s="334">
        <f>'[3]Monthly TD Calc'!$DC$44</f>
        <v>0.15354803586675725</v>
      </c>
      <c r="L10" s="39"/>
    </row>
    <row r="11" spans="1:35" ht="15.5" thickTop="1" thickBot="1" x14ac:dyDescent="0.4">
      <c r="A11" s="20" t="s">
        <v>109</v>
      </c>
      <c r="D11" s="212"/>
      <c r="E11" s="213"/>
      <c r="F11" s="212"/>
      <c r="G11" s="212"/>
      <c r="H11" s="212"/>
      <c r="I11" s="211"/>
      <c r="J11" s="27">
        <f>SUM(J8:J10)</f>
        <v>-12538.88</v>
      </c>
      <c r="K11" s="209">
        <f>SUM(K8:K10)</f>
        <v>1.0000000000000002</v>
      </c>
    </row>
    <row r="12" spans="1:35" ht="15.5" thickTop="1" thickBot="1" x14ac:dyDescent="0.4"/>
    <row r="13" spans="1:35" ht="87.5" thickBot="1" x14ac:dyDescent="0.4">
      <c r="B13" s="112" t="s">
        <v>273</v>
      </c>
      <c r="C13" s="143" t="s">
        <v>274</v>
      </c>
      <c r="D13" s="373" t="s">
        <v>32</v>
      </c>
      <c r="E13" s="373"/>
      <c r="F13" s="374"/>
      <c r="G13" s="375" t="s">
        <v>32</v>
      </c>
      <c r="H13" s="376"/>
      <c r="I13" s="377"/>
      <c r="J13" s="370" t="s">
        <v>8</v>
      </c>
      <c r="K13" s="371"/>
      <c r="L13" s="372"/>
      <c r="O13" s="280" t="s">
        <v>223</v>
      </c>
    </row>
    <row r="14" spans="1:35" x14ac:dyDescent="0.35">
      <c r="A14" s="46" t="s">
        <v>31</v>
      </c>
      <c r="C14" s="14"/>
      <c r="D14" s="314">
        <v>45260</v>
      </c>
      <c r="E14" s="19">
        <f>EOMONTH(D14,1)</f>
        <v>45291</v>
      </c>
      <c r="F14" s="19">
        <f t="shared" ref="F14:L14" si="2">EOMONTH(E14,1)</f>
        <v>45322</v>
      </c>
      <c r="G14" s="14">
        <f t="shared" si="2"/>
        <v>45351</v>
      </c>
      <c r="H14" s="19">
        <f t="shared" si="2"/>
        <v>45382</v>
      </c>
      <c r="I14" s="15">
        <f t="shared" si="2"/>
        <v>45412</v>
      </c>
      <c r="J14" s="19">
        <f t="shared" si="2"/>
        <v>45443</v>
      </c>
      <c r="K14" s="19">
        <f t="shared" si="2"/>
        <v>45473</v>
      </c>
      <c r="L14" s="94">
        <f t="shared" si="2"/>
        <v>45504</v>
      </c>
      <c r="O14" s="280"/>
      <c r="Z14" s="1"/>
      <c r="AA14" s="1"/>
      <c r="AB14" s="1"/>
      <c r="AC14" s="1"/>
      <c r="AD14" s="1"/>
      <c r="AE14" s="1"/>
      <c r="AF14" s="1"/>
      <c r="AG14" s="1"/>
      <c r="AH14" s="1"/>
      <c r="AI14" s="1"/>
    </row>
    <row r="15" spans="1:35" x14ac:dyDescent="0.35">
      <c r="A15" s="46" t="s">
        <v>24</v>
      </c>
      <c r="C15" s="302">
        <v>0</v>
      </c>
      <c r="D15" s="106">
        <v>0</v>
      </c>
      <c r="E15" s="106">
        <v>0</v>
      </c>
      <c r="F15" s="107">
        <v>0</v>
      </c>
      <c r="G15" s="16">
        <v>0</v>
      </c>
      <c r="H15" s="55">
        <v>0</v>
      </c>
      <c r="I15" s="154">
        <v>0</v>
      </c>
      <c r="J15" s="162">
        <v>0</v>
      </c>
      <c r="K15" s="130">
        <v>0</v>
      </c>
      <c r="L15" s="75"/>
      <c r="O15" s="47">
        <f>-SUM(J15:L15)</f>
        <v>0</v>
      </c>
    </row>
    <row r="16" spans="1:35" x14ac:dyDescent="0.35">
      <c r="A16" s="46" t="s">
        <v>25</v>
      </c>
      <c r="C16" s="302">
        <v>0</v>
      </c>
      <c r="D16" s="106">
        <v>0</v>
      </c>
      <c r="E16" s="106">
        <v>0</v>
      </c>
      <c r="F16" s="107">
        <v>0</v>
      </c>
      <c r="G16" s="16">
        <v>0</v>
      </c>
      <c r="H16" s="55">
        <v>0</v>
      </c>
      <c r="I16" s="154">
        <v>0</v>
      </c>
      <c r="J16" s="162">
        <v>0</v>
      </c>
      <c r="K16" s="130">
        <v>0</v>
      </c>
      <c r="L16" s="75"/>
      <c r="M16" s="63" t="s">
        <v>27</v>
      </c>
      <c r="O16" s="47">
        <f t="shared" ref="O16:O18" si="3">-SUM(J16:L16)</f>
        <v>0</v>
      </c>
    </row>
    <row r="17" spans="1:15" x14ac:dyDescent="0.35">
      <c r="A17" s="46" t="s">
        <v>0</v>
      </c>
      <c r="C17" s="302">
        <v>0</v>
      </c>
      <c r="D17" s="106">
        <v>0</v>
      </c>
      <c r="E17" s="106">
        <v>0</v>
      </c>
      <c r="F17" s="107">
        <v>0</v>
      </c>
      <c r="G17" s="16">
        <v>0</v>
      </c>
      <c r="H17" s="55">
        <v>0</v>
      </c>
      <c r="I17" s="154">
        <v>0</v>
      </c>
      <c r="J17" s="162">
        <v>0</v>
      </c>
      <c r="K17" s="130">
        <v>0</v>
      </c>
      <c r="L17" s="75"/>
      <c r="M17" s="313">
        <v>0.5</v>
      </c>
      <c r="O17" s="47">
        <f t="shared" si="3"/>
        <v>0</v>
      </c>
    </row>
    <row r="18" spans="1:15" x14ac:dyDescent="0.35">
      <c r="A18" s="46" t="s">
        <v>1</v>
      </c>
      <c r="C18" s="302">
        <v>0</v>
      </c>
      <c r="D18" s="106">
        <v>0</v>
      </c>
      <c r="E18" s="106">
        <v>0</v>
      </c>
      <c r="F18" s="107">
        <v>0</v>
      </c>
      <c r="G18" s="16">
        <v>0</v>
      </c>
      <c r="H18" s="55">
        <v>0</v>
      </c>
      <c r="I18" s="154">
        <v>0</v>
      </c>
      <c r="J18" s="162">
        <v>0</v>
      </c>
      <c r="K18" s="130">
        <v>0</v>
      </c>
      <c r="L18" s="75"/>
      <c r="M18" s="63"/>
      <c r="O18" s="47">
        <f t="shared" si="3"/>
        <v>0</v>
      </c>
    </row>
    <row r="19" spans="1:15" x14ac:dyDescent="0.35">
      <c r="C19" s="303"/>
      <c r="D19" s="31"/>
      <c r="E19" s="31"/>
      <c r="F19" s="31"/>
      <c r="G19" s="28"/>
      <c r="H19" s="31"/>
      <c r="I19" s="11"/>
      <c r="J19" s="31"/>
      <c r="K19" s="31"/>
      <c r="L19" s="29"/>
      <c r="O19" s="47"/>
    </row>
    <row r="20" spans="1:15" x14ac:dyDescent="0.35">
      <c r="C20" s="303"/>
      <c r="D20" s="31"/>
      <c r="E20" s="31"/>
      <c r="F20" s="31"/>
      <c r="G20" s="28"/>
      <c r="H20" s="31"/>
      <c r="I20" s="11"/>
      <c r="J20" s="31"/>
      <c r="K20" s="31"/>
      <c r="L20" s="29"/>
      <c r="O20" s="47"/>
    </row>
    <row r="21" spans="1:15" x14ac:dyDescent="0.35">
      <c r="A21" s="46" t="s">
        <v>34</v>
      </c>
      <c r="C21" s="304"/>
      <c r="D21" s="31"/>
      <c r="E21" s="31"/>
      <c r="F21" s="31"/>
      <c r="G21" s="28"/>
      <c r="H21" s="31"/>
      <c r="I21" s="155"/>
      <c r="J21" s="17"/>
      <c r="K21" s="17"/>
      <c r="L21" s="11"/>
      <c r="O21" s="47"/>
    </row>
    <row r="22" spans="1:15" x14ac:dyDescent="0.35">
      <c r="A22" s="46" t="s">
        <v>24</v>
      </c>
      <c r="C22" s="305"/>
      <c r="D22" s="41">
        <f>D15+($M$17*D$17)+($M$17*D$18)</f>
        <v>0</v>
      </c>
      <c r="E22" s="41">
        <f t="shared" ref="E22:K22" si="4">E15+($M$17*E$17)+($M$17*E$18)</f>
        <v>0</v>
      </c>
      <c r="F22" s="105">
        <f t="shared" si="4"/>
        <v>0</v>
      </c>
      <c r="G22" s="40">
        <f t="shared" si="4"/>
        <v>0</v>
      </c>
      <c r="H22" s="41">
        <f t="shared" si="4"/>
        <v>0</v>
      </c>
      <c r="I22" s="61">
        <f t="shared" si="4"/>
        <v>0</v>
      </c>
      <c r="J22" s="116">
        <f t="shared" si="4"/>
        <v>0</v>
      </c>
      <c r="K22" s="41">
        <f t="shared" si="4"/>
        <v>0</v>
      </c>
      <c r="L22" s="61">
        <f t="shared" ref="L22" si="5">L15+($M$17*L$17)+($M$17*L$18)+L$19*(1-$M$19)</f>
        <v>0</v>
      </c>
      <c r="O22" s="47"/>
    </row>
    <row r="23" spans="1:15" x14ac:dyDescent="0.35">
      <c r="A23" s="46" t="s">
        <v>25</v>
      </c>
      <c r="C23" s="305"/>
      <c r="D23" s="41">
        <f>(D$16+$M$17*D$17)+D$18*$M$17</f>
        <v>0</v>
      </c>
      <c r="E23" s="41">
        <f t="shared" ref="E23:K23" si="6">(E$16+$M$17*E$17)+E$18*$M$17</f>
        <v>0</v>
      </c>
      <c r="F23" s="105">
        <f t="shared" si="6"/>
        <v>0</v>
      </c>
      <c r="G23" s="40">
        <f t="shared" si="6"/>
        <v>0</v>
      </c>
      <c r="H23" s="41">
        <f t="shared" si="6"/>
        <v>0</v>
      </c>
      <c r="I23" s="61">
        <f t="shared" si="6"/>
        <v>0</v>
      </c>
      <c r="J23" s="116">
        <f t="shared" si="6"/>
        <v>0</v>
      </c>
      <c r="K23" s="41">
        <f t="shared" si="6"/>
        <v>0</v>
      </c>
      <c r="L23" s="61">
        <f t="shared" ref="L23" si="7">(L$16+$M$17*L$17+L$19*$M$19)+L$18*$M$17</f>
        <v>0</v>
      </c>
      <c r="O23" s="47"/>
    </row>
    <row r="24" spans="1:15" x14ac:dyDescent="0.35">
      <c r="C24" s="304"/>
      <c r="D24" s="31"/>
      <c r="E24" s="31"/>
      <c r="F24" s="31"/>
      <c r="G24" s="28"/>
      <c r="H24" s="31"/>
      <c r="I24" s="11"/>
      <c r="J24" s="17"/>
      <c r="K24" s="17"/>
      <c r="L24" s="11"/>
      <c r="O24" s="47"/>
    </row>
    <row r="25" spans="1:15" x14ac:dyDescent="0.35">
      <c r="A25" s="39" t="s">
        <v>46</v>
      </c>
      <c r="B25" s="39"/>
      <c r="C25" s="306"/>
      <c r="D25" s="31"/>
      <c r="E25" s="31"/>
      <c r="F25" s="31"/>
      <c r="G25" s="97"/>
      <c r="H25" s="250"/>
      <c r="I25" s="333"/>
      <c r="J25" s="17"/>
      <c r="K25" s="17"/>
      <c r="L25" s="11"/>
      <c r="O25" s="47"/>
    </row>
    <row r="26" spans="1:15" x14ac:dyDescent="0.35">
      <c r="A26" s="46" t="s">
        <v>24</v>
      </c>
      <c r="C26" s="307">
        <v>-953657637</v>
      </c>
      <c r="D26" s="108">
        <f>+'PCR Cycle 3'!E20</f>
        <v>214439019.55129999</v>
      </c>
      <c r="E26" s="108">
        <f>+'PCR Cycle 3'!F20</f>
        <v>285910598.36810005</v>
      </c>
      <c r="F26" s="108">
        <f>+'PCR Cycle 3'!G20</f>
        <v>377487149.65493757</v>
      </c>
      <c r="G26" s="171">
        <f>+'PCR Cycle 3'!H20</f>
        <v>349456271.71650004</v>
      </c>
      <c r="H26" s="173">
        <f>+'PCR Cycle 3'!I20</f>
        <v>240704516.46097499</v>
      </c>
      <c r="I26" s="167">
        <f>+'PCR Cycle 3'!J20</f>
        <v>219282230.63052499</v>
      </c>
      <c r="J26" s="163">
        <f>+'PCR Cycle 3'!K20</f>
        <v>216308145</v>
      </c>
      <c r="K26" s="131">
        <f>+'PCR Cycle 3'!L20</f>
        <v>270030758</v>
      </c>
      <c r="L26" s="76">
        <f>+'PCR Cycle 3'!M20</f>
        <v>377967900</v>
      </c>
      <c r="O26" s="47">
        <f>-SUM(J26:L26)</f>
        <v>-864306803</v>
      </c>
    </row>
    <row r="27" spans="1:15" x14ac:dyDescent="0.35">
      <c r="A27" s="46" t="s">
        <v>105</v>
      </c>
      <c r="C27" s="307">
        <v>-308108615</v>
      </c>
      <c r="D27" s="108">
        <f>+'PCR Cycle 3'!E21</f>
        <v>98464291.684200004</v>
      </c>
      <c r="E27" s="108">
        <f>+'PCR Cycle 3'!F21</f>
        <v>102673084.82850002</v>
      </c>
      <c r="F27" s="108">
        <f>+'PCR Cycle 3'!G21</f>
        <v>125278586.1734333</v>
      </c>
      <c r="G27" s="171">
        <f>+'PCR Cycle 3'!H21</f>
        <v>117839943.96579999</v>
      </c>
      <c r="H27" s="173">
        <f>+'PCR Cycle 3'!I21</f>
        <v>97003188.583699942</v>
      </c>
      <c r="I27" s="167">
        <f>+'PCR Cycle 3'!J21</f>
        <v>94116670.861800015</v>
      </c>
      <c r="J27" s="163">
        <f>+'PCR Cycle 3'!K21</f>
        <v>101301226</v>
      </c>
      <c r="K27" s="131">
        <f>+'PCR Cycle 3'!L21</f>
        <v>112145960</v>
      </c>
      <c r="L27" s="76">
        <f>+'PCR Cycle 3'!M21</f>
        <v>126321279</v>
      </c>
      <c r="O27" s="47">
        <f t="shared" ref="O27:O29" si="8">-SUM(J27:L27)</f>
        <v>-339768465</v>
      </c>
    </row>
    <row r="28" spans="1:15" x14ac:dyDescent="0.35">
      <c r="A28" s="46" t="s">
        <v>106</v>
      </c>
      <c r="C28" s="307">
        <v>-275128485</v>
      </c>
      <c r="D28" s="108">
        <f>+'PCR Cycle 3'!E22</f>
        <v>84946609.685899988</v>
      </c>
      <c r="E28" s="108">
        <f>+'PCR Cycle 3'!F22</f>
        <v>94564650.44600004</v>
      </c>
      <c r="F28" s="108">
        <f>+'PCR Cycle 3'!G22</f>
        <v>92446325.537999988</v>
      </c>
      <c r="G28" s="171">
        <f>+'PCR Cycle 3'!H22</f>
        <v>90471754.013600007</v>
      </c>
      <c r="H28" s="173">
        <f>+'PCR Cycle 3'!I22</f>
        <v>85294868.297800004</v>
      </c>
      <c r="I28" s="167">
        <f>+'PCR Cycle 3'!J22</f>
        <v>90396519.077799991</v>
      </c>
      <c r="J28" s="163">
        <f>+'PCR Cycle 3'!K22</f>
        <v>87274470</v>
      </c>
      <c r="K28" s="131">
        <f>+'PCR Cycle 3'!L22</f>
        <v>96617579</v>
      </c>
      <c r="L28" s="76">
        <f>+'PCR Cycle 3'!M22</f>
        <v>108830101</v>
      </c>
      <c r="O28" s="47">
        <f t="shared" si="8"/>
        <v>-292722150</v>
      </c>
    </row>
    <row r="29" spans="1:15" x14ac:dyDescent="0.35">
      <c r="A29" s="46" t="s">
        <v>107</v>
      </c>
      <c r="C29" s="307">
        <v>-184069326</v>
      </c>
      <c r="D29" s="108">
        <f>+'PCR Cycle 3'!E23</f>
        <v>58910356.43379999</v>
      </c>
      <c r="E29" s="108">
        <f>+'PCR Cycle 3'!F23</f>
        <v>57819272.887599997</v>
      </c>
      <c r="F29" s="108">
        <f>+'PCR Cycle 3'!G23</f>
        <v>63865180.119799994</v>
      </c>
      <c r="G29" s="171">
        <f>+'PCR Cycle 3'!H23</f>
        <v>58159262.787600003</v>
      </c>
      <c r="H29" s="173">
        <f>+'PCR Cycle 3'!I23</f>
        <v>55234249.189200006</v>
      </c>
      <c r="I29" s="167">
        <f>+'PCR Cycle 3'!J23</f>
        <v>58068770.192600004</v>
      </c>
      <c r="J29" s="163">
        <f>+'PCR Cycle 3'!K23</f>
        <v>58847268</v>
      </c>
      <c r="K29" s="131">
        <f>+'PCR Cycle 3'!L23</f>
        <v>65147121</v>
      </c>
      <c r="L29" s="76">
        <f>+'PCR Cycle 3'!M23</f>
        <v>73381758</v>
      </c>
      <c r="O29" s="47">
        <f t="shared" si="8"/>
        <v>-197376147</v>
      </c>
    </row>
    <row r="30" spans="1:15" x14ac:dyDescent="0.35">
      <c r="C30" s="304"/>
      <c r="D30" s="31"/>
      <c r="E30" s="31"/>
      <c r="F30" s="31"/>
      <c r="G30" s="28"/>
      <c r="H30" s="31"/>
      <c r="I30" s="11"/>
      <c r="J30" s="17"/>
      <c r="K30" s="17"/>
      <c r="L30" s="11"/>
      <c r="O30" s="47"/>
    </row>
    <row r="31" spans="1:15" x14ac:dyDescent="0.35">
      <c r="A31" s="46" t="s">
        <v>33</v>
      </c>
      <c r="C31" s="304"/>
      <c r="D31" s="18"/>
      <c r="E31" s="18"/>
      <c r="F31" s="18"/>
      <c r="G31" s="332"/>
      <c r="H31" s="252"/>
      <c r="I31" s="333"/>
      <c r="J31" s="57"/>
      <c r="K31" s="57"/>
      <c r="L31" s="58"/>
      <c r="M31" s="63" t="s">
        <v>49</v>
      </c>
      <c r="N31" s="39"/>
      <c r="O31" s="47"/>
    </row>
    <row r="32" spans="1:15" x14ac:dyDescent="0.35">
      <c r="A32" s="46" t="s">
        <v>24</v>
      </c>
      <c r="C32" s="302">
        <v>0</v>
      </c>
      <c r="D32" s="106">
        <f>ROUND('[4]November 2023'!$G36+'[4]November 2023'!$G44,2)</f>
        <v>0</v>
      </c>
      <c r="E32" s="106">
        <f>ROUND('[4]December 2023'!$G36+'[4]December 2023'!$G44,2)</f>
        <v>0</v>
      </c>
      <c r="F32" s="108">
        <f>ROUND('[4]January 2024'!$G36+'[4]January 2024'!$G44,2)</f>
        <v>0</v>
      </c>
      <c r="G32" s="172">
        <f>ROUND('[4]February 2024'!$G36+'[4]February 2024'!$G44,2)</f>
        <v>0</v>
      </c>
      <c r="H32" s="55">
        <f>ROUND('[4]March 2024'!$G36+'[4]March 2024'!$G44,2)</f>
        <v>0</v>
      </c>
      <c r="I32" s="165">
        <f>ROUND('[4]April 2024'!$G36+'[4]April 2024'!$G44,2)</f>
        <v>0</v>
      </c>
      <c r="J32" s="116">
        <f>ROUND(J26*$M32,2)</f>
        <v>0</v>
      </c>
      <c r="K32" s="41">
        <f>ROUND(K26*$M32,2)</f>
        <v>0</v>
      </c>
      <c r="L32" s="61">
        <f t="shared" ref="J32:L35" si="9">ROUND(L26*$M32,2)</f>
        <v>0</v>
      </c>
      <c r="M32" s="335">
        <v>0</v>
      </c>
      <c r="O32" s="47">
        <f>-SUM(J32:L32)</f>
        <v>0</v>
      </c>
    </row>
    <row r="33" spans="1:15" x14ac:dyDescent="0.35">
      <c r="A33" s="46" t="s">
        <v>105</v>
      </c>
      <c r="C33" s="302">
        <v>3081.09</v>
      </c>
      <c r="D33" s="106">
        <f>ROUND('[4]November 2023'!$G37+'[4]November 2023'!$G45,2)</f>
        <v>-948.03</v>
      </c>
      <c r="E33" s="106">
        <f>ROUND('[4]December 2023'!$G37+'[4]December 2023'!$G45,2)</f>
        <v>-909.66</v>
      </c>
      <c r="F33" s="108">
        <f>ROUND('[4]January 2024'!$G37+'[4]January 2024'!$G45,2)</f>
        <v>-471.11</v>
      </c>
      <c r="G33" s="172">
        <f>ROUND('[4]February 2024'!$G37+'[4]February 2024'!$G45,2)</f>
        <v>-951.4</v>
      </c>
      <c r="H33" s="55">
        <f>ROUND('[4]March 2024'!$G37+'[4]March 2024'!$G45,2)</f>
        <v>-1109.92</v>
      </c>
      <c r="I33" s="165">
        <f>ROUND('[4]April 2024'!$G37+'[4]April 2024'!$G45,2)</f>
        <v>-931.46</v>
      </c>
      <c r="J33" s="116">
        <f t="shared" si="9"/>
        <v>-1013.01</v>
      </c>
      <c r="K33" s="41">
        <f t="shared" si="9"/>
        <v>-1121.46</v>
      </c>
      <c r="L33" s="61">
        <f t="shared" si="9"/>
        <v>-1263.21</v>
      </c>
      <c r="M33" s="335">
        <v>-1.0000000000000001E-5</v>
      </c>
      <c r="O33" s="47">
        <f t="shared" ref="O33:O37" si="10">-SUM(J33:L33)</f>
        <v>3397.6800000000003</v>
      </c>
    </row>
    <row r="34" spans="1:15" x14ac:dyDescent="0.35">
      <c r="A34" s="46" t="s">
        <v>106</v>
      </c>
      <c r="C34" s="302">
        <v>8253.86</v>
      </c>
      <c r="D34" s="106">
        <f>ROUND('[4]November 2023'!$G38+'[4]November 2023'!$G46,2)</f>
        <v>-2512.4899999999998</v>
      </c>
      <c r="E34" s="106">
        <f>ROUND('[4]December 2023'!$G38+'[4]December 2023'!$G46,2)</f>
        <v>-2816.5</v>
      </c>
      <c r="F34" s="108">
        <f>ROUND('[4]January 2024'!$G38+'[4]January 2024'!$G46,2)</f>
        <v>-2753.77</v>
      </c>
      <c r="G34" s="172">
        <f>ROUND('[4]February 2024'!$G38+'[4]February 2024'!$G46,2)</f>
        <v>-862.45</v>
      </c>
      <c r="H34" s="55">
        <f>ROUND('[4]March 2024'!$G38+'[4]March 2024'!$G46,2)</f>
        <v>-803.75</v>
      </c>
      <c r="I34" s="165">
        <f>ROUND('[4]April 2024'!$G38+'[4]April 2024'!$G46,2)</f>
        <v>-1176.3399999999999</v>
      </c>
      <c r="J34" s="116">
        <f t="shared" si="9"/>
        <v>-872.74</v>
      </c>
      <c r="K34" s="41">
        <f t="shared" si="9"/>
        <v>-966.18</v>
      </c>
      <c r="L34" s="61">
        <f t="shared" si="9"/>
        <v>-1088.3</v>
      </c>
      <c r="M34" s="335">
        <v>-1.0000000000000001E-5</v>
      </c>
      <c r="O34" s="47">
        <f t="shared" si="10"/>
        <v>2927.2200000000003</v>
      </c>
    </row>
    <row r="35" spans="1:15" x14ac:dyDescent="0.35">
      <c r="A35" s="46" t="s">
        <v>107</v>
      </c>
      <c r="C35" s="302">
        <v>1840.7000000000003</v>
      </c>
      <c r="D35" s="106">
        <f>ROUND('[4]November 2023'!$G39+'[4]November 2023'!$G47,2)</f>
        <v>-574.16</v>
      </c>
      <c r="E35" s="106">
        <f>ROUND('[4]December 2023'!$G39+'[4]December 2023'!$G47,2)</f>
        <v>-565.92999999999995</v>
      </c>
      <c r="F35" s="108">
        <f>ROUND('[4]January 2024'!$G39+'[4]January 2024'!$G47,2)</f>
        <v>-678.77</v>
      </c>
      <c r="G35" s="172">
        <f>ROUND('[4]February 2024'!$G39+'[4]February 2024'!$G47,2)</f>
        <v>-18.54</v>
      </c>
      <c r="H35" s="55">
        <f>ROUND('[4]March 2024'!$G39+'[4]March 2024'!$G47,2)</f>
        <v>20.14</v>
      </c>
      <c r="I35" s="165">
        <f>ROUND('[4]April 2024'!$G39+'[4]April 2024'!$G47,2)</f>
        <v>3.63</v>
      </c>
      <c r="J35" s="116">
        <f t="shared" si="9"/>
        <v>0</v>
      </c>
      <c r="K35" s="41">
        <f t="shared" si="9"/>
        <v>0</v>
      </c>
      <c r="L35" s="61">
        <f t="shared" si="9"/>
        <v>0</v>
      </c>
      <c r="M35" s="335">
        <v>0</v>
      </c>
      <c r="O35" s="47">
        <f t="shared" si="10"/>
        <v>0</v>
      </c>
    </row>
    <row r="36" spans="1:15" x14ac:dyDescent="0.35">
      <c r="C36" s="308"/>
      <c r="D36" s="18"/>
      <c r="E36" s="18"/>
      <c r="F36" s="18"/>
      <c r="G36" s="332"/>
      <c r="H36" s="252"/>
      <c r="I36" s="333"/>
      <c r="J36" s="68"/>
      <c r="K36" s="68"/>
      <c r="L36" s="13"/>
      <c r="M36" s="4"/>
      <c r="O36" s="47"/>
    </row>
    <row r="37" spans="1:15" ht="15" thickBot="1" x14ac:dyDescent="0.4">
      <c r="A37" s="46" t="s">
        <v>14</v>
      </c>
      <c r="C37" s="309">
        <v>353.27</v>
      </c>
      <c r="D37" s="109">
        <v>-188.66</v>
      </c>
      <c r="E37" s="109">
        <v>-163.99</v>
      </c>
      <c r="F37" s="110">
        <v>-141.99</v>
      </c>
      <c r="G37" s="26">
        <v>-126.75</v>
      </c>
      <c r="H37" s="115">
        <v>-117.35</v>
      </c>
      <c r="I37" s="166">
        <v>-106.97</v>
      </c>
      <c r="J37" s="164">
        <f>ROUND((SUM(I44:I45)+SUM(I49:I50)+SUM(J40:J41)/2)*J$47,2)</f>
        <v>-96.72</v>
      </c>
      <c r="K37" s="132">
        <f>ROUND((SUM(J44:J45)+SUM(J49:J50)+SUM(K40:K41)/2)*K$47,2)</f>
        <v>-86.42</v>
      </c>
      <c r="L37" s="80"/>
      <c r="O37" s="47">
        <f t="shared" si="10"/>
        <v>183.14</v>
      </c>
    </row>
    <row r="38" spans="1:15" x14ac:dyDescent="0.35">
      <c r="C38" s="98"/>
      <c r="D38" s="31"/>
      <c r="E38" s="31"/>
      <c r="F38" s="31"/>
      <c r="G38" s="28"/>
      <c r="H38" s="31"/>
      <c r="I38" s="11"/>
      <c r="J38" s="17"/>
      <c r="K38" s="17"/>
      <c r="L38" s="11"/>
      <c r="O38" s="47"/>
    </row>
    <row r="39" spans="1:15" x14ac:dyDescent="0.35">
      <c r="A39" s="46" t="s">
        <v>51</v>
      </c>
      <c r="C39" s="98"/>
      <c r="D39" s="31"/>
      <c r="E39" s="31"/>
      <c r="F39" s="31"/>
      <c r="G39" s="28"/>
      <c r="H39" s="31"/>
      <c r="I39" s="11"/>
      <c r="J39" s="17"/>
      <c r="K39" s="17"/>
      <c r="L39" s="11"/>
      <c r="O39" s="47"/>
    </row>
    <row r="40" spans="1:15" x14ac:dyDescent="0.35">
      <c r="A40" s="46" t="s">
        <v>24</v>
      </c>
      <c r="C40" s="40">
        <f>C22-C32</f>
        <v>0</v>
      </c>
      <c r="D40" s="41">
        <f t="shared" ref="D40:L40" si="11">D22-D32</f>
        <v>0</v>
      </c>
      <c r="E40" s="41">
        <f t="shared" si="11"/>
        <v>0</v>
      </c>
      <c r="F40" s="105">
        <f t="shared" si="11"/>
        <v>0</v>
      </c>
      <c r="G40" s="40">
        <f t="shared" si="11"/>
        <v>0</v>
      </c>
      <c r="H40" s="41">
        <f t="shared" si="11"/>
        <v>0</v>
      </c>
      <c r="I40" s="61">
        <f t="shared" si="11"/>
        <v>0</v>
      </c>
      <c r="J40" s="116">
        <f t="shared" si="11"/>
        <v>0</v>
      </c>
      <c r="K40" s="41">
        <f t="shared" si="11"/>
        <v>0</v>
      </c>
      <c r="L40" s="49">
        <f t="shared" si="11"/>
        <v>0</v>
      </c>
      <c r="O40" s="47"/>
    </row>
    <row r="41" spans="1:15" x14ac:dyDescent="0.35">
      <c r="A41" s="46" t="s">
        <v>25</v>
      </c>
      <c r="C41" s="41">
        <f>C23-SUM(C33:C35)</f>
        <v>-13175.650000000001</v>
      </c>
      <c r="D41" s="41">
        <f>D23-SUM(D33:D35)</f>
        <v>4034.6799999999994</v>
      </c>
      <c r="E41" s="41">
        <f t="shared" ref="E41:L41" si="12">E23-SUM(E33:E35)</f>
        <v>4292.09</v>
      </c>
      <c r="F41" s="105">
        <f t="shared" si="12"/>
        <v>3903.65</v>
      </c>
      <c r="G41" s="40">
        <f t="shared" si="12"/>
        <v>1832.3899999999999</v>
      </c>
      <c r="H41" s="41">
        <f t="shared" si="12"/>
        <v>1893.53</v>
      </c>
      <c r="I41" s="61">
        <f t="shared" si="12"/>
        <v>2104.17</v>
      </c>
      <c r="J41" s="116">
        <f t="shared" si="12"/>
        <v>1885.75</v>
      </c>
      <c r="K41" s="41">
        <f t="shared" si="12"/>
        <v>2087.64</v>
      </c>
      <c r="L41" s="49">
        <f t="shared" si="12"/>
        <v>2351.5100000000002</v>
      </c>
      <c r="O41" s="47"/>
    </row>
    <row r="42" spans="1:15" x14ac:dyDescent="0.35">
      <c r="C42" s="98"/>
      <c r="D42" s="31"/>
      <c r="E42" s="31"/>
      <c r="F42" s="31"/>
      <c r="G42" s="28"/>
      <c r="H42" s="31"/>
      <c r="I42" s="11"/>
      <c r="J42" s="17"/>
      <c r="K42" s="17"/>
      <c r="L42" s="11"/>
      <c r="O42" s="47"/>
    </row>
    <row r="43" spans="1:15" ht="15" thickBot="1" x14ac:dyDescent="0.4">
      <c r="A43" s="46" t="s">
        <v>52</v>
      </c>
      <c r="C43" s="101"/>
      <c r="D43" s="31"/>
      <c r="E43" s="31"/>
      <c r="F43" s="31"/>
      <c r="G43" s="28"/>
      <c r="H43" s="31"/>
      <c r="I43" s="11"/>
      <c r="J43" s="17"/>
      <c r="K43" s="17"/>
      <c r="L43" s="11"/>
      <c r="O43" s="47"/>
    </row>
    <row r="44" spans="1:15" x14ac:dyDescent="0.35">
      <c r="A44" s="46" t="s">
        <v>24</v>
      </c>
      <c r="B44" s="310">
        <v>-0.23768000013951607</v>
      </c>
      <c r="C44" s="41">
        <f>B44+C40+B49</f>
        <v>-0.23768000013951607</v>
      </c>
      <c r="D44" s="41">
        <f>C44+D40+C49</f>
        <v>-0.23768000013951607</v>
      </c>
      <c r="E44" s="41">
        <f t="shared" ref="E44:L44" si="13">D44+E40+D49</f>
        <v>-0.23768000013951607</v>
      </c>
      <c r="F44" s="105">
        <f t="shared" si="13"/>
        <v>-0.23768000013951607</v>
      </c>
      <c r="G44" s="40">
        <f t="shared" si="13"/>
        <v>-0.23768000013951607</v>
      </c>
      <c r="H44" s="41">
        <f t="shared" si="13"/>
        <v>-0.23768000013951607</v>
      </c>
      <c r="I44" s="61">
        <f t="shared" si="13"/>
        <v>-0.23768000013951607</v>
      </c>
      <c r="J44" s="116">
        <f t="shared" si="13"/>
        <v>-0.23768000013951607</v>
      </c>
      <c r="K44" s="41">
        <f t="shared" si="13"/>
        <v>-0.23768000013951607</v>
      </c>
      <c r="L44" s="49">
        <f t="shared" si="13"/>
        <v>-0.23768000013951607</v>
      </c>
      <c r="O44" s="47"/>
    </row>
    <row r="45" spans="1:15" ht="15" thickBot="1" x14ac:dyDescent="0.4">
      <c r="A45" s="46" t="s">
        <v>25</v>
      </c>
      <c r="B45" s="311">
        <v>-23072.938960000105</v>
      </c>
      <c r="C45" s="41">
        <f>B45+C41+B50</f>
        <v>-36248.58896000011</v>
      </c>
      <c r="D45" s="41">
        <f>C45+D41+C50</f>
        <v>-31860.638960000109</v>
      </c>
      <c r="E45" s="41">
        <f t="shared" ref="E45:L45" si="14">D45+E41+D50</f>
        <v>-27757.198960000111</v>
      </c>
      <c r="F45" s="105">
        <f t="shared" si="14"/>
        <v>-24017.528960000109</v>
      </c>
      <c r="G45" s="40">
        <f t="shared" si="14"/>
        <v>-22327.148960000108</v>
      </c>
      <c r="H45" s="41">
        <f t="shared" si="14"/>
        <v>-20560.418960000108</v>
      </c>
      <c r="I45" s="61">
        <f t="shared" si="14"/>
        <v>-18573.638960000106</v>
      </c>
      <c r="J45" s="116">
        <f t="shared" si="14"/>
        <v>-16794.898960000104</v>
      </c>
      <c r="K45" s="41">
        <f t="shared" si="14"/>
        <v>-14803.978960000104</v>
      </c>
      <c r="L45" s="49">
        <f t="shared" si="14"/>
        <v>-12538.878960000104</v>
      </c>
      <c r="O45" s="47"/>
    </row>
    <row r="46" spans="1:15" x14ac:dyDescent="0.35">
      <c r="C46" s="98"/>
      <c r="D46" s="31"/>
      <c r="E46" s="31"/>
      <c r="F46" s="31"/>
      <c r="G46" s="28"/>
      <c r="H46" s="31"/>
      <c r="I46" s="11"/>
      <c r="J46" s="17"/>
      <c r="K46" s="17"/>
      <c r="L46" s="11"/>
      <c r="O46" s="47"/>
    </row>
    <row r="47" spans="1:15" x14ac:dyDescent="0.35">
      <c r="A47" s="39" t="s">
        <v>48</v>
      </c>
      <c r="B47" s="39"/>
      <c r="C47" s="101"/>
      <c r="D47" s="326">
        <f>+'PCR Cycle 3'!E45</f>
        <v>5.5686099999999999E-3</v>
      </c>
      <c r="E47" s="326">
        <f>+'PCR Cycle 3'!F45</f>
        <v>5.4837899999999997E-3</v>
      </c>
      <c r="F47" s="326">
        <f>+'PCR Cycle 3'!G45</f>
        <v>5.4684599999999996E-3</v>
      </c>
      <c r="G47" s="327">
        <f>+'PCR Cycle 3'!H45</f>
        <v>5.4552200000000002E-3</v>
      </c>
      <c r="H47" s="326">
        <f>+'PCR Cycle 3'!I45</f>
        <v>5.4582900000000002E-3</v>
      </c>
      <c r="I47" s="328">
        <f>+'PCR Cycle 3'!J45</f>
        <v>5.45277E-3</v>
      </c>
      <c r="J47" s="326">
        <f>+I47</f>
        <v>5.45277E-3</v>
      </c>
      <c r="K47" s="326">
        <f>+J47</f>
        <v>5.45277E-3</v>
      </c>
      <c r="L47" s="91"/>
      <c r="O47" s="47"/>
    </row>
    <row r="48" spans="1:15" x14ac:dyDescent="0.35">
      <c r="A48" s="39" t="s">
        <v>36</v>
      </c>
      <c r="B48" s="39"/>
      <c r="C48" s="98"/>
      <c r="D48" s="31"/>
      <c r="E48" s="31"/>
      <c r="F48" s="31"/>
      <c r="G48" s="28"/>
      <c r="H48" s="31"/>
      <c r="I48" s="11"/>
      <c r="J48" s="17"/>
      <c r="K48" s="17"/>
      <c r="L48" s="11"/>
      <c r="M48" s="71"/>
      <c r="O48" s="47"/>
    </row>
    <row r="49" spans="1:15" x14ac:dyDescent="0.35">
      <c r="A49" s="46" t="s">
        <v>24</v>
      </c>
      <c r="C49" s="305">
        <v>0</v>
      </c>
      <c r="D49" s="41">
        <f t="shared" ref="D49" si="15">ROUND((C44+C49+D40/2)*D$47,2)</f>
        <v>0</v>
      </c>
      <c r="E49" s="41">
        <f t="shared" ref="E49:E50" si="16">ROUND((D44+D49+E40/2)*E$47,2)</f>
        <v>0</v>
      </c>
      <c r="F49" s="105">
        <f t="shared" ref="F49:F50" si="17">ROUND((E44+E49+F40/2)*F$47,2)</f>
        <v>0</v>
      </c>
      <c r="G49" s="40">
        <f>ROUND((F44+F49+G40/2)*G$47,2)*0</f>
        <v>0</v>
      </c>
      <c r="H49" s="116">
        <f t="shared" ref="H49:I50" si="18">ROUND((G44+G49+H40/2)*H$47,2)</f>
        <v>0</v>
      </c>
      <c r="I49" s="61">
        <f t="shared" si="18"/>
        <v>0</v>
      </c>
      <c r="J49" s="116">
        <f t="shared" ref="J49:J50" si="19">ROUND((I44+I49+J40/2)*J$47,2)</f>
        <v>0</v>
      </c>
      <c r="K49" s="116">
        <f t="shared" ref="K49:K50" si="20">ROUND((J44+J49+K40/2)*K$47,2)</f>
        <v>0</v>
      </c>
      <c r="L49" s="49"/>
      <c r="O49" s="47">
        <f t="shared" ref="O49:O50" si="21">-SUM(J49:L49)</f>
        <v>0</v>
      </c>
    </row>
    <row r="50" spans="1:15" ht="15" thickBot="1" x14ac:dyDescent="0.4">
      <c r="A50" s="46" t="s">
        <v>25</v>
      </c>
      <c r="C50" s="312">
        <v>353.27</v>
      </c>
      <c r="D50" s="41">
        <f>ROUND((C45+C50+D41/2)*D$47,2)</f>
        <v>-188.65</v>
      </c>
      <c r="E50" s="41">
        <f t="shared" si="16"/>
        <v>-163.98</v>
      </c>
      <c r="F50" s="105">
        <f t="shared" si="17"/>
        <v>-142.01</v>
      </c>
      <c r="G50" s="40">
        <f t="shared" ref="G50" si="22">ROUND((F45+F50+G41/2)*G$47,2)</f>
        <v>-126.8</v>
      </c>
      <c r="H50" s="116">
        <f t="shared" si="18"/>
        <v>-117.39</v>
      </c>
      <c r="I50" s="61">
        <f>ROUND((H45+H50+I41/2)*I$47,2)</f>
        <v>-107.01</v>
      </c>
      <c r="J50" s="116">
        <f t="shared" si="19"/>
        <v>-96.72</v>
      </c>
      <c r="K50" s="116">
        <f t="shared" si="20"/>
        <v>-86.41</v>
      </c>
      <c r="L50" s="49"/>
      <c r="O50" s="47">
        <f t="shared" si="21"/>
        <v>183.13</v>
      </c>
    </row>
    <row r="51" spans="1:15" ht="15.5" thickTop="1" thickBot="1" x14ac:dyDescent="0.4">
      <c r="A51" s="54" t="s">
        <v>22</v>
      </c>
      <c r="B51" s="54"/>
      <c r="C51" s="111">
        <v>0</v>
      </c>
      <c r="D51" s="32">
        <f t="shared" ref="D51:L51" si="23">SUM(D49:D50)+SUM(D44:D45)-D54</f>
        <v>0</v>
      </c>
      <c r="E51" s="32">
        <f t="shared" si="23"/>
        <v>0</v>
      </c>
      <c r="F51" s="50">
        <f t="shared" si="23"/>
        <v>0</v>
      </c>
      <c r="G51" s="117">
        <f t="shared" si="23"/>
        <v>0</v>
      </c>
      <c r="H51" s="32">
        <f t="shared" si="23"/>
        <v>0</v>
      </c>
      <c r="I51" s="62">
        <f t="shared" si="23"/>
        <v>0</v>
      </c>
      <c r="J51" s="153">
        <f t="shared" si="23"/>
        <v>0</v>
      </c>
      <c r="K51" s="32">
        <f t="shared" si="23"/>
        <v>0</v>
      </c>
      <c r="L51" s="95">
        <f t="shared" si="23"/>
        <v>0</v>
      </c>
      <c r="O51" s="47"/>
    </row>
    <row r="52" spans="1:15" ht="15.5" thickTop="1" thickBot="1" x14ac:dyDescent="0.4">
      <c r="A52" s="54" t="s">
        <v>23</v>
      </c>
      <c r="B52" s="54"/>
      <c r="C52" s="104">
        <v>0</v>
      </c>
      <c r="D52" s="32">
        <f>SUM(D49:D50)-D37</f>
        <v>9.9999999999909051E-3</v>
      </c>
      <c r="E52" s="32">
        <f t="shared" ref="E52:L52" si="24">SUM(E49:E50)-E37</f>
        <v>1.0000000000019327E-2</v>
      </c>
      <c r="F52" s="50">
        <f t="shared" si="24"/>
        <v>-1.999999999998181E-2</v>
      </c>
      <c r="G52" s="51">
        <f t="shared" si="24"/>
        <v>-4.9999999999997158E-2</v>
      </c>
      <c r="H52" s="32">
        <f t="shared" si="24"/>
        <v>-4.0000000000006253E-2</v>
      </c>
      <c r="I52" s="62">
        <f t="shared" si="24"/>
        <v>-4.0000000000006253E-2</v>
      </c>
      <c r="J52" s="153">
        <f t="shared" si="24"/>
        <v>0</v>
      </c>
      <c r="K52" s="32">
        <f t="shared" si="24"/>
        <v>1.0000000000005116E-2</v>
      </c>
      <c r="L52" s="95">
        <f t="shared" si="24"/>
        <v>0</v>
      </c>
      <c r="O52" s="47"/>
    </row>
    <row r="53" spans="1:15" ht="15.5" thickTop="1" thickBot="1" x14ac:dyDescent="0.4">
      <c r="C53" s="98"/>
      <c r="D53" s="17"/>
      <c r="E53" s="17"/>
      <c r="F53" s="17"/>
      <c r="G53" s="10"/>
      <c r="H53" s="17"/>
      <c r="I53" s="11"/>
      <c r="J53" s="17"/>
      <c r="K53" s="17"/>
      <c r="L53" s="11"/>
      <c r="O53" s="47"/>
    </row>
    <row r="54" spans="1:15" ht="15" thickBot="1" x14ac:dyDescent="0.4">
      <c r="A54" s="46" t="s">
        <v>35</v>
      </c>
      <c r="B54" s="113">
        <f>+B44+B45</f>
        <v>-23073.176640000245</v>
      </c>
      <c r="C54" s="40">
        <f>(SUM(C15:C19)-SUM(C32:C35))+SUM(C49:C50)+B54</f>
        <v>-35895.556640000243</v>
      </c>
      <c r="D54" s="41">
        <f t="shared" ref="D54:L54" si="25">(SUM(D15:D19)-SUM(D32:D35))+SUM(D49:D50)+C54</f>
        <v>-32049.526640000244</v>
      </c>
      <c r="E54" s="41">
        <f t="shared" si="25"/>
        <v>-27921.416640000243</v>
      </c>
      <c r="F54" s="105">
        <f t="shared" si="25"/>
        <v>-24159.776640000244</v>
      </c>
      <c r="G54" s="40">
        <f t="shared" si="25"/>
        <v>-22454.186640000244</v>
      </c>
      <c r="H54" s="41">
        <f t="shared" si="25"/>
        <v>-20678.046640000244</v>
      </c>
      <c r="I54" s="61">
        <f t="shared" si="25"/>
        <v>-18680.886640000244</v>
      </c>
      <c r="J54" s="116">
        <f t="shared" si="25"/>
        <v>-16891.856640000246</v>
      </c>
      <c r="K54" s="41">
        <f t="shared" si="25"/>
        <v>-14890.626640000246</v>
      </c>
      <c r="L54" s="61">
        <f t="shared" si="25"/>
        <v>-12539.116640000246</v>
      </c>
    </row>
    <row r="55" spans="1:15" x14ac:dyDescent="0.35">
      <c r="A55" s="46" t="s">
        <v>12</v>
      </c>
      <c r="C55" s="114"/>
      <c r="D55" s="56"/>
      <c r="E55" s="56"/>
      <c r="F55" s="56"/>
      <c r="G55" s="12"/>
      <c r="H55" s="56"/>
      <c r="I55" s="11"/>
      <c r="J55" s="17"/>
      <c r="K55" s="17"/>
      <c r="L55" s="11"/>
    </row>
    <row r="56" spans="1:15" ht="15" thickBot="1" x14ac:dyDescent="0.4">
      <c r="B56" s="17"/>
      <c r="C56" s="43"/>
      <c r="D56" s="44"/>
      <c r="E56" s="44"/>
      <c r="F56" s="44"/>
      <c r="G56" s="43"/>
      <c r="H56" s="44"/>
      <c r="I56" s="45"/>
      <c r="J56" s="44"/>
      <c r="K56" s="44"/>
      <c r="L56" s="45"/>
    </row>
    <row r="57" spans="1:15" x14ac:dyDescent="0.35">
      <c r="A57" s="39"/>
    </row>
    <row r="58" spans="1:15" x14ac:dyDescent="0.35">
      <c r="A58" s="69" t="s">
        <v>11</v>
      </c>
      <c r="B58" s="69"/>
      <c r="C58" s="69"/>
    </row>
    <row r="59" spans="1:15" ht="42.75" customHeight="1" x14ac:dyDescent="0.35">
      <c r="A59" s="368" t="s">
        <v>220</v>
      </c>
      <c r="B59" s="368"/>
      <c r="C59" s="368"/>
      <c r="D59" s="368"/>
      <c r="E59" s="368"/>
      <c r="F59" s="368"/>
      <c r="G59" s="368"/>
      <c r="H59" s="368"/>
      <c r="I59" s="368"/>
      <c r="J59" s="136"/>
      <c r="K59" s="136"/>
      <c r="L59" s="136"/>
    </row>
    <row r="60" spans="1:15" ht="56.25" customHeight="1" x14ac:dyDescent="0.35">
      <c r="A60" s="368" t="s">
        <v>284</v>
      </c>
      <c r="B60" s="369"/>
      <c r="C60" s="369"/>
      <c r="D60" s="369"/>
      <c r="E60" s="369"/>
      <c r="F60" s="369"/>
      <c r="G60" s="369"/>
      <c r="H60" s="369"/>
      <c r="I60" s="369"/>
      <c r="J60" s="136"/>
      <c r="K60" s="136"/>
      <c r="L60" s="136"/>
    </row>
    <row r="61" spans="1:15" ht="55.5" customHeight="1" x14ac:dyDescent="0.35">
      <c r="A61" s="368" t="s">
        <v>285</v>
      </c>
      <c r="B61" s="369"/>
      <c r="C61" s="369"/>
      <c r="D61" s="369"/>
      <c r="E61" s="369"/>
      <c r="F61" s="369"/>
      <c r="G61" s="369"/>
      <c r="H61" s="369"/>
      <c r="I61" s="369"/>
      <c r="J61" s="136"/>
      <c r="K61" s="136"/>
      <c r="L61" s="136"/>
    </row>
    <row r="62" spans="1:15" x14ac:dyDescent="0.35">
      <c r="A62" s="368" t="s">
        <v>304</v>
      </c>
      <c r="B62" s="369"/>
      <c r="C62" s="369"/>
      <c r="D62" s="369"/>
      <c r="E62" s="369"/>
      <c r="F62" s="369"/>
      <c r="G62" s="369"/>
      <c r="H62" s="369"/>
      <c r="I62" s="369"/>
    </row>
    <row r="63" spans="1:15" x14ac:dyDescent="0.35">
      <c r="A63" s="63" t="s">
        <v>286</v>
      </c>
      <c r="B63" s="3"/>
      <c r="C63" s="3"/>
      <c r="I63" s="4"/>
    </row>
    <row r="64" spans="1:15" x14ac:dyDescent="0.35">
      <c r="A64" s="63" t="s">
        <v>50</v>
      </c>
      <c r="B64" s="3"/>
      <c r="C64" s="3"/>
      <c r="I64" s="4"/>
    </row>
    <row r="65" spans="1:13" x14ac:dyDescent="0.35">
      <c r="A65" s="63" t="s">
        <v>178</v>
      </c>
    </row>
    <row r="74" spans="1:13" x14ac:dyDescent="0.35">
      <c r="M74" s="8"/>
    </row>
  </sheetData>
  <mergeCells count="7">
    <mergeCell ref="A62:I62"/>
    <mergeCell ref="J13:L13"/>
    <mergeCell ref="A61:I61"/>
    <mergeCell ref="D13:F13"/>
    <mergeCell ref="A59:I59"/>
    <mergeCell ref="A60:I60"/>
    <mergeCell ref="G13:I13"/>
  </mergeCells>
  <pageMargins left="0.2" right="0.2" top="0.75" bottom="0.25" header="0.3" footer="0.3"/>
  <pageSetup scale="54" orientation="landscape" r:id="rId1"/>
  <headerFooter>
    <oddHeader>&amp;C&amp;F &amp;A&amp;R&amp;"Arial"&amp;10&amp;K000000CONFIDENTIAL</oddHeader>
    <oddFooter xml:space="preserve">&amp;R_x000D_&amp;1#&amp;"Calibri"&amp;10&amp;KA80000 Restricted – Sensitive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C4E1-90E8-4BE1-9A03-35F6C8CFD73D}">
  <sheetPr>
    <pageSetUpPr fitToPage="1"/>
  </sheetPr>
  <dimension ref="A1:AJ74"/>
  <sheetViews>
    <sheetView zoomScale="85" zoomScaleNormal="85" workbookViewId="0">
      <pane xSplit="2" ySplit="11" topLeftCell="C12" activePane="bottomRight" state="frozen"/>
      <selection activeCell="E10" sqref="E10"/>
      <selection pane="topRight" activeCell="E10" sqref="E10"/>
      <selection pane="bottomLeft" activeCell="E10" sqref="E10"/>
      <selection pane="bottomRight" activeCell="E10" sqref="E10"/>
    </sheetView>
  </sheetViews>
  <sheetFormatPr defaultColWidth="9.1796875" defaultRowHeight="14.5" outlineLevelCol="1" x14ac:dyDescent="0.35"/>
  <cols>
    <col min="1" max="1" width="54.54296875" style="46" customWidth="1"/>
    <col min="2" max="2" width="14.7265625" style="46" customWidth="1"/>
    <col min="3" max="3" width="15" style="46" customWidth="1"/>
    <col min="4" max="4" width="15" style="46" hidden="1" customWidth="1" outlineLevel="1"/>
    <col min="5" max="5" width="15.26953125" style="46" customWidth="1" collapsed="1"/>
    <col min="6" max="6" width="15.81640625" style="46" customWidth="1"/>
    <col min="7" max="7" width="17.54296875" style="46" customWidth="1"/>
    <col min="8" max="9" width="13.26953125" style="46" customWidth="1"/>
    <col min="10" max="10" width="15.7265625" style="46" customWidth="1"/>
    <col min="11" max="12" width="12.54296875" style="46" bestFit="1" customWidth="1"/>
    <col min="13" max="13" width="14.453125" style="46" customWidth="1"/>
    <col min="14" max="14" width="15" style="46" bestFit="1" customWidth="1"/>
    <col min="15" max="15" width="16.26953125" style="46" bestFit="1" customWidth="1"/>
    <col min="16" max="16" width="16.26953125" style="46" customWidth="1" outlineLevel="1"/>
    <col min="17" max="17" width="16.1796875" style="46" customWidth="1"/>
    <col min="18" max="18" width="17.26953125" style="46" bestFit="1" customWidth="1"/>
    <col min="19" max="19" width="17.453125" style="46" customWidth="1"/>
    <col min="20" max="20" width="15.54296875" style="46" customWidth="1"/>
    <col min="21" max="21" width="13" style="46" customWidth="1"/>
    <col min="22" max="22" width="9.1796875" style="46"/>
    <col min="23" max="23" width="14.26953125" style="46" bestFit="1" customWidth="1"/>
    <col min="24" max="24" width="11.26953125" style="46" bestFit="1" customWidth="1"/>
    <col min="25" max="16384" width="9.1796875" style="46"/>
  </cols>
  <sheetData>
    <row r="1" spans="1:36" x14ac:dyDescent="0.35">
      <c r="A1" s="3" t="str">
        <f>+'PPC Cycle 3'!A1</f>
        <v>Evergy Missouri West, Inc. - DSIM Rider Update Filed 06/01/2024</v>
      </c>
      <c r="B1" s="3"/>
      <c r="C1" s="3"/>
      <c r="D1" s="3"/>
    </row>
    <row r="2" spans="1:36" x14ac:dyDescent="0.35">
      <c r="E2" s="3" t="s">
        <v>135</v>
      </c>
    </row>
    <row r="3" spans="1:36" ht="29" x14ac:dyDescent="0.35">
      <c r="E3" s="48" t="s">
        <v>45</v>
      </c>
      <c r="F3" s="48" t="s">
        <v>44</v>
      </c>
      <c r="G3" s="70" t="s">
        <v>2</v>
      </c>
      <c r="H3" s="48" t="s">
        <v>3</v>
      </c>
      <c r="I3" s="70" t="s">
        <v>54</v>
      </c>
      <c r="J3" s="48" t="s">
        <v>10</v>
      </c>
      <c r="K3" s="48" t="s">
        <v>4</v>
      </c>
    </row>
    <row r="4" spans="1:36" x14ac:dyDescent="0.35">
      <c r="A4" s="20" t="s">
        <v>24</v>
      </c>
      <c r="E4" s="22">
        <f>SUM(C26:M26)</f>
        <v>4000623.26</v>
      </c>
      <c r="F4" s="128">
        <f>SUM(C20:M20)</f>
        <v>1597928952.3823376</v>
      </c>
      <c r="G4" s="22">
        <f>SUM(C14:L14)</f>
        <v>3352081.67</v>
      </c>
      <c r="H4" s="22">
        <f>G4-E4</f>
        <v>-648541.58999999985</v>
      </c>
      <c r="I4" s="22">
        <f>+B40</f>
        <v>347853.72999999957</v>
      </c>
      <c r="J4" s="22">
        <f>SUM(C47:L47)</f>
        <v>30565.440000000002</v>
      </c>
      <c r="K4" s="25">
        <f>SUM(H4:J4)</f>
        <v>-270122.42000000027</v>
      </c>
      <c r="L4" s="315">
        <f>+K4-M40</f>
        <v>0</v>
      </c>
    </row>
    <row r="5" spans="1:36" x14ac:dyDescent="0.35">
      <c r="A5" s="20" t="s">
        <v>105</v>
      </c>
      <c r="E5" s="22">
        <f>SUM(C27:M27)</f>
        <v>1137219.98</v>
      </c>
      <c r="F5" s="128">
        <f>SUM(C21:M21)</f>
        <v>667035616.09743333</v>
      </c>
      <c r="G5" s="22">
        <f>SUM(C15:L15)</f>
        <v>1602824.06</v>
      </c>
      <c r="H5" s="22">
        <f>G5-E5</f>
        <v>465604.08000000007</v>
      </c>
      <c r="I5" s="22">
        <f>+B41</f>
        <v>-351040.70999999996</v>
      </c>
      <c r="J5" s="22">
        <f>SUM(C48:L48)</f>
        <v>22080.61</v>
      </c>
      <c r="K5" s="25">
        <f>SUM(H5:J5)</f>
        <v>136643.9800000001</v>
      </c>
      <c r="L5" s="315">
        <f t="shared" ref="L5:L6" si="0">+K5-M41</f>
        <v>0</v>
      </c>
    </row>
    <row r="6" spans="1:36" x14ac:dyDescent="0.35">
      <c r="A6" s="20" t="s">
        <v>106</v>
      </c>
      <c r="E6" s="22">
        <f>SUM(C28:M28)</f>
        <v>1938638.2699999998</v>
      </c>
      <c r="F6" s="128">
        <f>SUM(C22:M22)</f>
        <v>555714392.05909991</v>
      </c>
      <c r="G6" s="22">
        <f>SUM(C16:L16)</f>
        <v>778515.23999999987</v>
      </c>
      <c r="H6" s="22">
        <f>G6-E6</f>
        <v>-1160123.0299999998</v>
      </c>
      <c r="I6" s="22">
        <f>+B42</f>
        <v>565997.25999999978</v>
      </c>
      <c r="J6" s="22">
        <f>SUM(C49:L49)</f>
        <v>4251.05</v>
      </c>
      <c r="K6" s="25">
        <f>SUM(H6:J6)</f>
        <v>-589874.72</v>
      </c>
      <c r="L6" s="315">
        <f t="shared" si="0"/>
        <v>0</v>
      </c>
    </row>
    <row r="7" spans="1:36" ht="15" thickBot="1" x14ac:dyDescent="0.4">
      <c r="A7" s="20" t="s">
        <v>107</v>
      </c>
      <c r="E7" s="22">
        <f>SUM(C29:M29)</f>
        <v>638378.86</v>
      </c>
      <c r="F7" s="128">
        <f>SUM(C23:M23)</f>
        <v>365363912.61059999</v>
      </c>
      <c r="G7" s="22">
        <f>SUM(C17:L17)</f>
        <v>94868.48000000001</v>
      </c>
      <c r="H7" s="22">
        <f>G7-E7</f>
        <v>-543510.38</v>
      </c>
      <c r="I7" s="22">
        <f>+B43</f>
        <v>-562612.36999999941</v>
      </c>
      <c r="J7" s="22">
        <f>SUM(C50:L50)</f>
        <v>-38082.04</v>
      </c>
      <c r="K7" s="25">
        <f>SUM(H7:J7)</f>
        <v>-1144204.7899999996</v>
      </c>
      <c r="L7" s="315">
        <f>+K7-M43</f>
        <v>0</v>
      </c>
    </row>
    <row r="8" spans="1:36" ht="15.5" thickTop="1" thickBot="1" x14ac:dyDescent="0.4">
      <c r="E8" s="27">
        <f t="shared" ref="E8:K8" si="1">SUM(E4:E7)</f>
        <v>7714860.3700000001</v>
      </c>
      <c r="F8" s="27">
        <f t="shared" si="1"/>
        <v>3186042873.1494708</v>
      </c>
      <c r="G8" s="27">
        <f t="shared" si="1"/>
        <v>5828289.4500000011</v>
      </c>
      <c r="H8" s="27">
        <f t="shared" si="1"/>
        <v>-1886570.9199999995</v>
      </c>
      <c r="I8" s="27">
        <f t="shared" si="1"/>
        <v>197.90999999991618</v>
      </c>
      <c r="J8" s="27">
        <f t="shared" si="1"/>
        <v>18815.060000000005</v>
      </c>
      <c r="K8" s="27">
        <f t="shared" si="1"/>
        <v>-1867557.9499999997</v>
      </c>
    </row>
    <row r="9" spans="1:36" ht="15.5" thickTop="1" thickBot="1" x14ac:dyDescent="0.4"/>
    <row r="10" spans="1:36" ht="87.5" thickBot="1" x14ac:dyDescent="0.4">
      <c r="B10" s="112" t="str">
        <f>+'PCR Cycle 2'!B13</f>
        <v>Cumulative Over/Under Carryover From 12/01/2023 Filing</v>
      </c>
      <c r="C10" s="143" t="str">
        <f>+'PCR Cycle 2'!C13</f>
        <v>Reverse November 2023 - January 2024 Forecast From 12/01/2023 Filing</v>
      </c>
      <c r="D10" s="259"/>
      <c r="E10" s="373" t="s">
        <v>32</v>
      </c>
      <c r="F10" s="373"/>
      <c r="G10" s="374"/>
      <c r="H10" s="375" t="s">
        <v>32</v>
      </c>
      <c r="I10" s="376"/>
      <c r="J10" s="377"/>
      <c r="K10" s="370" t="s">
        <v>8</v>
      </c>
      <c r="L10" s="371"/>
      <c r="M10" s="372"/>
      <c r="P10" s="280" t="s">
        <v>223</v>
      </c>
    </row>
    <row r="11" spans="1:36" x14ac:dyDescent="0.35">
      <c r="C11" s="14"/>
      <c r="D11" s="19"/>
      <c r="E11" s="19">
        <f>+'PCR Cycle 2'!D14</f>
        <v>45260</v>
      </c>
      <c r="F11" s="19">
        <f>+'PCR Cycle 2'!E14</f>
        <v>45291</v>
      </c>
      <c r="G11" s="19">
        <f>+'PCR Cycle 2'!F14</f>
        <v>45322</v>
      </c>
      <c r="H11" s="14">
        <f>+'PCR Cycle 2'!G14</f>
        <v>45351</v>
      </c>
      <c r="I11" s="19">
        <f>+'PCR Cycle 2'!H14</f>
        <v>45382</v>
      </c>
      <c r="J11" s="15">
        <f>+'PCR Cycle 2'!I14</f>
        <v>45412</v>
      </c>
      <c r="K11" s="19">
        <f>+'PCR Cycle 2'!J14</f>
        <v>45443</v>
      </c>
      <c r="L11" s="19">
        <f>+'PCR Cycle 2'!K14</f>
        <v>45473</v>
      </c>
      <c r="M11" s="94">
        <f>+'PCR Cycle 2'!L14</f>
        <v>45504</v>
      </c>
      <c r="AA11" s="1"/>
      <c r="AB11" s="1"/>
      <c r="AC11" s="1"/>
      <c r="AD11" s="1"/>
      <c r="AE11" s="1"/>
      <c r="AF11" s="1"/>
      <c r="AG11" s="1"/>
      <c r="AH11" s="1"/>
      <c r="AI11" s="1"/>
      <c r="AJ11" s="1"/>
    </row>
    <row r="12" spans="1:36" x14ac:dyDescent="0.35">
      <c r="C12" s="97"/>
      <c r="D12" s="250"/>
      <c r="E12" s="31"/>
      <c r="F12" s="31"/>
      <c r="G12" s="31"/>
      <c r="H12" s="28"/>
      <c r="I12" s="31"/>
      <c r="J12" s="11"/>
      <c r="K12" s="31"/>
      <c r="L12" s="31"/>
      <c r="M12" s="29"/>
      <c r="P12" s="47"/>
    </row>
    <row r="13" spans="1:36" x14ac:dyDescent="0.35">
      <c r="A13" s="46" t="s">
        <v>136</v>
      </c>
      <c r="C13" s="98"/>
      <c r="D13" s="141"/>
      <c r="E13" s="31"/>
      <c r="F13" s="31"/>
      <c r="G13" s="31"/>
      <c r="H13" s="97"/>
      <c r="I13" s="250"/>
      <c r="J13" s="336"/>
      <c r="K13" s="141"/>
      <c r="L13" s="141"/>
      <c r="M13" s="11"/>
      <c r="P13" s="47"/>
    </row>
    <row r="14" spans="1:36" x14ac:dyDescent="0.35">
      <c r="A14" s="46" t="s">
        <v>24</v>
      </c>
      <c r="C14" s="302">
        <v>-1497628.84</v>
      </c>
      <c r="D14" s="251"/>
      <c r="E14" s="106">
        <f>ROUND('[5]Pivot - SI Project'!$N$42,2)</f>
        <v>728944.01</v>
      </c>
      <c r="F14" s="106">
        <f>ROUND('[6]Pivot - SI Project'!$N$27,2)</f>
        <v>1204618.45</v>
      </c>
      <c r="G14" s="107">
        <f>ROUND('[7]Pivot - SI Project'!$N$27,2)</f>
        <v>600010</v>
      </c>
      <c r="H14" s="16">
        <f>ROUND('[8]Pivot - SI Project'!$N$27,2)</f>
        <v>179790.52</v>
      </c>
      <c r="I14" s="55">
        <f>ROUND('[9]Pivot - SI Project'!$N$27,2)</f>
        <v>394211.5</v>
      </c>
      <c r="J14" s="154">
        <f>ROUND('[10]Pivot - SI Project'!$N$34,2)</f>
        <v>466413.01</v>
      </c>
      <c r="K14" s="162">
        <f>ROUND(SUM('[2]Monthly Program Costs Ext'!BH301),2)</f>
        <v>611108.23</v>
      </c>
      <c r="L14" s="162">
        <f>ROUND(SUM('[2]Monthly Program Costs Ext'!BI301),2)</f>
        <v>664614.79</v>
      </c>
      <c r="M14" s="75"/>
      <c r="P14" s="47">
        <f>-SUM(K14:M14)</f>
        <v>-1275723.02</v>
      </c>
    </row>
    <row r="15" spans="1:36" x14ac:dyDescent="0.35">
      <c r="A15" s="46" t="s">
        <v>105</v>
      </c>
      <c r="C15" s="302">
        <v>-884094.88000000012</v>
      </c>
      <c r="D15" s="251"/>
      <c r="E15" s="106">
        <f>ROUND('[5]Pivot - SI Project'!$O$42,2)</f>
        <v>427270.32</v>
      </c>
      <c r="F15" s="106">
        <f>ROUND('[6]Pivot - SI Project'!$O$27,2)</f>
        <v>1144429.3899999999</v>
      </c>
      <c r="G15" s="107">
        <f>ROUND('[7]Pivot - SI Project'!$O$27,2)</f>
        <v>252352</v>
      </c>
      <c r="H15" s="16">
        <f>ROUND('[8]Pivot - SI Project'!$O$27,2)</f>
        <v>29277.48</v>
      </c>
      <c r="I15" s="55">
        <f>ROUND('[9]Pivot - SI Project'!$O$27,2)</f>
        <v>1120115.6100000001</v>
      </c>
      <c r="J15" s="154">
        <f>ROUND('[10]Pivot - SI Project'!$O$34,2)</f>
        <v>-784450.86</v>
      </c>
      <c r="K15" s="162">
        <f>ROUND(SUM('[2]Monthly Program Costs Ext'!BH302),2)</f>
        <v>174896.28</v>
      </c>
      <c r="L15" s="162">
        <f>ROUND(SUM('[2]Monthly Program Costs Ext'!BI302),2)</f>
        <v>123028.72</v>
      </c>
      <c r="M15" s="75"/>
      <c r="P15" s="47">
        <f t="shared" ref="P15:P17" si="2">-SUM(K15:M15)</f>
        <v>-297925</v>
      </c>
    </row>
    <row r="16" spans="1:36" x14ac:dyDescent="0.35">
      <c r="A16" s="46" t="s">
        <v>106</v>
      </c>
      <c r="C16" s="302">
        <v>-848540.03</v>
      </c>
      <c r="D16" s="251"/>
      <c r="E16" s="106">
        <f>ROUND('[5]Pivot - SI Project'!$Q$42,2)</f>
        <v>-371200.7</v>
      </c>
      <c r="F16" s="106">
        <f>ROUND('[6]Pivot - SI Project'!$Q$27,2)</f>
        <v>824949.12</v>
      </c>
      <c r="G16" s="107">
        <f>ROUND('[7]Pivot - SI Project'!$Q$27,2)</f>
        <v>277650.17</v>
      </c>
      <c r="H16" s="16">
        <f>ROUND('[8]Pivot - SI Project'!$Q$27,2)</f>
        <v>28100.04</v>
      </c>
      <c r="I16" s="55">
        <f>ROUND('[9]Pivot - SI Project'!$Q$27,2)</f>
        <v>1065928.92</v>
      </c>
      <c r="J16" s="154">
        <f>ROUND('[10]Pivot - SI Project'!$Q$34,2)</f>
        <v>-553770.99</v>
      </c>
      <c r="K16" s="162">
        <f>ROUND(SUM('[2]Monthly Program Costs Ext'!BH304),2)</f>
        <v>215300.82</v>
      </c>
      <c r="L16" s="162">
        <f>ROUND(SUM('[2]Monthly Program Costs Ext'!BI304),2)</f>
        <v>140097.89000000001</v>
      </c>
      <c r="M16" s="75"/>
      <c r="P16" s="47">
        <f t="shared" si="2"/>
        <v>-355398.71</v>
      </c>
    </row>
    <row r="17" spans="1:24" x14ac:dyDescent="0.35">
      <c r="A17" s="46" t="s">
        <v>107</v>
      </c>
      <c r="C17" s="302">
        <v>-624410.67999999993</v>
      </c>
      <c r="D17" s="251"/>
      <c r="E17" s="106">
        <f>ROUND('[5]Pivot - SI Project'!$R$42,2)</f>
        <v>94152.25</v>
      </c>
      <c r="F17" s="106">
        <f>ROUND('[6]Pivot - SI Project'!$R$27,2)</f>
        <v>27160.86</v>
      </c>
      <c r="G17" s="107">
        <f>ROUND('[7]Pivot - SI Project'!$R$27,2)</f>
        <v>26998.71</v>
      </c>
      <c r="H17" s="16">
        <f>ROUND('[8]Pivot - SI Project'!$R$27,2)</f>
        <v>20677.8</v>
      </c>
      <c r="I17" s="55">
        <f>ROUND('[9]Pivot - SI Project'!$R$27,2)</f>
        <v>5728.54</v>
      </c>
      <c r="J17" s="154">
        <f>ROUND('[10]Pivot - SI Project'!$R$34,2)</f>
        <v>153930.74</v>
      </c>
      <c r="K17" s="162">
        <f>ROUND(SUM('[2]Monthly Program Costs Ext'!BH305),2)</f>
        <v>246611.58</v>
      </c>
      <c r="L17" s="162">
        <f>ROUND(SUM('[2]Monthly Program Costs Ext'!BI305),2)</f>
        <v>144018.68</v>
      </c>
      <c r="M17" s="75"/>
      <c r="P17" s="47">
        <f t="shared" si="2"/>
        <v>-390630.26</v>
      </c>
    </row>
    <row r="18" spans="1:24" x14ac:dyDescent="0.35">
      <c r="C18" s="304"/>
      <c r="D18" s="141"/>
      <c r="E18" s="31"/>
      <c r="F18" s="31"/>
      <c r="G18" s="31"/>
      <c r="H18" s="28"/>
      <c r="I18" s="31"/>
      <c r="J18" s="11"/>
      <c r="K18" s="17"/>
      <c r="L18" s="17"/>
      <c r="M18" s="11"/>
      <c r="P18" s="47"/>
    </row>
    <row r="19" spans="1:24" x14ac:dyDescent="0.35">
      <c r="A19" s="39" t="s">
        <v>46</v>
      </c>
      <c r="B19" s="39"/>
      <c r="C19" s="306"/>
      <c r="D19" s="252"/>
      <c r="E19" s="31"/>
      <c r="F19" s="31"/>
      <c r="G19" s="31"/>
      <c r="H19" s="97"/>
      <c r="I19" s="250"/>
      <c r="J19" s="333"/>
      <c r="K19" s="17"/>
      <c r="L19" s="17"/>
      <c r="M19" s="11"/>
      <c r="P19" s="47"/>
    </row>
    <row r="20" spans="1:24" x14ac:dyDescent="0.35">
      <c r="A20" s="46" t="s">
        <v>24</v>
      </c>
      <c r="C20" s="307">
        <v>-953657637</v>
      </c>
      <c r="D20" s="253"/>
      <c r="E20" s="108">
        <f>'[4]November 2023'!$G127</f>
        <v>214439019.55129999</v>
      </c>
      <c r="F20" s="108">
        <f>'[4]December 2023'!$G127</f>
        <v>285910598.36810005</v>
      </c>
      <c r="G20" s="108">
        <f>'[4]January 2024'!$G127</f>
        <v>377487149.65493757</v>
      </c>
      <c r="H20" s="171">
        <f>'[4]February 2024'!$G127</f>
        <v>349456271.71650004</v>
      </c>
      <c r="I20" s="173">
        <f>'[4]March 2024'!$G127</f>
        <v>240704516.46097499</v>
      </c>
      <c r="J20" s="167">
        <f>'[4]April 2024'!$G127</f>
        <v>219282230.63052499</v>
      </c>
      <c r="K20" s="163">
        <f>'[1]GMO Billed kWh Sales'!R26</f>
        <v>216308145</v>
      </c>
      <c r="L20" s="131">
        <f>'[1]GMO Billed kWh Sales'!S26</f>
        <v>270030758</v>
      </c>
      <c r="M20" s="76">
        <f>'[1]GMO Billed kWh Sales'!T26</f>
        <v>377967900</v>
      </c>
      <c r="P20" s="47">
        <f>-SUM(K20:M20)</f>
        <v>-864306803</v>
      </c>
      <c r="X20" s="356"/>
    </row>
    <row r="21" spans="1:24" x14ac:dyDescent="0.35">
      <c r="A21" s="46" t="s">
        <v>105</v>
      </c>
      <c r="C21" s="307">
        <v>-308108615</v>
      </c>
      <c r="D21" s="253"/>
      <c r="E21" s="108">
        <f>'[4]November 2023'!$G128</f>
        <v>98464291.684200004</v>
      </c>
      <c r="F21" s="108">
        <f>'[4]December 2023'!$G128</f>
        <v>102673084.82850002</v>
      </c>
      <c r="G21" s="108">
        <f>'[4]January 2024'!$G128</f>
        <v>125278586.1734333</v>
      </c>
      <c r="H21" s="171">
        <f>'[4]February 2024'!$G128</f>
        <v>117839943.96579999</v>
      </c>
      <c r="I21" s="173">
        <f>'[4]March 2024'!$G128</f>
        <v>97003188.583699942</v>
      </c>
      <c r="J21" s="167">
        <f>'[4]April 2024'!$G128</f>
        <v>94116670.861800015</v>
      </c>
      <c r="K21" s="163">
        <f>'[1]GMO Billed kWh Sales'!R27</f>
        <v>101301226</v>
      </c>
      <c r="L21" s="131">
        <f>'[1]GMO Billed kWh Sales'!S27</f>
        <v>112145960</v>
      </c>
      <c r="M21" s="76">
        <f>'[1]GMO Billed kWh Sales'!T27</f>
        <v>126321279</v>
      </c>
      <c r="P21" s="47">
        <f t="shared" ref="P21:P23" si="3">-SUM(K21:M21)</f>
        <v>-339768465</v>
      </c>
    </row>
    <row r="22" spans="1:24" x14ac:dyDescent="0.35">
      <c r="A22" s="46" t="s">
        <v>106</v>
      </c>
      <c r="C22" s="307">
        <v>-275128485</v>
      </c>
      <c r="D22" s="253"/>
      <c r="E22" s="108">
        <f>'[4]November 2023'!$G129</f>
        <v>84946609.685899988</v>
      </c>
      <c r="F22" s="108">
        <f>'[4]December 2023'!$G129</f>
        <v>94564650.44600004</v>
      </c>
      <c r="G22" s="108">
        <f>'[4]January 2024'!$G129</f>
        <v>92446325.537999988</v>
      </c>
      <c r="H22" s="171">
        <f>'[4]February 2024'!$G129</f>
        <v>90471754.013600007</v>
      </c>
      <c r="I22" s="173">
        <f>'[4]March 2024'!$G129</f>
        <v>85294868.297800004</v>
      </c>
      <c r="J22" s="167">
        <f>'[4]April 2024'!$G129</f>
        <v>90396519.077799991</v>
      </c>
      <c r="K22" s="163">
        <f>'[1]GMO Billed kWh Sales'!R28</f>
        <v>87274470</v>
      </c>
      <c r="L22" s="131">
        <f>'[1]GMO Billed kWh Sales'!S28</f>
        <v>96617579</v>
      </c>
      <c r="M22" s="76">
        <f>'[1]GMO Billed kWh Sales'!T28</f>
        <v>108830101</v>
      </c>
      <c r="P22" s="47">
        <f t="shared" si="3"/>
        <v>-292722150</v>
      </c>
    </row>
    <row r="23" spans="1:24" x14ac:dyDescent="0.35">
      <c r="A23" s="46" t="s">
        <v>107</v>
      </c>
      <c r="C23" s="307">
        <v>-184069326</v>
      </c>
      <c r="D23" s="253"/>
      <c r="E23" s="108">
        <f>'[4]November 2023'!$G130</f>
        <v>58910356.43379999</v>
      </c>
      <c r="F23" s="108">
        <f>'[4]December 2023'!$G130</f>
        <v>57819272.887599997</v>
      </c>
      <c r="G23" s="108">
        <f>'[4]January 2024'!$G130</f>
        <v>63865180.119799994</v>
      </c>
      <c r="H23" s="171">
        <f>'[4]February 2024'!$G130</f>
        <v>58159262.787600003</v>
      </c>
      <c r="I23" s="173">
        <f>'[4]March 2024'!$G130</f>
        <v>55234249.189200006</v>
      </c>
      <c r="J23" s="167">
        <f>'[4]April 2024'!$G130</f>
        <v>58068770.192600004</v>
      </c>
      <c r="K23" s="163">
        <f>'[1]GMO Billed kWh Sales'!R29</f>
        <v>58847268</v>
      </c>
      <c r="L23" s="131">
        <f>'[1]GMO Billed kWh Sales'!S29</f>
        <v>65147121</v>
      </c>
      <c r="M23" s="76">
        <f>'[1]GMO Billed kWh Sales'!T29</f>
        <v>73381758</v>
      </c>
      <c r="P23" s="47">
        <f t="shared" si="3"/>
        <v>-197376147</v>
      </c>
    </row>
    <row r="24" spans="1:24" x14ac:dyDescent="0.35">
      <c r="C24" s="304"/>
      <c r="D24" s="141"/>
      <c r="E24" s="31"/>
      <c r="F24" s="31"/>
      <c r="G24" s="31"/>
      <c r="H24" s="28"/>
      <c r="I24" s="31"/>
      <c r="J24" s="11"/>
      <c r="K24" s="17"/>
      <c r="L24" s="17"/>
      <c r="M24" s="11"/>
      <c r="P24" s="47"/>
    </row>
    <row r="25" spans="1:24" x14ac:dyDescent="0.35">
      <c r="A25" s="46" t="s">
        <v>33</v>
      </c>
      <c r="C25" s="304"/>
      <c r="D25" s="141"/>
      <c r="E25" s="18"/>
      <c r="F25" s="18"/>
      <c r="G25" s="18"/>
      <c r="H25" s="90"/>
      <c r="I25" s="18"/>
      <c r="J25" s="11"/>
      <c r="K25" s="57"/>
      <c r="L25" s="57"/>
      <c r="M25" s="58"/>
      <c r="N25" s="63" t="s">
        <v>49</v>
      </c>
      <c r="O25" s="39"/>
      <c r="P25" s="47"/>
    </row>
    <row r="26" spans="1:24" x14ac:dyDescent="0.35">
      <c r="A26" s="46" t="s">
        <v>24</v>
      </c>
      <c r="C26" s="302">
        <v>-1258828.08</v>
      </c>
      <c r="D26" s="251"/>
      <c r="E26" s="106">
        <f>ROUND('[4]November 2023'!$G76+'[4]November 2023'!$G83,2)</f>
        <v>283108.77</v>
      </c>
      <c r="F26" s="106">
        <f>ROUND('[4]December 2023'!$G76+'[4]December 2023'!$G83,2)</f>
        <v>377402.46</v>
      </c>
      <c r="G26" s="106">
        <f>ROUND('[4]January 2024'!$G76+'[4]January 2024'!$G83,2)</f>
        <v>498381.88</v>
      </c>
      <c r="H26" s="171">
        <f>ROUND('[4]February 2024'!$G76+'[4]February 2024'!$G83,2)</f>
        <v>856120.39</v>
      </c>
      <c r="I26" s="173">
        <f>ROUND('[4]March 2024'!$G76+'[4]March 2024'!$G83,2)</f>
        <v>589663.99</v>
      </c>
      <c r="J26" s="167">
        <f>ROUND('[4]April 2024'!$G76+'[4]April 2024'!$G83,2)</f>
        <v>537222.17000000004</v>
      </c>
      <c r="K26" s="116">
        <f>ROUND(K20*$N26,2)</f>
        <v>529954.96</v>
      </c>
      <c r="L26" s="41">
        <f t="shared" ref="K26:M29" si="4">ROUND(L20*$N26,2)</f>
        <v>661575.36</v>
      </c>
      <c r="M26" s="61">
        <f t="shared" si="4"/>
        <v>926021.36</v>
      </c>
      <c r="N26" s="72">
        <v>2.4499999999999999E-3</v>
      </c>
      <c r="P26" s="47">
        <f>-SUM(K26:M26)</f>
        <v>-2117551.6799999997</v>
      </c>
    </row>
    <row r="27" spans="1:24" x14ac:dyDescent="0.35">
      <c r="A27" s="46" t="s">
        <v>105</v>
      </c>
      <c r="C27" s="302">
        <v>-388216.86</v>
      </c>
      <c r="D27" s="251"/>
      <c r="E27" s="106">
        <f>ROUND('[4]November 2023'!$G77+'[4]November 2023'!$G84,2)</f>
        <v>124098.46</v>
      </c>
      <c r="F27" s="106">
        <f>ROUND('[4]December 2023'!$G77+'[4]December 2023'!$G84,2)</f>
        <v>126635.15</v>
      </c>
      <c r="G27" s="106">
        <f>ROUND('[4]January 2024'!$G77+'[4]January 2024'!$G84,2)</f>
        <v>158601.54</v>
      </c>
      <c r="H27" s="171">
        <f>ROUND('[4]February 2024'!$G77+'[4]February 2024'!$G84,2)</f>
        <v>202862.43</v>
      </c>
      <c r="I27" s="173">
        <f>ROUND('[4]March 2024'!$G77+'[4]March 2024'!$G84,2)</f>
        <v>166954.51999999999</v>
      </c>
      <c r="J27" s="167">
        <f>ROUND('[4]April 2024'!$G77+'[4]April 2024'!$G84,2)</f>
        <v>161882.98000000001</v>
      </c>
      <c r="K27" s="116">
        <f t="shared" si="4"/>
        <v>174238.11</v>
      </c>
      <c r="L27" s="41">
        <f t="shared" si="4"/>
        <v>192891.05</v>
      </c>
      <c r="M27" s="61">
        <f t="shared" si="4"/>
        <v>217272.6</v>
      </c>
      <c r="N27" s="72">
        <v>1.72E-3</v>
      </c>
      <c r="P27" s="47">
        <f t="shared" ref="P27:P31" si="5">-SUM(K27:M27)</f>
        <v>-584401.76</v>
      </c>
    </row>
    <row r="28" spans="1:24" x14ac:dyDescent="0.35">
      <c r="A28" s="46" t="s">
        <v>106</v>
      </c>
      <c r="C28" s="302">
        <v>-484226.14</v>
      </c>
      <c r="D28" s="251"/>
      <c r="E28" s="106">
        <f>ROUND('[4]November 2023'!$G78+'[4]November 2023'!$G85,2)</f>
        <v>149506.03</v>
      </c>
      <c r="F28" s="106">
        <f>ROUND('[4]December 2023'!$G78+'[4]December 2023'!$G85,2)</f>
        <v>173047.62</v>
      </c>
      <c r="G28" s="106">
        <f>ROUND('[4]January 2024'!$G78+'[4]January 2024'!$G85,2)</f>
        <v>156434.37</v>
      </c>
      <c r="H28" s="171">
        <f>ROUND('[4]February 2024'!$G78+'[4]February 2024'!$G85,2)</f>
        <v>314841.71000000002</v>
      </c>
      <c r="I28" s="173">
        <f>ROUND('[4]March 2024'!$G78+'[4]March 2024'!$G85,2)</f>
        <v>296918.87</v>
      </c>
      <c r="J28" s="167">
        <f>ROUND('[4]April 2024'!$G78+'[4]April 2024'!$G85,2)</f>
        <v>313442.73</v>
      </c>
      <c r="K28" s="116">
        <f t="shared" si="4"/>
        <v>303715.15999999997</v>
      </c>
      <c r="L28" s="41">
        <f t="shared" si="4"/>
        <v>336229.17</v>
      </c>
      <c r="M28" s="61">
        <f t="shared" si="4"/>
        <v>378728.75</v>
      </c>
      <c r="N28" s="72">
        <v>3.48E-3</v>
      </c>
      <c r="P28" s="47">
        <f t="shared" si="5"/>
        <v>-1018673.08</v>
      </c>
    </row>
    <row r="29" spans="1:24" x14ac:dyDescent="0.35">
      <c r="A29" s="46" t="s">
        <v>107</v>
      </c>
      <c r="C29" s="302">
        <v>-215361.11</v>
      </c>
      <c r="D29" s="251"/>
      <c r="E29" s="106">
        <f>ROUND('[4]November 2023'!$G79+'[4]November 2023'!$G86,2)</f>
        <v>68925.119999999995</v>
      </c>
      <c r="F29" s="106">
        <f>ROUND('[4]December 2023'!$G79+'[4]December 2023'!$G86,2)</f>
        <v>67648.55</v>
      </c>
      <c r="G29" s="106">
        <f>ROUND('[4]January 2024'!$G79+'[4]January 2024'!$G86,2)</f>
        <v>77152.36</v>
      </c>
      <c r="H29" s="171">
        <f>ROUND('[4]February 2024'!$G79+'[4]February 2024'!$G86,2)</f>
        <v>99227.6</v>
      </c>
      <c r="I29" s="173">
        <f>ROUND('[4]March 2024'!$G79+'[4]March 2024'!$G86,2)</f>
        <v>96312.18</v>
      </c>
      <c r="J29" s="167">
        <f>ROUND('[4]April 2024'!$G79+'[4]April 2024'!$G86,2)</f>
        <v>101039.66</v>
      </c>
      <c r="K29" s="116">
        <f t="shared" si="4"/>
        <v>102394.25</v>
      </c>
      <c r="L29" s="41">
        <f t="shared" si="4"/>
        <v>113355.99</v>
      </c>
      <c r="M29" s="61">
        <f t="shared" si="4"/>
        <v>127684.26</v>
      </c>
      <c r="N29" s="72">
        <v>1.74E-3</v>
      </c>
      <c r="P29" s="47">
        <f t="shared" si="5"/>
        <v>-343434.5</v>
      </c>
    </row>
    <row r="30" spans="1:24" x14ac:dyDescent="0.35">
      <c r="C30" s="308"/>
      <c r="D30" s="68"/>
      <c r="E30" s="18"/>
      <c r="F30" s="18"/>
      <c r="G30" s="18"/>
      <c r="H30" s="90"/>
      <c r="I30" s="18"/>
      <c r="J30" s="11"/>
      <c r="K30" s="56"/>
      <c r="L30" s="56"/>
      <c r="M30" s="13"/>
      <c r="N30" s="4"/>
      <c r="P30" s="47"/>
    </row>
    <row r="31" spans="1:24" ht="15" thickBot="1" x14ac:dyDescent="0.4">
      <c r="A31" s="46" t="s">
        <v>14</v>
      </c>
      <c r="C31" s="309">
        <v>5794.11</v>
      </c>
      <c r="D31" s="254">
        <v>0</v>
      </c>
      <c r="E31" s="109">
        <v>-7658.43</v>
      </c>
      <c r="F31" s="109">
        <v>-153.38000000000011</v>
      </c>
      <c r="G31" s="110">
        <v>7291.1600000000008</v>
      </c>
      <c r="H31" s="26">
        <v>4725.42</v>
      </c>
      <c r="I31" s="115">
        <v>5356.81</v>
      </c>
      <c r="J31" s="166">
        <v>4302.7700000000004</v>
      </c>
      <c r="K31" s="164">
        <f>ROUND((SUM(J40:J43)+SUM(J47:J50)+SUM(K34:K37)/2)*K$45,2)</f>
        <v>-291.85000000000002</v>
      </c>
      <c r="L31" s="132">
        <f>ROUND((SUM(K40:K43)+SUM(K47:K50)+SUM(L34:L37)/2)*L$45,2)</f>
        <v>-551.57000000000005</v>
      </c>
      <c r="M31" s="80"/>
      <c r="P31" s="47">
        <f t="shared" si="5"/>
        <v>843.42000000000007</v>
      </c>
    </row>
    <row r="32" spans="1:24" x14ac:dyDescent="0.35">
      <c r="C32" s="98"/>
      <c r="D32" s="141"/>
      <c r="E32" s="31"/>
      <c r="F32" s="31"/>
      <c r="G32" s="31"/>
      <c r="H32" s="28"/>
      <c r="I32" s="31"/>
      <c r="J32" s="11"/>
      <c r="K32" s="17"/>
      <c r="L32" s="17"/>
      <c r="M32" s="11"/>
      <c r="P32" s="47"/>
    </row>
    <row r="33" spans="1:16" x14ac:dyDescent="0.35">
      <c r="A33" s="46" t="s">
        <v>51</v>
      </c>
      <c r="C33" s="98"/>
      <c r="D33" s="141"/>
      <c r="E33" s="31"/>
      <c r="F33" s="31"/>
      <c r="G33" s="31"/>
      <c r="H33" s="28"/>
      <c r="I33" s="31"/>
      <c r="J33" s="11"/>
      <c r="K33" s="17"/>
      <c r="L33" s="17"/>
      <c r="M33" s="11"/>
      <c r="P33" s="47"/>
    </row>
    <row r="34" spans="1:16" x14ac:dyDescent="0.35">
      <c r="A34" s="46" t="s">
        <v>24</v>
      </c>
      <c r="C34" s="40">
        <f t="shared" ref="C34:M34" si="6">C14-C26</f>
        <v>-238800.76</v>
      </c>
      <c r="D34" s="116">
        <f t="shared" ref="D34" si="7">D14-D26</f>
        <v>0</v>
      </c>
      <c r="E34" s="41">
        <f>E14-E26</f>
        <v>445835.24</v>
      </c>
      <c r="F34" s="41">
        <f t="shared" si="6"/>
        <v>827215.99</v>
      </c>
      <c r="G34" s="105">
        <f t="shared" si="6"/>
        <v>101628.12</v>
      </c>
      <c r="H34" s="40">
        <f t="shared" si="6"/>
        <v>-676329.87</v>
      </c>
      <c r="I34" s="41">
        <f t="shared" si="6"/>
        <v>-195452.49</v>
      </c>
      <c r="J34" s="61">
        <f t="shared" si="6"/>
        <v>-70809.160000000033</v>
      </c>
      <c r="K34" s="116">
        <f t="shared" si="6"/>
        <v>81153.270000000019</v>
      </c>
      <c r="L34" s="41">
        <f t="shared" si="6"/>
        <v>3039.4300000000512</v>
      </c>
      <c r="M34" s="49">
        <f t="shared" si="6"/>
        <v>-926021.36</v>
      </c>
      <c r="P34" s="47"/>
    </row>
    <row r="35" spans="1:16" x14ac:dyDescent="0.35">
      <c r="A35" s="46" t="s">
        <v>105</v>
      </c>
      <c r="C35" s="40">
        <f t="shared" ref="C35:M35" si="8">C15-C27</f>
        <v>-495878.02000000014</v>
      </c>
      <c r="D35" s="116">
        <f t="shared" ref="D35" si="9">D15-D27</f>
        <v>0</v>
      </c>
      <c r="E35" s="41">
        <f t="shared" si="8"/>
        <v>303171.86</v>
      </c>
      <c r="F35" s="41">
        <f t="shared" si="8"/>
        <v>1017794.2399999999</v>
      </c>
      <c r="G35" s="105">
        <f t="shared" si="8"/>
        <v>93750.459999999992</v>
      </c>
      <c r="H35" s="40">
        <f t="shared" si="8"/>
        <v>-173584.94999999998</v>
      </c>
      <c r="I35" s="41">
        <f t="shared" si="8"/>
        <v>953161.09000000008</v>
      </c>
      <c r="J35" s="61">
        <f t="shared" si="8"/>
        <v>-946333.84</v>
      </c>
      <c r="K35" s="116">
        <f t="shared" si="8"/>
        <v>658.17000000001281</v>
      </c>
      <c r="L35" s="41">
        <f t="shared" si="8"/>
        <v>-69862.329999999987</v>
      </c>
      <c r="M35" s="49">
        <f t="shared" si="8"/>
        <v>-217272.6</v>
      </c>
      <c r="P35" s="47"/>
    </row>
    <row r="36" spans="1:16" x14ac:dyDescent="0.35">
      <c r="A36" s="46" t="s">
        <v>106</v>
      </c>
      <c r="C36" s="40">
        <f t="shared" ref="C36:M36" si="10">C16-C28</f>
        <v>-364313.89</v>
      </c>
      <c r="D36" s="116">
        <f t="shared" ref="D36" si="11">D16-D28</f>
        <v>0</v>
      </c>
      <c r="E36" s="41">
        <f t="shared" si="10"/>
        <v>-520706.73</v>
      </c>
      <c r="F36" s="41">
        <f t="shared" si="10"/>
        <v>651901.5</v>
      </c>
      <c r="G36" s="105">
        <f t="shared" si="10"/>
        <v>121215.79999999999</v>
      </c>
      <c r="H36" s="40">
        <f t="shared" si="10"/>
        <v>-286741.67000000004</v>
      </c>
      <c r="I36" s="41">
        <f t="shared" si="10"/>
        <v>769010.04999999993</v>
      </c>
      <c r="J36" s="61">
        <f t="shared" si="10"/>
        <v>-867213.72</v>
      </c>
      <c r="K36" s="116">
        <f t="shared" si="10"/>
        <v>-88414.339999999967</v>
      </c>
      <c r="L36" s="41">
        <f t="shared" si="10"/>
        <v>-196131.27999999997</v>
      </c>
      <c r="M36" s="49">
        <f t="shared" si="10"/>
        <v>-378728.75</v>
      </c>
      <c r="P36" s="47"/>
    </row>
    <row r="37" spans="1:16" x14ac:dyDescent="0.35">
      <c r="A37" s="46" t="s">
        <v>107</v>
      </c>
      <c r="C37" s="40">
        <f t="shared" ref="C37:M37" si="12">C17-C29</f>
        <v>-409049.56999999995</v>
      </c>
      <c r="D37" s="116">
        <f t="shared" ref="D37" si="13">D17-D29</f>
        <v>0</v>
      </c>
      <c r="E37" s="41">
        <f t="shared" si="12"/>
        <v>25227.130000000005</v>
      </c>
      <c r="F37" s="41">
        <f t="shared" si="12"/>
        <v>-40487.69</v>
      </c>
      <c r="G37" s="105">
        <f t="shared" si="12"/>
        <v>-50153.65</v>
      </c>
      <c r="H37" s="40">
        <f t="shared" si="12"/>
        <v>-78549.8</v>
      </c>
      <c r="I37" s="41">
        <f t="shared" si="12"/>
        <v>-90583.64</v>
      </c>
      <c r="J37" s="61">
        <f t="shared" si="12"/>
        <v>52891.079999999987</v>
      </c>
      <c r="K37" s="116">
        <f t="shared" si="12"/>
        <v>144217.32999999999</v>
      </c>
      <c r="L37" s="41">
        <f t="shared" si="12"/>
        <v>30662.689999999988</v>
      </c>
      <c r="M37" s="49">
        <f t="shared" si="12"/>
        <v>-127684.26</v>
      </c>
      <c r="P37" s="47"/>
    </row>
    <row r="38" spans="1:16" x14ac:dyDescent="0.35">
      <c r="C38" s="98"/>
      <c r="D38" s="141"/>
      <c r="E38" s="31"/>
      <c r="F38" s="31"/>
      <c r="G38" s="31"/>
      <c r="H38" s="28"/>
      <c r="I38" s="31"/>
      <c r="J38" s="11"/>
      <c r="K38" s="17"/>
      <c r="L38" s="17"/>
      <c r="M38" s="11"/>
      <c r="P38" s="47"/>
    </row>
    <row r="39" spans="1:16" ht="15" thickBot="1" x14ac:dyDescent="0.4">
      <c r="A39" s="46" t="s">
        <v>52</v>
      </c>
      <c r="C39" s="101"/>
      <c r="D39" s="255"/>
      <c r="E39" s="31"/>
      <c r="F39" s="31"/>
      <c r="G39" s="31"/>
      <c r="H39" s="28"/>
      <c r="I39" s="31"/>
      <c r="J39" s="11"/>
      <c r="K39" s="17"/>
      <c r="L39" s="17"/>
      <c r="M39" s="11"/>
      <c r="P39" s="47"/>
    </row>
    <row r="40" spans="1:16" x14ac:dyDescent="0.35">
      <c r="A40" s="46" t="s">
        <v>24</v>
      </c>
      <c r="B40" s="310">
        <v>347853.72999999957</v>
      </c>
      <c r="C40" s="41">
        <f t="shared" ref="C40:M40" si="14">B40+C34+B47</f>
        <v>109052.96999999956</v>
      </c>
      <c r="D40" s="41">
        <f t="shared" ref="D40:D43" si="15">C40+D34+C47</f>
        <v>104278.83999999956</v>
      </c>
      <c r="E40" s="41">
        <f t="shared" ref="E40:E43" si="16">D40+E34+D47</f>
        <v>550114.07999999961</v>
      </c>
      <c r="F40" s="41">
        <f t="shared" si="14"/>
        <v>1379152.0999999996</v>
      </c>
      <c r="G40" s="105">
        <f t="shared" si="14"/>
        <v>1486075.0599999998</v>
      </c>
      <c r="H40" s="40">
        <f t="shared" si="14"/>
        <v>817593.85999999987</v>
      </c>
      <c r="I40" s="41">
        <f t="shared" si="14"/>
        <v>628446.28999999992</v>
      </c>
      <c r="J40" s="61">
        <f t="shared" si="14"/>
        <v>561600.78999999992</v>
      </c>
      <c r="K40" s="116">
        <f t="shared" si="14"/>
        <v>646009.3899999999</v>
      </c>
      <c r="L40" s="41">
        <f t="shared" si="14"/>
        <v>652350.11</v>
      </c>
      <c r="M40" s="49">
        <f t="shared" si="14"/>
        <v>-270122.42</v>
      </c>
      <c r="P40" s="47"/>
    </row>
    <row r="41" spans="1:16" x14ac:dyDescent="0.35">
      <c r="A41" s="46" t="s">
        <v>105</v>
      </c>
      <c r="B41" s="317">
        <v>-351040.70999999996</v>
      </c>
      <c r="C41" s="41">
        <f>B41+C35+B48</f>
        <v>-846918.7300000001</v>
      </c>
      <c r="D41" s="41">
        <f t="shared" si="15"/>
        <v>-840370.03000000014</v>
      </c>
      <c r="E41" s="41">
        <f t="shared" si="16"/>
        <v>-537198.17000000016</v>
      </c>
      <c r="F41" s="41">
        <f t="shared" ref="F41:M41" si="17">E41+F35+E48</f>
        <v>476760.49999999971</v>
      </c>
      <c r="G41" s="105">
        <f t="shared" si="17"/>
        <v>570334.72999999975</v>
      </c>
      <c r="H41" s="40">
        <f t="shared" si="17"/>
        <v>399612.29999999981</v>
      </c>
      <c r="I41" s="41">
        <f t="shared" si="17"/>
        <v>1355426.8399999999</v>
      </c>
      <c r="J41" s="61">
        <f t="shared" si="17"/>
        <v>413889.99999999988</v>
      </c>
      <c r="K41" s="116">
        <f t="shared" si="17"/>
        <v>419385.08999999991</v>
      </c>
      <c r="L41" s="41">
        <f t="shared" si="17"/>
        <v>351807.77999999991</v>
      </c>
      <c r="M41" s="49">
        <f t="shared" si="17"/>
        <v>136643.97999999989</v>
      </c>
      <c r="P41" s="47"/>
    </row>
    <row r="42" spans="1:16" x14ac:dyDescent="0.35">
      <c r="A42" s="46" t="s">
        <v>106</v>
      </c>
      <c r="B42" s="317">
        <v>565997.25999999978</v>
      </c>
      <c r="C42" s="41">
        <f>B42+C36+B49</f>
        <v>201683.36999999976</v>
      </c>
      <c r="D42" s="41">
        <f t="shared" si="15"/>
        <v>197162.84999999977</v>
      </c>
      <c r="E42" s="41">
        <f t="shared" si="16"/>
        <v>-323543.88000000024</v>
      </c>
      <c r="F42" s="41">
        <f t="shared" ref="F42:M42" si="18">E42+F36+E49</f>
        <v>328005.73999999976</v>
      </c>
      <c r="G42" s="105">
        <f t="shared" si="18"/>
        <v>449232.80999999976</v>
      </c>
      <c r="H42" s="40">
        <f t="shared" si="18"/>
        <v>164616.31999999972</v>
      </c>
      <c r="I42" s="41">
        <f t="shared" si="18"/>
        <v>935306.50999999966</v>
      </c>
      <c r="J42" s="61">
        <f t="shared" si="18"/>
        <v>71099.219999999681</v>
      </c>
      <c r="K42" s="116">
        <f t="shared" si="18"/>
        <v>-14563.070000000287</v>
      </c>
      <c r="L42" s="41">
        <f t="shared" si="18"/>
        <v>-210532.71000000025</v>
      </c>
      <c r="M42" s="49">
        <f t="shared" si="18"/>
        <v>-589874.7200000002</v>
      </c>
      <c r="P42" s="47"/>
    </row>
    <row r="43" spans="1:16" ht="15" thickBot="1" x14ac:dyDescent="0.4">
      <c r="A43" s="46" t="s">
        <v>107</v>
      </c>
      <c r="B43" s="311">
        <v>-562612.36999999941</v>
      </c>
      <c r="C43" s="41">
        <f t="shared" ref="C43:M43" si="19">B43+C37+B50</f>
        <v>-971661.93999999936</v>
      </c>
      <c r="D43" s="41">
        <f t="shared" si="15"/>
        <v>-963121.87999999931</v>
      </c>
      <c r="E43" s="41">
        <f t="shared" si="16"/>
        <v>-937894.7499999993</v>
      </c>
      <c r="F43" s="41">
        <f t="shared" si="19"/>
        <v>-983675.44999999925</v>
      </c>
      <c r="G43" s="105">
        <f t="shared" si="19"/>
        <v>-1039112.3599999993</v>
      </c>
      <c r="H43" s="40">
        <f t="shared" si="19"/>
        <v>-1123207.3699999992</v>
      </c>
      <c r="I43" s="41">
        <f t="shared" si="19"/>
        <v>-1219704.0999999992</v>
      </c>
      <c r="J43" s="61">
        <f t="shared" si="19"/>
        <v>-1173223.2999999991</v>
      </c>
      <c r="K43" s="116">
        <f t="shared" si="19"/>
        <v>-1035547.4899999992</v>
      </c>
      <c r="L43" s="41">
        <f t="shared" si="19"/>
        <v>-1010924.5899999993</v>
      </c>
      <c r="M43" s="49">
        <f t="shared" si="19"/>
        <v>-1144204.7899999991</v>
      </c>
      <c r="P43" s="47"/>
    </row>
    <row r="44" spans="1:16" x14ac:dyDescent="0.35">
      <c r="C44" s="98"/>
      <c r="D44" s="141"/>
      <c r="E44" s="31"/>
      <c r="F44" s="31"/>
      <c r="G44" s="31"/>
      <c r="H44" s="28"/>
      <c r="I44" s="31"/>
      <c r="J44" s="11"/>
      <c r="K44" s="17"/>
      <c r="L44" s="17"/>
      <c r="M44" s="11"/>
      <c r="P44" s="47"/>
    </row>
    <row r="45" spans="1:16" x14ac:dyDescent="0.35">
      <c r="A45" s="39" t="s">
        <v>48</v>
      </c>
      <c r="B45" s="39"/>
      <c r="C45" s="101"/>
      <c r="D45" s="255"/>
      <c r="E45" s="337">
        <f>'[11]MO West ST Rate Nov 2023'!$E$42</f>
        <v>5.5686099999999999E-3</v>
      </c>
      <c r="F45" s="337">
        <f>'[11]MO West ST Rate Dec 2023'!$E$43</f>
        <v>5.4837899999999997E-3</v>
      </c>
      <c r="G45" s="337">
        <f>'[11]MO West ST Rate Jan 2024'!$E$43</f>
        <v>5.4684599999999996E-3</v>
      </c>
      <c r="H45" s="338">
        <f>'[11]MO West ST Rate Feb 2024'!$E$41</f>
        <v>5.4552200000000002E-3</v>
      </c>
      <c r="I45" s="337">
        <f>'[11]MO West ST Rate Mar 2024'!$E$43</f>
        <v>5.4582900000000002E-3</v>
      </c>
      <c r="J45" s="339">
        <f>'[11]MO West ST Rate Apr 2024'!$E$43</f>
        <v>5.45277E-3</v>
      </c>
      <c r="K45" s="82">
        <f>J45</f>
        <v>5.45277E-3</v>
      </c>
      <c r="L45" s="82">
        <f>J45</f>
        <v>5.45277E-3</v>
      </c>
      <c r="M45" s="91"/>
      <c r="P45" s="47"/>
    </row>
    <row r="46" spans="1:16" x14ac:dyDescent="0.35">
      <c r="A46" s="39" t="s">
        <v>36</v>
      </c>
      <c r="B46" s="39"/>
      <c r="C46" s="98"/>
      <c r="D46" s="141"/>
      <c r="E46" s="31"/>
      <c r="F46" s="31"/>
      <c r="G46" s="31"/>
      <c r="H46" s="28"/>
      <c r="I46" s="31"/>
      <c r="J46" s="11"/>
      <c r="K46" s="17"/>
      <c r="L46" s="17"/>
      <c r="M46" s="11"/>
      <c r="N46" s="71"/>
      <c r="P46" s="47"/>
    </row>
    <row r="47" spans="1:16" x14ac:dyDescent="0.35">
      <c r="A47" s="46" t="s">
        <v>24</v>
      </c>
      <c r="C47" s="305">
        <v>-4774.13</v>
      </c>
      <c r="D47" s="116"/>
      <c r="E47" s="41">
        <f>ROUND((C40+C47+D47+E34/2)*E$45,2)</f>
        <v>1822.03</v>
      </c>
      <c r="F47" s="41">
        <f t="shared" ref="F47:L50" si="20">ROUND((E40+E47+F34/2)*F$45,2)</f>
        <v>5294.84</v>
      </c>
      <c r="G47" s="105">
        <f t="shared" si="20"/>
        <v>7848.67</v>
      </c>
      <c r="H47" s="40">
        <f>ROUND((G40+G47+H34/2)*H$45,2)</f>
        <v>6304.92</v>
      </c>
      <c r="I47" s="116">
        <f t="shared" si="20"/>
        <v>3963.66</v>
      </c>
      <c r="J47" s="61">
        <f t="shared" si="20"/>
        <v>3255.33</v>
      </c>
      <c r="K47" s="116">
        <f t="shared" si="20"/>
        <v>3301.29</v>
      </c>
      <c r="L47" s="116">
        <f t="shared" si="20"/>
        <v>3548.83</v>
      </c>
      <c r="M47" s="49"/>
      <c r="P47" s="47">
        <f>-SUM(K47:M47)</f>
        <v>-6850.12</v>
      </c>
    </row>
    <row r="48" spans="1:16" x14ac:dyDescent="0.35">
      <c r="A48" s="46" t="s">
        <v>105</v>
      </c>
      <c r="C48" s="316">
        <v>6548.7</v>
      </c>
      <c r="D48" s="256"/>
      <c r="E48" s="41">
        <f t="shared" ref="E48:E50" si="21">ROUND((C41+C48+D48+E35/2)*E$45,2)</f>
        <v>-3835.57</v>
      </c>
      <c r="F48" s="41">
        <f t="shared" si="20"/>
        <v>-176.23</v>
      </c>
      <c r="G48" s="105">
        <f t="shared" si="20"/>
        <v>2862.52</v>
      </c>
      <c r="H48" s="40">
        <f>ROUND((G41+G48+H35/2)*H$45,2)</f>
        <v>2653.45</v>
      </c>
      <c r="I48" s="116">
        <f t="shared" si="20"/>
        <v>4797</v>
      </c>
      <c r="J48" s="61">
        <f t="shared" si="20"/>
        <v>4836.92</v>
      </c>
      <c r="K48" s="116">
        <f t="shared" si="20"/>
        <v>2285.02</v>
      </c>
      <c r="L48" s="116">
        <f t="shared" si="20"/>
        <v>2108.8000000000002</v>
      </c>
      <c r="M48" s="49"/>
      <c r="P48" s="47">
        <f t="shared" ref="P48:P50" si="22">-SUM(K48:M48)</f>
        <v>-4393.82</v>
      </c>
    </row>
    <row r="49" spans="1:16" x14ac:dyDescent="0.35">
      <c r="A49" s="46" t="s">
        <v>106</v>
      </c>
      <c r="C49" s="316">
        <v>-4520.5200000000004</v>
      </c>
      <c r="D49" s="256"/>
      <c r="E49" s="41">
        <f t="shared" si="21"/>
        <v>-351.88</v>
      </c>
      <c r="F49" s="41">
        <f t="shared" si="20"/>
        <v>11.27</v>
      </c>
      <c r="G49" s="105">
        <f t="shared" si="20"/>
        <v>2125.1799999999998</v>
      </c>
      <c r="H49" s="40">
        <f>ROUND((G42+G49+H36/2)*H$45,2)</f>
        <v>1680.14</v>
      </c>
      <c r="I49" s="116">
        <f t="shared" si="20"/>
        <v>3006.43</v>
      </c>
      <c r="J49" s="61">
        <f t="shared" si="20"/>
        <v>2752.05</v>
      </c>
      <c r="K49" s="116">
        <f t="shared" si="20"/>
        <v>161.63999999999999</v>
      </c>
      <c r="L49" s="116">
        <f t="shared" si="20"/>
        <v>-613.26</v>
      </c>
      <c r="M49" s="49"/>
      <c r="P49" s="47">
        <f t="shared" si="22"/>
        <v>451.62</v>
      </c>
    </row>
    <row r="50" spans="1:16" ht="15" thickBot="1" x14ac:dyDescent="0.4">
      <c r="A50" s="46" t="s">
        <v>107</v>
      </c>
      <c r="C50" s="312">
        <v>8540.0600000000013</v>
      </c>
      <c r="D50" s="256"/>
      <c r="E50" s="41">
        <f t="shared" si="21"/>
        <v>-5293.01</v>
      </c>
      <c r="F50" s="41">
        <f t="shared" si="20"/>
        <v>-5283.26</v>
      </c>
      <c r="G50" s="105">
        <f t="shared" si="20"/>
        <v>-5545.21</v>
      </c>
      <c r="H50" s="40">
        <f>ROUND((G43+G50+H37/2)*H$45,2)</f>
        <v>-5913.09</v>
      </c>
      <c r="I50" s="116">
        <f t="shared" si="20"/>
        <v>-6410.28</v>
      </c>
      <c r="J50" s="61">
        <f t="shared" si="20"/>
        <v>-6541.52</v>
      </c>
      <c r="K50" s="116">
        <f t="shared" si="20"/>
        <v>-6039.79</v>
      </c>
      <c r="L50" s="116">
        <f t="shared" si="20"/>
        <v>-5595.94</v>
      </c>
      <c r="M50" s="49"/>
      <c r="P50" s="47">
        <f t="shared" si="22"/>
        <v>11635.73</v>
      </c>
    </row>
    <row r="51" spans="1:16" ht="15.5" thickTop="1" thickBot="1" x14ac:dyDescent="0.4">
      <c r="A51" s="54" t="s">
        <v>22</v>
      </c>
      <c r="B51" s="54"/>
      <c r="C51" s="111">
        <v>0</v>
      </c>
      <c r="D51" s="257"/>
      <c r="E51" s="32">
        <f t="shared" ref="E51:M51" si="23">SUM(E47:E50)+SUM(E40:E43)-E54</f>
        <v>0</v>
      </c>
      <c r="F51" s="32">
        <f t="shared" si="23"/>
        <v>0</v>
      </c>
      <c r="G51" s="50">
        <f t="shared" si="23"/>
        <v>0</v>
      </c>
      <c r="H51" s="117">
        <f t="shared" si="23"/>
        <v>0</v>
      </c>
      <c r="I51" s="32">
        <f t="shared" si="23"/>
        <v>0</v>
      </c>
      <c r="J51" s="62">
        <f t="shared" si="23"/>
        <v>-2.6193447411060333E-10</v>
      </c>
      <c r="K51" s="153">
        <f t="shared" si="23"/>
        <v>-5.8571458794176579E-10</v>
      </c>
      <c r="L51" s="32">
        <f t="shared" si="23"/>
        <v>-6.6938810050487518E-10</v>
      </c>
      <c r="M51" s="95">
        <f t="shared" si="23"/>
        <v>0</v>
      </c>
      <c r="P51" s="47"/>
    </row>
    <row r="52" spans="1:16" ht="15.5" thickTop="1" thickBot="1" x14ac:dyDescent="0.4">
      <c r="A52" s="54" t="s">
        <v>23</v>
      </c>
      <c r="B52" s="54"/>
      <c r="C52" s="104">
        <v>0</v>
      </c>
      <c r="D52" s="258"/>
      <c r="E52" s="32">
        <f>SUM(E47:E50)-E31</f>
        <v>0</v>
      </c>
      <c r="F52" s="32">
        <f t="shared" ref="F52:M52" si="24">SUM(F47:F50)-F31</f>
        <v>9.0949470177292824E-13</v>
      </c>
      <c r="G52" s="50">
        <f t="shared" si="24"/>
        <v>0</v>
      </c>
      <c r="H52" s="51">
        <f t="shared" si="24"/>
        <v>0</v>
      </c>
      <c r="I52" s="32">
        <f t="shared" si="24"/>
        <v>0</v>
      </c>
      <c r="J52" s="62">
        <f t="shared" si="24"/>
        <v>9.9999999983992893E-3</v>
      </c>
      <c r="K52" s="153">
        <f t="shared" si="24"/>
        <v>9.9999999998772182E-3</v>
      </c>
      <c r="L52" s="32">
        <f t="shared" si="24"/>
        <v>0</v>
      </c>
      <c r="M52" s="95">
        <f t="shared" si="24"/>
        <v>0</v>
      </c>
      <c r="P52" s="47"/>
    </row>
    <row r="53" spans="1:16" ht="15.5" thickTop="1" thickBot="1" x14ac:dyDescent="0.4">
      <c r="C53" s="98"/>
      <c r="D53" s="141"/>
      <c r="E53" s="17"/>
      <c r="F53" s="17"/>
      <c r="G53" s="17"/>
      <c r="H53" s="10"/>
      <c r="I53" s="17"/>
      <c r="J53" s="11"/>
      <c r="K53" s="17"/>
      <c r="L53" s="17"/>
      <c r="M53" s="11"/>
      <c r="P53" s="47"/>
    </row>
    <row r="54" spans="1:16" ht="15" thickBot="1" x14ac:dyDescent="0.4">
      <c r="A54" s="46" t="s">
        <v>35</v>
      </c>
      <c r="B54" s="113">
        <f>SUM(B40:B43)</f>
        <v>197.90999999991618</v>
      </c>
      <c r="C54" s="40">
        <f>(SUM(C14:C17)-SUM(C26:C29))+SUM(C47:C50)+B54</f>
        <v>-1502050.2199999997</v>
      </c>
      <c r="D54" s="116"/>
      <c r="E54" s="41">
        <f>(SUM(E14:E17)-SUM(E26:E29))+SUM(E47:E50)+C54</f>
        <v>-1256181.1499999997</v>
      </c>
      <c r="F54" s="41">
        <f t="shared" ref="F54:M54" si="25">(SUM(F14:F17)-SUM(F26:F29))+SUM(F47:F50)+E54</f>
        <v>1200089.5100000005</v>
      </c>
      <c r="G54" s="105">
        <f t="shared" si="25"/>
        <v>1473821.4000000004</v>
      </c>
      <c r="H54" s="40">
        <f t="shared" si="25"/>
        <v>263340.53000000026</v>
      </c>
      <c r="I54" s="41">
        <f t="shared" si="25"/>
        <v>1704832.3500000008</v>
      </c>
      <c r="J54" s="61">
        <f>(SUM(J14:J17)-SUM(J26:J29))+SUM(J47:J50)+I54</f>
        <v>-122330.50999999931</v>
      </c>
      <c r="K54" s="116">
        <f t="shared" si="25"/>
        <v>14992.08000000086</v>
      </c>
      <c r="L54" s="41">
        <f t="shared" si="25"/>
        <v>-217850.9799999989</v>
      </c>
      <c r="M54" s="61">
        <f t="shared" si="25"/>
        <v>-1867557.9499999988</v>
      </c>
    </row>
    <row r="55" spans="1:16" x14ac:dyDescent="0.35">
      <c r="A55" s="46" t="s">
        <v>12</v>
      </c>
      <c r="C55" s="114"/>
      <c r="D55" s="17"/>
      <c r="E55" s="56"/>
      <c r="F55" s="56"/>
      <c r="G55" s="56"/>
      <c r="H55" s="12"/>
      <c r="I55" s="56"/>
      <c r="J55" s="11"/>
      <c r="K55" s="17"/>
      <c r="L55" s="17"/>
      <c r="M55" s="11"/>
    </row>
    <row r="56" spans="1:16" ht="15" thickBot="1" x14ac:dyDescent="0.4">
      <c r="B56" s="17"/>
      <c r="C56" s="43"/>
      <c r="D56" s="44"/>
      <c r="E56" s="44"/>
      <c r="F56" s="44"/>
      <c r="G56" s="44"/>
      <c r="H56" s="43"/>
      <c r="I56" s="44"/>
      <c r="J56" s="45"/>
      <c r="K56" s="44"/>
      <c r="L56" s="44"/>
      <c r="M56" s="45"/>
    </row>
    <row r="58" spans="1:16" x14ac:dyDescent="0.35">
      <c r="A58" s="69" t="s">
        <v>11</v>
      </c>
      <c r="B58" s="69"/>
      <c r="C58" s="69"/>
      <c r="D58" s="69"/>
    </row>
    <row r="59" spans="1:16" ht="80.25" customHeight="1" x14ac:dyDescent="0.35">
      <c r="A59" s="368" t="s">
        <v>287</v>
      </c>
      <c r="B59" s="369"/>
      <c r="C59" s="369"/>
      <c r="D59" s="369"/>
      <c r="E59" s="369"/>
      <c r="F59" s="369"/>
      <c r="G59" s="369"/>
      <c r="H59" s="369"/>
      <c r="I59" s="369"/>
      <c r="J59" s="369"/>
      <c r="K59" s="217"/>
      <c r="L59" s="217"/>
      <c r="M59" s="217"/>
    </row>
    <row r="60" spans="1:16" ht="64.5" customHeight="1" x14ac:dyDescent="0.35">
      <c r="A60" s="368" t="s">
        <v>288</v>
      </c>
      <c r="B60" s="369"/>
      <c r="C60" s="369"/>
      <c r="D60" s="369"/>
      <c r="E60" s="369"/>
      <c r="F60" s="369"/>
      <c r="G60" s="369"/>
      <c r="H60" s="369"/>
      <c r="I60" s="369"/>
      <c r="J60" s="369"/>
      <c r="K60" s="217"/>
      <c r="L60" s="217"/>
      <c r="M60" s="217"/>
    </row>
    <row r="61" spans="1:16" ht="59.5" customHeight="1" x14ac:dyDescent="0.35">
      <c r="A61" s="368" t="s">
        <v>289</v>
      </c>
      <c r="B61" s="369"/>
      <c r="C61" s="369"/>
      <c r="D61" s="369"/>
      <c r="E61" s="369"/>
      <c r="F61" s="369"/>
      <c r="G61" s="369"/>
      <c r="H61" s="369"/>
      <c r="I61" s="369"/>
      <c r="J61" s="369"/>
      <c r="K61" s="217"/>
      <c r="L61" s="217"/>
      <c r="M61" s="217"/>
    </row>
    <row r="62" spans="1:16" x14ac:dyDescent="0.35">
      <c r="A62" s="368" t="s">
        <v>304</v>
      </c>
      <c r="B62" s="369"/>
      <c r="C62" s="369"/>
      <c r="D62" s="369"/>
      <c r="E62" s="369"/>
      <c r="F62" s="369"/>
      <c r="G62" s="369"/>
      <c r="H62" s="369"/>
      <c r="I62" s="369"/>
      <c r="J62" s="369"/>
    </row>
    <row r="63" spans="1:16" x14ac:dyDescent="0.35">
      <c r="A63" s="63" t="s">
        <v>286</v>
      </c>
      <c r="B63" s="3"/>
      <c r="C63" s="3"/>
      <c r="D63" s="3"/>
      <c r="J63" s="4"/>
    </row>
    <row r="64" spans="1:16" x14ac:dyDescent="0.35">
      <c r="A64" s="3" t="s">
        <v>50</v>
      </c>
      <c r="B64" s="3"/>
      <c r="C64" s="3"/>
      <c r="D64" s="3"/>
      <c r="J64" s="4"/>
    </row>
    <row r="65" spans="1:14" x14ac:dyDescent="0.35">
      <c r="A65" s="3"/>
    </row>
    <row r="66" spans="1:14" ht="36" customHeight="1" x14ac:dyDescent="0.35">
      <c r="A66" s="378"/>
      <c r="B66" s="378"/>
      <c r="C66" s="378"/>
      <c r="D66" s="378"/>
      <c r="E66" s="378"/>
      <c r="F66" s="378"/>
      <c r="G66" s="378"/>
    </row>
    <row r="74" spans="1:14" x14ac:dyDescent="0.35">
      <c r="N74" s="8"/>
    </row>
  </sheetData>
  <mergeCells count="8">
    <mergeCell ref="A66:G66"/>
    <mergeCell ref="A61:J61"/>
    <mergeCell ref="E10:G10"/>
    <mergeCell ref="H10:J10"/>
    <mergeCell ref="K10:M10"/>
    <mergeCell ref="A59:J59"/>
    <mergeCell ref="A60:J60"/>
    <mergeCell ref="A62:J62"/>
  </mergeCells>
  <pageMargins left="0.2" right="0.2" top="0.75" bottom="0.25" header="0.3" footer="0.3"/>
  <pageSetup scale="54" orientation="landscape" r:id="rId1"/>
  <headerFooter>
    <oddHeader>&amp;C&amp;F &amp;A&amp;R&amp;"Arial"&amp;10&amp;K000000CONFIDENTIAL</oddHeader>
    <oddFooter xml:space="preserve">&amp;R_x000D_&amp;1#&amp;"Calibri"&amp;10&amp;KA80000 Restricted – Sensitive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DA5EC-43C1-4B10-BF6B-0461013A4037}">
  <sheetPr>
    <pageSetUpPr fitToPage="1"/>
  </sheetPr>
  <dimension ref="A1:AJ74"/>
  <sheetViews>
    <sheetView zoomScale="85" zoomScaleNormal="85" workbookViewId="0">
      <pane xSplit="2" ySplit="11" topLeftCell="C12" activePane="bottomRight" state="frozen"/>
      <selection activeCell="E10" sqref="E10"/>
      <selection pane="topRight" activeCell="E10" sqref="E10"/>
      <selection pane="bottomLeft" activeCell="E10" sqref="E10"/>
      <selection pane="bottomRight" activeCell="E10" sqref="E10"/>
    </sheetView>
  </sheetViews>
  <sheetFormatPr defaultColWidth="9.1796875" defaultRowHeight="14.5" outlineLevelCol="1" x14ac:dyDescent="0.35"/>
  <cols>
    <col min="1" max="1" width="54.54296875" style="46" customWidth="1"/>
    <col min="2" max="2" width="14.7265625" style="46" customWidth="1"/>
    <col min="3" max="3" width="15" style="46" customWidth="1"/>
    <col min="4" max="4" width="15" style="46" hidden="1" customWidth="1" outlineLevel="1"/>
    <col min="5" max="5" width="15.26953125" style="46" customWidth="1" collapsed="1"/>
    <col min="6" max="6" width="15.81640625" style="46" customWidth="1"/>
    <col min="7" max="7" width="17.54296875" style="46" customWidth="1"/>
    <col min="8" max="9" width="13.26953125" style="46" customWidth="1"/>
    <col min="10" max="10" width="15.7265625" style="46" customWidth="1"/>
    <col min="11" max="12" width="12.54296875" style="46" bestFit="1" customWidth="1"/>
    <col min="13" max="13" width="14.453125" style="46" customWidth="1"/>
    <col min="14" max="14" width="15" style="46" bestFit="1" customWidth="1"/>
    <col min="15" max="15" width="16.26953125" style="46" bestFit="1" customWidth="1"/>
    <col min="16" max="16" width="16.26953125" style="46" customWidth="1" outlineLevel="1"/>
    <col min="17" max="17" width="16.1796875" style="46" customWidth="1"/>
    <col min="18" max="18" width="17.26953125" style="46" bestFit="1" customWidth="1"/>
    <col min="19" max="19" width="17.453125" style="46" customWidth="1"/>
    <col min="20" max="20" width="15.54296875" style="46" customWidth="1"/>
    <col min="21" max="21" width="13" style="46" customWidth="1"/>
    <col min="22" max="22" width="9.1796875" style="46"/>
    <col min="23" max="23" width="14.26953125" style="46" bestFit="1" customWidth="1"/>
    <col min="24" max="16384" width="9.1796875" style="46"/>
  </cols>
  <sheetData>
    <row r="1" spans="1:36" x14ac:dyDescent="0.35">
      <c r="A1" s="3" t="str">
        <f>+'PPC Cycle 3'!A1</f>
        <v>Evergy Missouri West, Inc. - DSIM Rider Update Filed 06/01/2024</v>
      </c>
      <c r="B1" s="3"/>
      <c r="C1" s="3"/>
      <c r="D1" s="3"/>
    </row>
    <row r="2" spans="1:36" x14ac:dyDescent="0.35">
      <c r="E2" s="3" t="s">
        <v>275</v>
      </c>
    </row>
    <row r="3" spans="1:36" ht="29" x14ac:dyDescent="0.35">
      <c r="E3" s="48" t="s">
        <v>45</v>
      </c>
      <c r="F3" s="48" t="s">
        <v>44</v>
      </c>
      <c r="G3" s="70" t="s">
        <v>2</v>
      </c>
      <c r="H3" s="48" t="s">
        <v>3</v>
      </c>
      <c r="I3" s="70" t="s">
        <v>54</v>
      </c>
      <c r="J3" s="48" t="s">
        <v>10</v>
      </c>
      <c r="K3" s="48" t="s">
        <v>4</v>
      </c>
    </row>
    <row r="4" spans="1:36" x14ac:dyDescent="0.35">
      <c r="A4" s="20" t="s">
        <v>24</v>
      </c>
      <c r="E4" s="22">
        <f>SUM(C26:M26)</f>
        <v>0</v>
      </c>
      <c r="F4" s="128">
        <f>SUM(C20:M20)</f>
        <v>864306803</v>
      </c>
      <c r="G4" s="22">
        <f>SUM(C14:L14)</f>
        <v>39391.689999999995</v>
      </c>
      <c r="H4" s="22">
        <f>G4-E4</f>
        <v>39391.689999999995</v>
      </c>
      <c r="I4" s="22">
        <f>+B40</f>
        <v>0</v>
      </c>
      <c r="J4" s="22">
        <f>SUM(C47:L47)</f>
        <v>0</v>
      </c>
      <c r="K4" s="25">
        <f>SUM(H4:J4)</f>
        <v>39391.689999999995</v>
      </c>
      <c r="L4" s="315">
        <f>+K4-M40</f>
        <v>0</v>
      </c>
    </row>
    <row r="5" spans="1:36" x14ac:dyDescent="0.35">
      <c r="A5" s="20" t="s">
        <v>105</v>
      </c>
      <c r="E5" s="22">
        <f>SUM(C27:M27)</f>
        <v>0</v>
      </c>
      <c r="F5" s="128">
        <f>SUM(C21:M21)</f>
        <v>339768465</v>
      </c>
      <c r="G5" s="22">
        <f>SUM(C15:L15)</f>
        <v>9106.83</v>
      </c>
      <c r="H5" s="22">
        <f>G5-E5</f>
        <v>9106.83</v>
      </c>
      <c r="I5" s="22">
        <f>+B41</f>
        <v>0</v>
      </c>
      <c r="J5" s="22">
        <f>SUM(C48:L48)</f>
        <v>0</v>
      </c>
      <c r="K5" s="25">
        <f>SUM(H5:J5)</f>
        <v>9106.83</v>
      </c>
      <c r="L5" s="315">
        <f t="shared" ref="L5:L6" si="0">+K5-M41</f>
        <v>0</v>
      </c>
    </row>
    <row r="6" spans="1:36" x14ac:dyDescent="0.35">
      <c r="A6" s="20" t="s">
        <v>106</v>
      </c>
      <c r="E6" s="22">
        <f>SUM(C28:M28)</f>
        <v>0</v>
      </c>
      <c r="F6" s="128">
        <f>SUM(C22:M22)</f>
        <v>292722150</v>
      </c>
      <c r="G6" s="22">
        <f>SUM(C16:L16)</f>
        <v>11754.939999999999</v>
      </c>
      <c r="H6" s="22">
        <f>G6-E6</f>
        <v>11754.939999999999</v>
      </c>
      <c r="I6" s="22">
        <f>+B42</f>
        <v>0</v>
      </c>
      <c r="J6" s="22">
        <f>SUM(C49:L49)</f>
        <v>0</v>
      </c>
      <c r="K6" s="25">
        <f>SUM(H6:J6)</f>
        <v>11754.939999999999</v>
      </c>
      <c r="L6" s="315">
        <f t="shared" si="0"/>
        <v>0</v>
      </c>
    </row>
    <row r="7" spans="1:36" ht="15" thickBot="1" x14ac:dyDescent="0.4">
      <c r="A7" s="20" t="s">
        <v>107</v>
      </c>
      <c r="E7" s="22">
        <f>SUM(C29:M29)</f>
        <v>0</v>
      </c>
      <c r="F7" s="128">
        <f>SUM(C23:M23)</f>
        <v>197376147</v>
      </c>
      <c r="G7" s="22">
        <f>SUM(C17:L17)</f>
        <v>14253.19</v>
      </c>
      <c r="H7" s="22">
        <f>G7-E7</f>
        <v>14253.19</v>
      </c>
      <c r="I7" s="22">
        <f>+B43</f>
        <v>0</v>
      </c>
      <c r="J7" s="22">
        <f>SUM(C50:L50)</f>
        <v>0</v>
      </c>
      <c r="K7" s="25">
        <f>SUM(H7:J7)</f>
        <v>14253.19</v>
      </c>
      <c r="L7" s="315">
        <f>+K7-M43</f>
        <v>0</v>
      </c>
    </row>
    <row r="8" spans="1:36" ht="15.5" thickTop="1" thickBot="1" x14ac:dyDescent="0.4">
      <c r="E8" s="27">
        <f t="shared" ref="E8:K8" si="1">SUM(E4:E7)</f>
        <v>0</v>
      </c>
      <c r="F8" s="27">
        <f t="shared" si="1"/>
        <v>1694173565</v>
      </c>
      <c r="G8" s="27">
        <f t="shared" si="1"/>
        <v>74506.649999999994</v>
      </c>
      <c r="H8" s="27">
        <f t="shared" si="1"/>
        <v>74506.649999999994</v>
      </c>
      <c r="I8" s="27">
        <f t="shared" si="1"/>
        <v>0</v>
      </c>
      <c r="J8" s="27">
        <f t="shared" si="1"/>
        <v>0</v>
      </c>
      <c r="K8" s="27">
        <f t="shared" si="1"/>
        <v>74506.649999999994</v>
      </c>
    </row>
    <row r="9" spans="1:36" ht="15.5" thickTop="1" thickBot="1" x14ac:dyDescent="0.4"/>
    <row r="10" spans="1:36" ht="87.5" thickBot="1" x14ac:dyDescent="0.4">
      <c r="B10" s="112" t="str">
        <f>+'PCR Cycle 2'!B13</f>
        <v>Cumulative Over/Under Carryover From 12/01/2023 Filing</v>
      </c>
      <c r="C10" s="143" t="str">
        <f>+'PCR Cycle 2'!C13</f>
        <v>Reverse November 2023 - January 2024 Forecast From 12/01/2023 Filing</v>
      </c>
      <c r="D10" s="259"/>
      <c r="E10" s="373" t="s">
        <v>32</v>
      </c>
      <c r="F10" s="373"/>
      <c r="G10" s="374"/>
      <c r="H10" s="375" t="s">
        <v>32</v>
      </c>
      <c r="I10" s="376"/>
      <c r="J10" s="377"/>
      <c r="K10" s="370" t="s">
        <v>8</v>
      </c>
      <c r="L10" s="371"/>
      <c r="M10" s="372"/>
      <c r="P10" s="280" t="s">
        <v>223</v>
      </c>
    </row>
    <row r="11" spans="1:36" x14ac:dyDescent="0.35">
      <c r="C11" s="14"/>
      <c r="D11" s="19"/>
      <c r="E11" s="19">
        <f>+'PCR Cycle 2'!D14</f>
        <v>45260</v>
      </c>
      <c r="F11" s="19">
        <f>+'PCR Cycle 2'!E14</f>
        <v>45291</v>
      </c>
      <c r="G11" s="19">
        <f>+'PCR Cycle 2'!F14</f>
        <v>45322</v>
      </c>
      <c r="H11" s="14">
        <f>+'PCR Cycle 2'!G14</f>
        <v>45351</v>
      </c>
      <c r="I11" s="19">
        <f>+'PCR Cycle 2'!H14</f>
        <v>45382</v>
      </c>
      <c r="J11" s="15">
        <f>+'PCR Cycle 2'!I14</f>
        <v>45412</v>
      </c>
      <c r="K11" s="19">
        <f>+'PCR Cycle 2'!J14</f>
        <v>45443</v>
      </c>
      <c r="L11" s="19">
        <f>+'PCR Cycle 2'!K14</f>
        <v>45473</v>
      </c>
      <c r="M11" s="94">
        <f>+'PCR Cycle 2'!L14</f>
        <v>45504</v>
      </c>
      <c r="AA11" s="1"/>
      <c r="AB11" s="1"/>
      <c r="AC11" s="1"/>
      <c r="AD11" s="1"/>
      <c r="AE11" s="1"/>
      <c r="AF11" s="1"/>
      <c r="AG11" s="1"/>
      <c r="AH11" s="1"/>
      <c r="AI11" s="1"/>
      <c r="AJ11" s="1"/>
    </row>
    <row r="12" spans="1:36" x14ac:dyDescent="0.35">
      <c r="C12" s="97"/>
      <c r="D12" s="250"/>
      <c r="E12" s="31"/>
      <c r="F12" s="31"/>
      <c r="G12" s="31"/>
      <c r="H12" s="28"/>
      <c r="I12" s="31"/>
      <c r="J12" s="11"/>
      <c r="K12" s="31"/>
      <c r="L12" s="31"/>
      <c r="M12" s="29"/>
      <c r="P12" s="47"/>
    </row>
    <row r="13" spans="1:36" x14ac:dyDescent="0.35">
      <c r="A13" s="46" t="s">
        <v>136</v>
      </c>
      <c r="C13" s="98"/>
      <c r="D13" s="141"/>
      <c r="E13" s="31"/>
      <c r="F13" s="31"/>
      <c r="G13" s="31"/>
      <c r="H13" s="97"/>
      <c r="I13" s="250"/>
      <c r="J13" s="336"/>
      <c r="K13" s="141"/>
      <c r="L13" s="141"/>
      <c r="M13" s="11"/>
      <c r="P13" s="47"/>
    </row>
    <row r="14" spans="1:36" x14ac:dyDescent="0.35">
      <c r="A14" s="46" t="s">
        <v>24</v>
      </c>
      <c r="C14" s="302"/>
      <c r="D14" s="251"/>
      <c r="E14" s="106"/>
      <c r="F14" s="106">
        <f>'[12]Jurisdiction Allocations'!$M$50</f>
        <v>39391.689999999995</v>
      </c>
      <c r="G14" s="107"/>
      <c r="H14" s="16"/>
      <c r="I14" s="55"/>
      <c r="J14" s="154"/>
      <c r="K14" s="162"/>
      <c r="L14" s="162"/>
      <c r="M14" s="75"/>
      <c r="P14" s="47">
        <f>-SUM(K14:M14)</f>
        <v>0</v>
      </c>
    </row>
    <row r="15" spans="1:36" x14ac:dyDescent="0.35">
      <c r="A15" s="46" t="s">
        <v>105</v>
      </c>
      <c r="C15" s="302"/>
      <c r="D15" s="251"/>
      <c r="E15" s="106"/>
      <c r="F15" s="106">
        <f>'[12]Jurisdiction Allocations'!$N$50</f>
        <v>9106.83</v>
      </c>
      <c r="G15" s="107"/>
      <c r="H15" s="16"/>
      <c r="I15" s="55"/>
      <c r="J15" s="154"/>
      <c r="K15" s="162"/>
      <c r="L15" s="162"/>
      <c r="M15" s="75"/>
      <c r="P15" s="47">
        <f t="shared" ref="P15:P17" si="2">-SUM(K15:M15)</f>
        <v>0</v>
      </c>
    </row>
    <row r="16" spans="1:36" x14ac:dyDescent="0.35">
      <c r="A16" s="46" t="s">
        <v>106</v>
      </c>
      <c r="C16" s="302"/>
      <c r="D16" s="251"/>
      <c r="E16" s="106"/>
      <c r="F16" s="106">
        <f>'[12]Jurisdiction Allocations'!$P$50</f>
        <v>11754.939999999999</v>
      </c>
      <c r="G16" s="107"/>
      <c r="H16" s="16"/>
      <c r="I16" s="55"/>
      <c r="J16" s="154"/>
      <c r="K16" s="162"/>
      <c r="L16" s="162"/>
      <c r="M16" s="75"/>
      <c r="P16" s="47">
        <f t="shared" si="2"/>
        <v>0</v>
      </c>
    </row>
    <row r="17" spans="1:16" x14ac:dyDescent="0.35">
      <c r="A17" s="46" t="s">
        <v>107</v>
      </c>
      <c r="C17" s="302"/>
      <c r="D17" s="251"/>
      <c r="E17" s="106"/>
      <c r="F17" s="106">
        <f>'[12]Jurisdiction Allocations'!$Q$50</f>
        <v>14253.19</v>
      </c>
      <c r="G17" s="107"/>
      <c r="H17" s="16"/>
      <c r="I17" s="55"/>
      <c r="J17" s="154"/>
      <c r="K17" s="162"/>
      <c r="L17" s="162"/>
      <c r="M17" s="75"/>
      <c r="P17" s="47">
        <f t="shared" si="2"/>
        <v>0</v>
      </c>
    </row>
    <row r="18" spans="1:16" x14ac:dyDescent="0.35">
      <c r="C18" s="304"/>
      <c r="D18" s="141"/>
      <c r="E18" s="31"/>
      <c r="F18" s="31"/>
      <c r="G18" s="31"/>
      <c r="H18" s="28"/>
      <c r="I18" s="31"/>
      <c r="J18" s="11"/>
      <c r="K18" s="17"/>
      <c r="L18" s="17"/>
      <c r="M18" s="11"/>
      <c r="P18" s="47"/>
    </row>
    <row r="19" spans="1:16" x14ac:dyDescent="0.35">
      <c r="A19" s="39" t="s">
        <v>46</v>
      </c>
      <c r="B19" s="39"/>
      <c r="C19" s="306"/>
      <c r="D19" s="252"/>
      <c r="E19" s="31"/>
      <c r="F19" s="31"/>
      <c r="G19" s="31"/>
      <c r="H19" s="97"/>
      <c r="I19" s="250"/>
      <c r="J19" s="333"/>
      <c r="K19" s="17"/>
      <c r="L19" s="17"/>
      <c r="M19" s="11"/>
      <c r="P19" s="47"/>
    </row>
    <row r="20" spans="1:16" x14ac:dyDescent="0.35">
      <c r="A20" s="46" t="s">
        <v>24</v>
      </c>
      <c r="C20" s="307"/>
      <c r="D20" s="253"/>
      <c r="E20" s="108"/>
      <c r="F20" s="108"/>
      <c r="G20" s="108"/>
      <c r="H20" s="171"/>
      <c r="I20" s="173"/>
      <c r="J20" s="167"/>
      <c r="K20" s="163">
        <f>'PCR Cycle 3'!K20</f>
        <v>216308145</v>
      </c>
      <c r="L20" s="131">
        <f>'PCR Cycle 3'!L20</f>
        <v>270030758</v>
      </c>
      <c r="M20" s="76">
        <f>'PCR Cycle 3'!M20</f>
        <v>377967900</v>
      </c>
      <c r="P20" s="47">
        <f>-SUM(K20:M20)</f>
        <v>-864306803</v>
      </c>
    </row>
    <row r="21" spans="1:16" x14ac:dyDescent="0.35">
      <c r="A21" s="46" t="s">
        <v>105</v>
      </c>
      <c r="C21" s="307"/>
      <c r="D21" s="253"/>
      <c r="E21" s="108"/>
      <c r="F21" s="108"/>
      <c r="G21" s="108"/>
      <c r="H21" s="171"/>
      <c r="I21" s="173"/>
      <c r="J21" s="167"/>
      <c r="K21" s="163">
        <f>'PCR Cycle 3'!K21</f>
        <v>101301226</v>
      </c>
      <c r="L21" s="131">
        <f>'PCR Cycle 3'!L21</f>
        <v>112145960</v>
      </c>
      <c r="M21" s="76">
        <f>'PCR Cycle 3'!M21</f>
        <v>126321279</v>
      </c>
      <c r="P21" s="47">
        <f t="shared" ref="P21:P23" si="3">-SUM(K21:M21)</f>
        <v>-339768465</v>
      </c>
    </row>
    <row r="22" spans="1:16" x14ac:dyDescent="0.35">
      <c r="A22" s="46" t="s">
        <v>106</v>
      </c>
      <c r="C22" s="307"/>
      <c r="D22" s="253"/>
      <c r="E22" s="108"/>
      <c r="F22" s="108"/>
      <c r="G22" s="108"/>
      <c r="H22" s="171"/>
      <c r="I22" s="173"/>
      <c r="J22" s="167"/>
      <c r="K22" s="163">
        <f>'PCR Cycle 3'!K22</f>
        <v>87274470</v>
      </c>
      <c r="L22" s="131">
        <f>'PCR Cycle 3'!L22</f>
        <v>96617579</v>
      </c>
      <c r="M22" s="76">
        <f>'PCR Cycle 3'!M22</f>
        <v>108830101</v>
      </c>
      <c r="P22" s="47">
        <f t="shared" si="3"/>
        <v>-292722150</v>
      </c>
    </row>
    <row r="23" spans="1:16" x14ac:dyDescent="0.35">
      <c r="A23" s="46" t="s">
        <v>107</v>
      </c>
      <c r="C23" s="307"/>
      <c r="D23" s="253"/>
      <c r="E23" s="108"/>
      <c r="F23" s="108"/>
      <c r="G23" s="108"/>
      <c r="H23" s="171"/>
      <c r="I23" s="173"/>
      <c r="J23" s="167"/>
      <c r="K23" s="163">
        <f>'PCR Cycle 3'!K23</f>
        <v>58847268</v>
      </c>
      <c r="L23" s="131">
        <f>'PCR Cycle 3'!L23</f>
        <v>65147121</v>
      </c>
      <c r="M23" s="76">
        <f>'PCR Cycle 3'!M23</f>
        <v>73381758</v>
      </c>
      <c r="P23" s="47">
        <f t="shared" si="3"/>
        <v>-197376147</v>
      </c>
    </row>
    <row r="24" spans="1:16" x14ac:dyDescent="0.35">
      <c r="C24" s="304"/>
      <c r="D24" s="141"/>
      <c r="E24" s="31"/>
      <c r="F24" s="31"/>
      <c r="G24" s="31"/>
      <c r="H24" s="28"/>
      <c r="I24" s="31"/>
      <c r="J24" s="11"/>
      <c r="K24" s="17"/>
      <c r="L24" s="17"/>
      <c r="M24" s="11"/>
      <c r="P24" s="47"/>
    </row>
    <row r="25" spans="1:16" x14ac:dyDescent="0.35">
      <c r="A25" s="46" t="s">
        <v>33</v>
      </c>
      <c r="C25" s="304"/>
      <c r="D25" s="141"/>
      <c r="E25" s="18"/>
      <c r="F25" s="18"/>
      <c r="G25" s="18"/>
      <c r="H25" s="90"/>
      <c r="I25" s="18"/>
      <c r="J25" s="11"/>
      <c r="K25" s="57"/>
      <c r="L25" s="57"/>
      <c r="M25" s="58"/>
      <c r="N25" s="63" t="s">
        <v>49</v>
      </c>
      <c r="O25" s="39"/>
      <c r="P25" s="47"/>
    </row>
    <row r="26" spans="1:16" x14ac:dyDescent="0.35">
      <c r="A26" s="46" t="s">
        <v>24</v>
      </c>
      <c r="C26" s="302"/>
      <c r="D26" s="251"/>
      <c r="E26" s="106"/>
      <c r="F26" s="106"/>
      <c r="G26" s="106"/>
      <c r="H26" s="171"/>
      <c r="I26" s="173"/>
      <c r="J26" s="167"/>
      <c r="K26" s="116">
        <f>ROUND(K20*$N26,2)</f>
        <v>0</v>
      </c>
      <c r="L26" s="41">
        <f t="shared" ref="K26:M29" si="4">ROUND(L20*$N26,2)</f>
        <v>0</v>
      </c>
      <c r="M26" s="61">
        <f t="shared" si="4"/>
        <v>0</v>
      </c>
      <c r="N26" s="72">
        <v>0</v>
      </c>
      <c r="P26" s="47">
        <f>-SUM(K26:M26)</f>
        <v>0</v>
      </c>
    </row>
    <row r="27" spans="1:16" x14ac:dyDescent="0.35">
      <c r="A27" s="46" t="s">
        <v>105</v>
      </c>
      <c r="C27" s="302"/>
      <c r="D27" s="251"/>
      <c r="E27" s="106"/>
      <c r="F27" s="106"/>
      <c r="G27" s="106"/>
      <c r="H27" s="171"/>
      <c r="I27" s="173"/>
      <c r="J27" s="167"/>
      <c r="K27" s="116">
        <f t="shared" si="4"/>
        <v>0</v>
      </c>
      <c r="L27" s="41">
        <f t="shared" si="4"/>
        <v>0</v>
      </c>
      <c r="M27" s="61">
        <f t="shared" si="4"/>
        <v>0</v>
      </c>
      <c r="N27" s="72">
        <v>0</v>
      </c>
      <c r="P27" s="47">
        <f t="shared" ref="P27:P31" si="5">-SUM(K27:M27)</f>
        <v>0</v>
      </c>
    </row>
    <row r="28" spans="1:16" x14ac:dyDescent="0.35">
      <c r="A28" s="46" t="s">
        <v>106</v>
      </c>
      <c r="C28" s="302"/>
      <c r="D28" s="251"/>
      <c r="E28" s="106"/>
      <c r="F28" s="106"/>
      <c r="G28" s="106"/>
      <c r="H28" s="171"/>
      <c r="I28" s="173"/>
      <c r="J28" s="167"/>
      <c r="K28" s="116">
        <f t="shared" si="4"/>
        <v>0</v>
      </c>
      <c r="L28" s="41">
        <f t="shared" si="4"/>
        <v>0</v>
      </c>
      <c r="M28" s="61">
        <f t="shared" si="4"/>
        <v>0</v>
      </c>
      <c r="N28" s="72">
        <v>0</v>
      </c>
      <c r="P28" s="47">
        <f t="shared" si="5"/>
        <v>0</v>
      </c>
    </row>
    <row r="29" spans="1:16" x14ac:dyDescent="0.35">
      <c r="A29" s="46" t="s">
        <v>107</v>
      </c>
      <c r="C29" s="302"/>
      <c r="D29" s="251"/>
      <c r="E29" s="106"/>
      <c r="F29" s="106"/>
      <c r="G29" s="106"/>
      <c r="H29" s="171"/>
      <c r="I29" s="173"/>
      <c r="J29" s="167"/>
      <c r="K29" s="116">
        <f t="shared" si="4"/>
        <v>0</v>
      </c>
      <c r="L29" s="41">
        <f t="shared" si="4"/>
        <v>0</v>
      </c>
      <c r="M29" s="61">
        <f t="shared" si="4"/>
        <v>0</v>
      </c>
      <c r="N29" s="72">
        <v>0</v>
      </c>
      <c r="P29" s="47">
        <f t="shared" si="5"/>
        <v>0</v>
      </c>
    </row>
    <row r="30" spans="1:16" x14ac:dyDescent="0.35">
      <c r="C30" s="308"/>
      <c r="D30" s="68"/>
      <c r="E30" s="18"/>
      <c r="F30" s="18"/>
      <c r="G30" s="18"/>
      <c r="H30" s="90"/>
      <c r="I30" s="18"/>
      <c r="J30" s="11"/>
      <c r="K30" s="56"/>
      <c r="L30" s="56"/>
      <c r="M30" s="13"/>
      <c r="N30" s="4"/>
      <c r="P30" s="47"/>
    </row>
    <row r="31" spans="1:16" ht="15" thickBot="1" x14ac:dyDescent="0.4">
      <c r="A31" s="46" t="s">
        <v>14</v>
      </c>
      <c r="C31" s="309"/>
      <c r="D31" s="254">
        <v>0</v>
      </c>
      <c r="E31" s="109"/>
      <c r="F31" s="109"/>
      <c r="G31" s="110"/>
      <c r="H31" s="26"/>
      <c r="I31" s="115"/>
      <c r="J31" s="166"/>
      <c r="K31" s="164">
        <f>ROUND((SUM(J40:J43)+SUM(J47:J50)+SUM(K34:K37)/2)*K$45,2)</f>
        <v>0</v>
      </c>
      <c r="L31" s="132">
        <f>ROUND((SUM(K40:K43)+SUM(K47:K50)+SUM(L34:L37)/2)*L$45,2)</f>
        <v>0</v>
      </c>
      <c r="M31" s="80"/>
      <c r="P31" s="47">
        <f t="shared" si="5"/>
        <v>0</v>
      </c>
    </row>
    <row r="32" spans="1:16" x14ac:dyDescent="0.35">
      <c r="C32" s="98"/>
      <c r="D32" s="141"/>
      <c r="E32" s="31"/>
      <c r="F32" s="31"/>
      <c r="G32" s="31"/>
      <c r="H32" s="28"/>
      <c r="I32" s="31"/>
      <c r="J32" s="11"/>
      <c r="K32" s="17"/>
      <c r="L32" s="17"/>
      <c r="M32" s="11"/>
      <c r="P32" s="47"/>
    </row>
    <row r="33" spans="1:16" x14ac:dyDescent="0.35">
      <c r="A33" s="46" t="s">
        <v>51</v>
      </c>
      <c r="C33" s="98"/>
      <c r="D33" s="141"/>
      <c r="E33" s="31"/>
      <c r="F33" s="31"/>
      <c r="G33" s="31"/>
      <c r="H33" s="28"/>
      <c r="I33" s="31"/>
      <c r="J33" s="11"/>
      <c r="K33" s="17"/>
      <c r="L33" s="17"/>
      <c r="M33" s="11"/>
      <c r="P33" s="47"/>
    </row>
    <row r="34" spans="1:16" x14ac:dyDescent="0.35">
      <c r="A34" s="46" t="s">
        <v>24</v>
      </c>
      <c r="C34" s="40">
        <f t="shared" ref="C34:M37" si="6">C14-C26</f>
        <v>0</v>
      </c>
      <c r="D34" s="116">
        <f t="shared" si="6"/>
        <v>0</v>
      </c>
      <c r="E34" s="41">
        <f>E14-E26</f>
        <v>0</v>
      </c>
      <c r="F34" s="41">
        <f t="shared" si="6"/>
        <v>39391.689999999995</v>
      </c>
      <c r="G34" s="105">
        <f t="shared" si="6"/>
        <v>0</v>
      </c>
      <c r="H34" s="40">
        <f t="shared" si="6"/>
        <v>0</v>
      </c>
      <c r="I34" s="41">
        <f t="shared" si="6"/>
        <v>0</v>
      </c>
      <c r="J34" s="61">
        <f t="shared" si="6"/>
        <v>0</v>
      </c>
      <c r="K34" s="116">
        <f t="shared" si="6"/>
        <v>0</v>
      </c>
      <c r="L34" s="41">
        <f t="shared" si="6"/>
        <v>0</v>
      </c>
      <c r="M34" s="49">
        <f t="shared" si="6"/>
        <v>0</v>
      </c>
      <c r="P34" s="47"/>
    </row>
    <row r="35" spans="1:16" x14ac:dyDescent="0.35">
      <c r="A35" s="46" t="s">
        <v>105</v>
      </c>
      <c r="C35" s="40">
        <f t="shared" si="6"/>
        <v>0</v>
      </c>
      <c r="D35" s="116">
        <f t="shared" si="6"/>
        <v>0</v>
      </c>
      <c r="E35" s="41">
        <f t="shared" si="6"/>
        <v>0</v>
      </c>
      <c r="F35" s="41">
        <f t="shared" si="6"/>
        <v>9106.83</v>
      </c>
      <c r="G35" s="105">
        <f t="shared" si="6"/>
        <v>0</v>
      </c>
      <c r="H35" s="40">
        <f t="shared" si="6"/>
        <v>0</v>
      </c>
      <c r="I35" s="41">
        <f t="shared" si="6"/>
        <v>0</v>
      </c>
      <c r="J35" s="61">
        <f t="shared" si="6"/>
        <v>0</v>
      </c>
      <c r="K35" s="116">
        <f t="shared" si="6"/>
        <v>0</v>
      </c>
      <c r="L35" s="41">
        <f t="shared" si="6"/>
        <v>0</v>
      </c>
      <c r="M35" s="49">
        <f t="shared" si="6"/>
        <v>0</v>
      </c>
      <c r="P35" s="47"/>
    </row>
    <row r="36" spans="1:16" x14ac:dyDescent="0.35">
      <c r="A36" s="46" t="s">
        <v>106</v>
      </c>
      <c r="C36" s="40">
        <f t="shared" si="6"/>
        <v>0</v>
      </c>
      <c r="D36" s="116">
        <f t="shared" si="6"/>
        <v>0</v>
      </c>
      <c r="E36" s="41">
        <f t="shared" si="6"/>
        <v>0</v>
      </c>
      <c r="F36" s="41">
        <f t="shared" si="6"/>
        <v>11754.939999999999</v>
      </c>
      <c r="G36" s="105">
        <f t="shared" si="6"/>
        <v>0</v>
      </c>
      <c r="H36" s="40">
        <f t="shared" si="6"/>
        <v>0</v>
      </c>
      <c r="I36" s="41">
        <f t="shared" si="6"/>
        <v>0</v>
      </c>
      <c r="J36" s="61">
        <f t="shared" si="6"/>
        <v>0</v>
      </c>
      <c r="K36" s="116">
        <f t="shared" si="6"/>
        <v>0</v>
      </c>
      <c r="L36" s="41">
        <f t="shared" si="6"/>
        <v>0</v>
      </c>
      <c r="M36" s="49">
        <f t="shared" si="6"/>
        <v>0</v>
      </c>
      <c r="P36" s="47"/>
    </row>
    <row r="37" spans="1:16" x14ac:dyDescent="0.35">
      <c r="A37" s="46" t="s">
        <v>107</v>
      </c>
      <c r="C37" s="40">
        <f t="shared" si="6"/>
        <v>0</v>
      </c>
      <c r="D37" s="116">
        <f t="shared" si="6"/>
        <v>0</v>
      </c>
      <c r="E37" s="41">
        <f t="shared" si="6"/>
        <v>0</v>
      </c>
      <c r="F37" s="41">
        <f t="shared" si="6"/>
        <v>14253.19</v>
      </c>
      <c r="G37" s="105">
        <f t="shared" si="6"/>
        <v>0</v>
      </c>
      <c r="H37" s="40">
        <f t="shared" si="6"/>
        <v>0</v>
      </c>
      <c r="I37" s="41">
        <f t="shared" si="6"/>
        <v>0</v>
      </c>
      <c r="J37" s="61">
        <f t="shared" si="6"/>
        <v>0</v>
      </c>
      <c r="K37" s="116">
        <f t="shared" si="6"/>
        <v>0</v>
      </c>
      <c r="L37" s="41">
        <f t="shared" si="6"/>
        <v>0</v>
      </c>
      <c r="M37" s="49">
        <f t="shared" si="6"/>
        <v>0</v>
      </c>
      <c r="P37" s="47"/>
    </row>
    <row r="38" spans="1:16" x14ac:dyDescent="0.35">
      <c r="C38" s="98"/>
      <c r="D38" s="141"/>
      <c r="E38" s="31"/>
      <c r="F38" s="31"/>
      <c r="G38" s="31"/>
      <c r="H38" s="28"/>
      <c r="I38" s="31"/>
      <c r="J38" s="11"/>
      <c r="K38" s="17"/>
      <c r="L38" s="17"/>
      <c r="M38" s="11"/>
      <c r="P38" s="47"/>
    </row>
    <row r="39" spans="1:16" ht="15" thickBot="1" x14ac:dyDescent="0.4">
      <c r="A39" s="46" t="s">
        <v>52</v>
      </c>
      <c r="C39" s="101"/>
      <c r="D39" s="255"/>
      <c r="E39" s="31"/>
      <c r="F39" s="31"/>
      <c r="G39" s="31"/>
      <c r="H39" s="28"/>
      <c r="I39" s="31"/>
      <c r="J39" s="11"/>
      <c r="K39" s="17"/>
      <c r="L39" s="17"/>
      <c r="M39" s="11"/>
      <c r="P39" s="47"/>
    </row>
    <row r="40" spans="1:16" x14ac:dyDescent="0.35">
      <c r="A40" s="46" t="s">
        <v>24</v>
      </c>
      <c r="B40" s="310"/>
      <c r="C40" s="41">
        <f t="shared" ref="C40:M43" si="7">B40+C34+B47</f>
        <v>0</v>
      </c>
      <c r="D40" s="41">
        <f t="shared" si="7"/>
        <v>0</v>
      </c>
      <c r="E40" s="41">
        <f t="shared" si="7"/>
        <v>0</v>
      </c>
      <c r="F40" s="41">
        <f t="shared" si="7"/>
        <v>39391.689999999995</v>
      </c>
      <c r="G40" s="105">
        <f t="shared" si="7"/>
        <v>39391.689999999995</v>
      </c>
      <c r="H40" s="40">
        <f t="shared" si="7"/>
        <v>39391.689999999995</v>
      </c>
      <c r="I40" s="41">
        <f t="shared" si="7"/>
        <v>39391.689999999995</v>
      </c>
      <c r="J40" s="61">
        <f t="shared" si="7"/>
        <v>39391.689999999995</v>
      </c>
      <c r="K40" s="116">
        <f t="shared" si="7"/>
        <v>39391.689999999995</v>
      </c>
      <c r="L40" s="41">
        <f t="shared" si="7"/>
        <v>39391.689999999995</v>
      </c>
      <c r="M40" s="49">
        <f t="shared" si="7"/>
        <v>39391.689999999995</v>
      </c>
      <c r="P40" s="47"/>
    </row>
    <row r="41" spans="1:16" x14ac:dyDescent="0.35">
      <c r="A41" s="46" t="s">
        <v>105</v>
      </c>
      <c r="B41" s="317"/>
      <c r="C41" s="41">
        <f>B41+C35+B48</f>
        <v>0</v>
      </c>
      <c r="D41" s="41">
        <f t="shared" si="7"/>
        <v>0</v>
      </c>
      <c r="E41" s="41">
        <f t="shared" si="7"/>
        <v>0</v>
      </c>
      <c r="F41" s="41">
        <f t="shared" si="7"/>
        <v>9106.83</v>
      </c>
      <c r="G41" s="105">
        <f t="shared" si="7"/>
        <v>9106.83</v>
      </c>
      <c r="H41" s="40">
        <f t="shared" si="7"/>
        <v>9106.83</v>
      </c>
      <c r="I41" s="41">
        <f t="shared" si="7"/>
        <v>9106.83</v>
      </c>
      <c r="J41" s="61">
        <f t="shared" si="7"/>
        <v>9106.83</v>
      </c>
      <c r="K41" s="116">
        <f t="shared" si="7"/>
        <v>9106.83</v>
      </c>
      <c r="L41" s="41">
        <f t="shared" si="7"/>
        <v>9106.83</v>
      </c>
      <c r="M41" s="49">
        <f t="shared" si="7"/>
        <v>9106.83</v>
      </c>
      <c r="P41" s="47"/>
    </row>
    <row r="42" spans="1:16" x14ac:dyDescent="0.35">
      <c r="A42" s="46" t="s">
        <v>106</v>
      </c>
      <c r="B42" s="317"/>
      <c r="C42" s="41">
        <f>B42+C36+B49</f>
        <v>0</v>
      </c>
      <c r="D42" s="41">
        <f t="shared" si="7"/>
        <v>0</v>
      </c>
      <c r="E42" s="41">
        <f t="shared" si="7"/>
        <v>0</v>
      </c>
      <c r="F42" s="41">
        <f t="shared" si="7"/>
        <v>11754.939999999999</v>
      </c>
      <c r="G42" s="105">
        <f t="shared" si="7"/>
        <v>11754.939999999999</v>
      </c>
      <c r="H42" s="40">
        <f t="shared" si="7"/>
        <v>11754.939999999999</v>
      </c>
      <c r="I42" s="41">
        <f t="shared" si="7"/>
        <v>11754.939999999999</v>
      </c>
      <c r="J42" s="61">
        <f t="shared" si="7"/>
        <v>11754.939999999999</v>
      </c>
      <c r="K42" s="116">
        <f t="shared" si="7"/>
        <v>11754.939999999999</v>
      </c>
      <c r="L42" s="41">
        <f t="shared" si="7"/>
        <v>11754.939999999999</v>
      </c>
      <c r="M42" s="49">
        <f t="shared" si="7"/>
        <v>11754.939999999999</v>
      </c>
      <c r="P42" s="47"/>
    </row>
    <row r="43" spans="1:16" ht="15" thickBot="1" x14ac:dyDescent="0.4">
      <c r="A43" s="46" t="s">
        <v>107</v>
      </c>
      <c r="B43" s="311"/>
      <c r="C43" s="41">
        <f t="shared" ref="C43:M43" si="8">B43+C37+B50</f>
        <v>0</v>
      </c>
      <c r="D43" s="41">
        <f t="shared" si="7"/>
        <v>0</v>
      </c>
      <c r="E43" s="41">
        <f t="shared" si="7"/>
        <v>0</v>
      </c>
      <c r="F43" s="41">
        <f t="shared" si="8"/>
        <v>14253.19</v>
      </c>
      <c r="G43" s="105">
        <f t="shared" si="8"/>
        <v>14253.19</v>
      </c>
      <c r="H43" s="40">
        <f t="shared" si="8"/>
        <v>14253.19</v>
      </c>
      <c r="I43" s="41">
        <f t="shared" si="8"/>
        <v>14253.19</v>
      </c>
      <c r="J43" s="61">
        <f t="shared" si="8"/>
        <v>14253.19</v>
      </c>
      <c r="K43" s="116">
        <f t="shared" si="8"/>
        <v>14253.19</v>
      </c>
      <c r="L43" s="41">
        <f t="shared" si="8"/>
        <v>14253.19</v>
      </c>
      <c r="M43" s="49">
        <f t="shared" si="8"/>
        <v>14253.19</v>
      </c>
      <c r="P43" s="47"/>
    </row>
    <row r="44" spans="1:16" x14ac:dyDescent="0.35">
      <c r="C44" s="98"/>
      <c r="D44" s="141"/>
      <c r="E44" s="31"/>
      <c r="F44" s="31"/>
      <c r="G44" s="31"/>
      <c r="H44" s="28"/>
      <c r="I44" s="31"/>
      <c r="J44" s="11"/>
      <c r="K44" s="17"/>
      <c r="L44" s="17"/>
      <c r="M44" s="11"/>
      <c r="P44" s="47"/>
    </row>
    <row r="45" spans="1:16" x14ac:dyDescent="0.35">
      <c r="A45" s="39" t="s">
        <v>48</v>
      </c>
      <c r="B45" s="39"/>
      <c r="C45" s="101"/>
      <c r="D45" s="255"/>
      <c r="E45" s="357">
        <v>0</v>
      </c>
      <c r="F45" s="357">
        <v>0</v>
      </c>
      <c r="G45" s="357">
        <v>0</v>
      </c>
      <c r="H45" s="358">
        <v>0</v>
      </c>
      <c r="I45" s="357">
        <v>0</v>
      </c>
      <c r="J45" s="359">
        <v>0</v>
      </c>
      <c r="K45" s="357">
        <v>0</v>
      </c>
      <c r="L45" s="357">
        <v>0</v>
      </c>
      <c r="M45" s="91"/>
      <c r="P45" s="47"/>
    </row>
    <row r="46" spans="1:16" x14ac:dyDescent="0.35">
      <c r="A46" s="39" t="s">
        <v>36</v>
      </c>
      <c r="B46" s="39"/>
      <c r="C46" s="98"/>
      <c r="D46" s="141"/>
      <c r="E46" s="31"/>
      <c r="F46" s="31"/>
      <c r="G46" s="31"/>
      <c r="H46" s="28"/>
      <c r="I46" s="31"/>
      <c r="J46" s="11"/>
      <c r="K46" s="17"/>
      <c r="L46" s="17"/>
      <c r="M46" s="11"/>
      <c r="N46" s="71"/>
      <c r="P46" s="47"/>
    </row>
    <row r="47" spans="1:16" x14ac:dyDescent="0.35">
      <c r="A47" s="46" t="s">
        <v>24</v>
      </c>
      <c r="C47" s="305"/>
      <c r="D47" s="116"/>
      <c r="E47" s="41">
        <f>ROUND((C40+C47+D47+E34/2)*E$45,2)</f>
        <v>0</v>
      </c>
      <c r="F47" s="41">
        <f t="shared" ref="F47:L50" si="9">ROUND((E40+E47+F34/2)*F$45,2)</f>
        <v>0</v>
      </c>
      <c r="G47" s="105">
        <f t="shared" si="9"/>
        <v>0</v>
      </c>
      <c r="H47" s="40">
        <f>ROUND((G40+G47+H34/2)*H$45,2)</f>
        <v>0</v>
      </c>
      <c r="I47" s="116">
        <f t="shared" si="9"/>
        <v>0</v>
      </c>
      <c r="J47" s="61">
        <f t="shared" si="9"/>
        <v>0</v>
      </c>
      <c r="K47" s="116">
        <f t="shared" si="9"/>
        <v>0</v>
      </c>
      <c r="L47" s="116">
        <f t="shared" si="9"/>
        <v>0</v>
      </c>
      <c r="M47" s="49"/>
      <c r="P47" s="47">
        <f>-SUM(K47:M47)</f>
        <v>0</v>
      </c>
    </row>
    <row r="48" spans="1:16" x14ac:dyDescent="0.35">
      <c r="A48" s="46" t="s">
        <v>105</v>
      </c>
      <c r="C48" s="316"/>
      <c r="D48" s="256"/>
      <c r="E48" s="41">
        <f t="shared" ref="E48:E50" si="10">ROUND((C41+C48+D48+E35/2)*E$45,2)</f>
        <v>0</v>
      </c>
      <c r="F48" s="41">
        <f t="shared" si="9"/>
        <v>0</v>
      </c>
      <c r="G48" s="105">
        <f t="shared" si="9"/>
        <v>0</v>
      </c>
      <c r="H48" s="40">
        <f>ROUND((G41+G48+H35/2)*H$45,2)</f>
        <v>0</v>
      </c>
      <c r="I48" s="116">
        <f t="shared" si="9"/>
        <v>0</v>
      </c>
      <c r="J48" s="61">
        <f t="shared" si="9"/>
        <v>0</v>
      </c>
      <c r="K48" s="116">
        <f t="shared" si="9"/>
        <v>0</v>
      </c>
      <c r="L48" s="116">
        <f t="shared" si="9"/>
        <v>0</v>
      </c>
      <c r="M48" s="49"/>
      <c r="P48" s="47">
        <f t="shared" ref="P48:P50" si="11">-SUM(K48:M48)</f>
        <v>0</v>
      </c>
    </row>
    <row r="49" spans="1:16" x14ac:dyDescent="0.35">
      <c r="A49" s="46" t="s">
        <v>106</v>
      </c>
      <c r="C49" s="316"/>
      <c r="D49" s="256"/>
      <c r="E49" s="41">
        <f t="shared" si="10"/>
        <v>0</v>
      </c>
      <c r="F49" s="41">
        <f t="shared" si="9"/>
        <v>0</v>
      </c>
      <c r="G49" s="105">
        <f t="shared" si="9"/>
        <v>0</v>
      </c>
      <c r="H49" s="40">
        <f>ROUND((G42+G49+H36/2)*H$45,2)</f>
        <v>0</v>
      </c>
      <c r="I49" s="116">
        <f t="shared" si="9"/>
        <v>0</v>
      </c>
      <c r="J49" s="61">
        <f t="shared" si="9"/>
        <v>0</v>
      </c>
      <c r="K49" s="116">
        <f t="shared" si="9"/>
        <v>0</v>
      </c>
      <c r="L49" s="116">
        <f t="shared" si="9"/>
        <v>0</v>
      </c>
      <c r="M49" s="49"/>
      <c r="P49" s="47">
        <f t="shared" si="11"/>
        <v>0</v>
      </c>
    </row>
    <row r="50" spans="1:16" ht="15" thickBot="1" x14ac:dyDescent="0.4">
      <c r="A50" s="46" t="s">
        <v>107</v>
      </c>
      <c r="C50" s="312"/>
      <c r="D50" s="256"/>
      <c r="E50" s="41">
        <f t="shared" si="10"/>
        <v>0</v>
      </c>
      <c r="F50" s="41">
        <f t="shared" si="9"/>
        <v>0</v>
      </c>
      <c r="G50" s="105">
        <f t="shared" si="9"/>
        <v>0</v>
      </c>
      <c r="H50" s="40">
        <f>ROUND((G43+G50+H37/2)*H$45,2)</f>
        <v>0</v>
      </c>
      <c r="I50" s="116">
        <f t="shared" si="9"/>
        <v>0</v>
      </c>
      <c r="J50" s="61">
        <f t="shared" si="9"/>
        <v>0</v>
      </c>
      <c r="K50" s="116">
        <f t="shared" si="9"/>
        <v>0</v>
      </c>
      <c r="L50" s="116">
        <f t="shared" si="9"/>
        <v>0</v>
      </c>
      <c r="M50" s="49"/>
      <c r="P50" s="47">
        <f t="shared" si="11"/>
        <v>0</v>
      </c>
    </row>
    <row r="51" spans="1:16" ht="15.5" thickTop="1" thickBot="1" x14ac:dyDescent="0.4">
      <c r="A51" s="54" t="s">
        <v>22</v>
      </c>
      <c r="B51" s="54"/>
      <c r="C51" s="111">
        <v>0</v>
      </c>
      <c r="D51" s="257"/>
      <c r="E51" s="32">
        <f t="shared" ref="E51:M51" si="12">SUM(E47:E50)+SUM(E40:E43)-E54</f>
        <v>0</v>
      </c>
      <c r="F51" s="32">
        <f t="shared" si="12"/>
        <v>0</v>
      </c>
      <c r="G51" s="50">
        <f t="shared" si="12"/>
        <v>0</v>
      </c>
      <c r="H51" s="117">
        <f t="shared" si="12"/>
        <v>0</v>
      </c>
      <c r="I51" s="32">
        <f t="shared" si="12"/>
        <v>0</v>
      </c>
      <c r="J51" s="62">
        <f t="shared" si="12"/>
        <v>0</v>
      </c>
      <c r="K51" s="153">
        <f t="shared" si="12"/>
        <v>0</v>
      </c>
      <c r="L51" s="32">
        <f t="shared" si="12"/>
        <v>0</v>
      </c>
      <c r="M51" s="95">
        <f t="shared" si="12"/>
        <v>0</v>
      </c>
      <c r="P51" s="47"/>
    </row>
    <row r="52" spans="1:16" ht="15.5" thickTop="1" thickBot="1" x14ac:dyDescent="0.4">
      <c r="A52" s="54" t="s">
        <v>23</v>
      </c>
      <c r="B52" s="54"/>
      <c r="C52" s="104">
        <v>0</v>
      </c>
      <c r="D52" s="258"/>
      <c r="E52" s="32">
        <f>SUM(E47:E50)-E31</f>
        <v>0</v>
      </c>
      <c r="F52" s="32">
        <f t="shared" ref="F52:M52" si="13">SUM(F47:F50)-F31</f>
        <v>0</v>
      </c>
      <c r="G52" s="50">
        <f t="shared" si="13"/>
        <v>0</v>
      </c>
      <c r="H52" s="51">
        <f t="shared" si="13"/>
        <v>0</v>
      </c>
      <c r="I52" s="32">
        <f t="shared" si="13"/>
        <v>0</v>
      </c>
      <c r="J52" s="62">
        <f t="shared" si="13"/>
        <v>0</v>
      </c>
      <c r="K52" s="153">
        <f t="shared" si="13"/>
        <v>0</v>
      </c>
      <c r="L52" s="32">
        <f t="shared" si="13"/>
        <v>0</v>
      </c>
      <c r="M52" s="95">
        <f t="shared" si="13"/>
        <v>0</v>
      </c>
      <c r="P52" s="47"/>
    </row>
    <row r="53" spans="1:16" ht="15.5" thickTop="1" thickBot="1" x14ac:dyDescent="0.4">
      <c r="C53" s="98"/>
      <c r="D53" s="141"/>
      <c r="E53" s="17"/>
      <c r="F53" s="17"/>
      <c r="G53" s="17"/>
      <c r="H53" s="10"/>
      <c r="I53" s="17"/>
      <c r="J53" s="11"/>
      <c r="K53" s="17"/>
      <c r="L53" s="17"/>
      <c r="M53" s="11"/>
      <c r="P53" s="47"/>
    </row>
    <row r="54" spans="1:16" ht="15" thickBot="1" x14ac:dyDescent="0.4">
      <c r="A54" s="46" t="s">
        <v>35</v>
      </c>
      <c r="B54" s="113">
        <f>SUM(B40:B43)</f>
        <v>0</v>
      </c>
      <c r="C54" s="40">
        <f>(SUM(C14:C17)-SUM(C26:C29))+SUM(C47:C50)+B54</f>
        <v>0</v>
      </c>
      <c r="D54" s="116"/>
      <c r="E54" s="41">
        <f>(SUM(E14:E17)-SUM(E26:E29))+SUM(E47:E50)+C54</f>
        <v>0</v>
      </c>
      <c r="F54" s="41">
        <f t="shared" ref="F54:M54" si="14">(SUM(F14:F17)-SUM(F26:F29))+SUM(F47:F50)+E54</f>
        <v>74506.649999999994</v>
      </c>
      <c r="G54" s="105">
        <f t="shared" si="14"/>
        <v>74506.649999999994</v>
      </c>
      <c r="H54" s="40">
        <f t="shared" si="14"/>
        <v>74506.649999999994</v>
      </c>
      <c r="I54" s="41">
        <f t="shared" si="14"/>
        <v>74506.649999999994</v>
      </c>
      <c r="J54" s="61">
        <f t="shared" si="14"/>
        <v>74506.649999999994</v>
      </c>
      <c r="K54" s="116">
        <f t="shared" si="14"/>
        <v>74506.649999999994</v>
      </c>
      <c r="L54" s="41">
        <f t="shared" si="14"/>
        <v>74506.649999999994</v>
      </c>
      <c r="M54" s="61">
        <f t="shared" si="14"/>
        <v>74506.649999999994</v>
      </c>
    </row>
    <row r="55" spans="1:16" x14ac:dyDescent="0.35">
      <c r="A55" s="46" t="s">
        <v>12</v>
      </c>
      <c r="C55" s="114"/>
      <c r="D55" s="17"/>
      <c r="E55" s="56"/>
      <c r="F55" s="56"/>
      <c r="G55" s="56"/>
      <c r="H55" s="12"/>
      <c r="I55" s="56"/>
      <c r="J55" s="11"/>
      <c r="K55" s="17"/>
      <c r="L55" s="17"/>
      <c r="M55" s="11"/>
    </row>
    <row r="56" spans="1:16" ht="15" thickBot="1" x14ac:dyDescent="0.4">
      <c r="B56" s="17"/>
      <c r="C56" s="43"/>
      <c r="D56" s="44"/>
      <c r="E56" s="44"/>
      <c r="F56" s="44"/>
      <c r="G56" s="44"/>
      <c r="H56" s="43"/>
      <c r="I56" s="44"/>
      <c r="J56" s="45"/>
      <c r="K56" s="44"/>
      <c r="L56" s="44"/>
      <c r="M56" s="45"/>
    </row>
    <row r="58" spans="1:16" x14ac:dyDescent="0.35">
      <c r="A58" s="69" t="s">
        <v>11</v>
      </c>
      <c r="B58" s="69"/>
      <c r="C58" s="69"/>
      <c r="D58" s="69"/>
    </row>
    <row r="59" spans="1:16" x14ac:dyDescent="0.35">
      <c r="A59" s="368" t="s">
        <v>282</v>
      </c>
      <c r="B59" s="368"/>
      <c r="C59" s="368"/>
      <c r="D59" s="368"/>
      <c r="E59" s="368"/>
      <c r="F59" s="368"/>
      <c r="G59" s="368"/>
      <c r="H59" s="368"/>
      <c r="I59" s="368"/>
      <c r="J59" s="368"/>
      <c r="K59" s="352"/>
      <c r="L59" s="352"/>
      <c r="M59" s="352"/>
    </row>
    <row r="60" spans="1:16" ht="33.75" customHeight="1" x14ac:dyDescent="0.35">
      <c r="A60" s="368" t="s">
        <v>290</v>
      </c>
      <c r="B60" s="368"/>
      <c r="C60" s="368"/>
      <c r="D60" s="368"/>
      <c r="E60" s="368"/>
      <c r="F60" s="368"/>
      <c r="G60" s="368"/>
      <c r="H60" s="368"/>
      <c r="I60" s="368"/>
      <c r="J60" s="368"/>
      <c r="K60" s="352"/>
      <c r="L60" s="352"/>
      <c r="M60" s="352"/>
    </row>
    <row r="61" spans="1:16" ht="55.9" customHeight="1" x14ac:dyDescent="0.35">
      <c r="A61" s="368" t="s">
        <v>276</v>
      </c>
      <c r="B61" s="368"/>
      <c r="C61" s="368"/>
      <c r="D61" s="368"/>
      <c r="E61" s="368"/>
      <c r="F61" s="368"/>
      <c r="G61" s="368"/>
      <c r="H61" s="368"/>
      <c r="I61" s="368"/>
      <c r="J61" s="368"/>
      <c r="K61" s="352"/>
      <c r="L61" s="352"/>
      <c r="M61" s="352"/>
    </row>
    <row r="62" spans="1:16" x14ac:dyDescent="0.35">
      <c r="A62" s="368" t="s">
        <v>304</v>
      </c>
      <c r="B62" s="368"/>
      <c r="C62" s="368"/>
      <c r="D62" s="368"/>
      <c r="E62" s="368"/>
      <c r="F62" s="368"/>
      <c r="G62" s="368"/>
      <c r="H62" s="368"/>
      <c r="I62" s="368"/>
      <c r="J62" s="368"/>
    </row>
    <row r="63" spans="1:16" x14ac:dyDescent="0.35">
      <c r="A63" s="63" t="s">
        <v>306</v>
      </c>
      <c r="B63" s="63"/>
      <c r="C63" s="365"/>
      <c r="D63" s="3"/>
      <c r="J63" s="4"/>
    </row>
    <row r="64" spans="1:16" x14ac:dyDescent="0.35">
      <c r="A64" s="3" t="s">
        <v>50</v>
      </c>
      <c r="B64" s="3"/>
      <c r="C64" s="3"/>
      <c r="D64" s="3"/>
      <c r="J64" s="4"/>
    </row>
    <row r="65" spans="1:14" x14ac:dyDescent="0.35">
      <c r="A65" s="3"/>
    </row>
    <row r="66" spans="1:14" ht="36" customHeight="1" x14ac:dyDescent="0.35">
      <c r="A66" s="378"/>
      <c r="B66" s="378"/>
      <c r="C66" s="378"/>
      <c r="D66" s="378"/>
      <c r="E66" s="378"/>
      <c r="F66" s="378"/>
      <c r="G66" s="378"/>
    </row>
    <row r="74" spans="1:14" x14ac:dyDescent="0.35">
      <c r="N74" s="8"/>
    </row>
  </sheetData>
  <mergeCells count="8">
    <mergeCell ref="A66:G66"/>
    <mergeCell ref="A62:J62"/>
    <mergeCell ref="E10:G10"/>
    <mergeCell ref="H10:J10"/>
    <mergeCell ref="K10:M10"/>
    <mergeCell ref="A59:J59"/>
    <mergeCell ref="A60:J60"/>
    <mergeCell ref="A61:J61"/>
  </mergeCells>
  <pageMargins left="0.2" right="0.2" top="0.75" bottom="0.25" header="0.3" footer="0.3"/>
  <pageSetup scale="54" orientation="landscape" r:id="rId1"/>
  <headerFooter>
    <oddHeader>&amp;C&amp;F &amp;A&amp;R&amp;"Arial"&amp;10&amp;K000000CONFIDENTIAL</oddHeader>
    <oddFooter xml:space="preserve">&amp;R_x000D_&amp;1#&amp;"Calibri"&amp;10&amp;KA80000 Restricted – Sensitive 
</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41"/>
  <sheetViews>
    <sheetView workbookViewId="0">
      <selection activeCell="E10" sqref="E10"/>
    </sheetView>
  </sheetViews>
  <sheetFormatPr defaultRowHeight="14.5" x14ac:dyDescent="0.35"/>
  <cols>
    <col min="1" max="1" width="24.7265625" customWidth="1"/>
    <col min="2" max="2" width="16.1796875" customWidth="1"/>
    <col min="3" max="3" width="15.1796875" customWidth="1"/>
  </cols>
  <sheetData>
    <row r="1" spans="1:23" s="46" customFormat="1" x14ac:dyDescent="0.35">
      <c r="A1" s="3" t="str">
        <f>+'PPC Cycle 3'!A1</f>
        <v>Evergy Missouri West, Inc. - DSIM Rider Update Filed 06/01/2024</v>
      </c>
    </row>
    <row r="2" spans="1:23" x14ac:dyDescent="0.35">
      <c r="A2" s="9" t="str">
        <f>+'PPC Cycle 3'!A2</f>
        <v>Projections for Cycle 3 July 2024 - June 2025 DSIM</v>
      </c>
    </row>
    <row r="3" spans="1:23" s="46" customFormat="1" x14ac:dyDescent="0.35">
      <c r="A3" s="9"/>
    </row>
    <row r="4" spans="1:23" ht="40.5" customHeight="1" x14ac:dyDescent="0.35">
      <c r="B4" s="367" t="s">
        <v>63</v>
      </c>
      <c r="C4" s="367"/>
    </row>
    <row r="5" spans="1:23" ht="29" x14ac:dyDescent="0.35">
      <c r="B5" s="142" t="s">
        <v>64</v>
      </c>
      <c r="C5" s="6" t="s">
        <v>29</v>
      </c>
    </row>
    <row r="6" spans="1:23" x14ac:dyDescent="0.35">
      <c r="A6" s="20" t="s">
        <v>24</v>
      </c>
      <c r="B6" s="23">
        <f>SUM(0)</f>
        <v>0</v>
      </c>
      <c r="C6" s="85">
        <f>SUM(0)</f>
        <v>0</v>
      </c>
    </row>
    <row r="7" spans="1:23" x14ac:dyDescent="0.35">
      <c r="A7" s="30" t="s">
        <v>25</v>
      </c>
      <c r="B7" s="23">
        <f>+B13</f>
        <v>0</v>
      </c>
      <c r="C7" s="85">
        <f>+C13</f>
        <v>0</v>
      </c>
    </row>
    <row r="8" spans="1:23" x14ac:dyDescent="0.35">
      <c r="A8" s="20" t="s">
        <v>5</v>
      </c>
      <c r="B8" s="24">
        <f>SUM(B6:B7)</f>
        <v>0</v>
      </c>
      <c r="C8" s="22">
        <f>SUM(C6:C7)</f>
        <v>0</v>
      </c>
    </row>
    <row r="9" spans="1:23" s="46" customFormat="1" x14ac:dyDescent="0.35">
      <c r="A9" s="20"/>
    </row>
    <row r="10" spans="1:23" s="46" customFormat="1" x14ac:dyDescent="0.35">
      <c r="A10" s="20" t="s">
        <v>105</v>
      </c>
      <c r="B10" s="23">
        <f>SUM(0)</f>
        <v>0</v>
      </c>
      <c r="C10" s="85">
        <f>SUM(0)</f>
        <v>0</v>
      </c>
    </row>
    <row r="11" spans="1:23" s="46" customFormat="1" x14ac:dyDescent="0.35">
      <c r="A11" s="20" t="s">
        <v>106</v>
      </c>
      <c r="B11" s="23">
        <f t="shared" ref="B11:C12" si="0">SUM(0)</f>
        <v>0</v>
      </c>
      <c r="C11" s="85">
        <f t="shared" si="0"/>
        <v>0</v>
      </c>
    </row>
    <row r="12" spans="1:23" s="46" customFormat="1" x14ac:dyDescent="0.35">
      <c r="A12" s="20" t="s">
        <v>107</v>
      </c>
      <c r="B12" s="23">
        <f t="shared" si="0"/>
        <v>0</v>
      </c>
      <c r="C12" s="85">
        <f t="shared" si="0"/>
        <v>0</v>
      </c>
    </row>
    <row r="13" spans="1:23" x14ac:dyDescent="0.35">
      <c r="A13" s="30" t="s">
        <v>109</v>
      </c>
      <c r="B13" s="24">
        <f>SUM(B10:B12)</f>
        <v>0</v>
      </c>
      <c r="C13" s="22">
        <f>SUM(C10:C12)</f>
        <v>0</v>
      </c>
    </row>
    <row r="14" spans="1:23" x14ac:dyDescent="0.35">
      <c r="A14" s="46"/>
      <c r="B14" s="46"/>
      <c r="C14" s="46"/>
    </row>
    <row r="15" spans="1:23" x14ac:dyDescent="0.35">
      <c r="A15" s="69" t="s">
        <v>30</v>
      </c>
      <c r="B15" s="20"/>
      <c r="C15" s="21"/>
      <c r="N15" s="1"/>
      <c r="O15" s="1"/>
      <c r="P15" s="1"/>
      <c r="Q15" s="1"/>
      <c r="R15" s="1"/>
      <c r="S15" s="1"/>
      <c r="T15" s="1"/>
      <c r="U15" s="1"/>
      <c r="V15" s="1"/>
      <c r="W15" s="1"/>
    </row>
    <row r="16" spans="1:23" s="39" customFormat="1" ht="34.5" customHeight="1" x14ac:dyDescent="0.35">
      <c r="A16" s="378" t="s">
        <v>221</v>
      </c>
      <c r="B16" s="378"/>
      <c r="C16" s="378"/>
      <c r="D16" s="378"/>
      <c r="E16" s="378"/>
      <c r="F16" s="378"/>
      <c r="G16" s="378"/>
      <c r="H16" s="378"/>
      <c r="I16" s="378"/>
      <c r="J16" s="378"/>
      <c r="K16" s="378"/>
      <c r="L16" s="378"/>
      <c r="M16" s="378"/>
    </row>
    <row r="17" spans="1:13" s="39" customFormat="1" x14ac:dyDescent="0.35">
      <c r="A17" s="379" t="s">
        <v>172</v>
      </c>
      <c r="B17" s="379"/>
      <c r="C17" s="379"/>
      <c r="D17" s="379"/>
      <c r="E17" s="379"/>
      <c r="F17" s="379"/>
      <c r="G17" s="379"/>
      <c r="H17" s="379"/>
      <c r="I17" s="379"/>
      <c r="J17" s="379"/>
      <c r="K17" s="379"/>
      <c r="L17" s="379"/>
      <c r="M17" s="379"/>
    </row>
    <row r="29" spans="1:13" x14ac:dyDescent="0.35">
      <c r="E29" s="247"/>
    </row>
    <row r="37" spans="2:3" x14ac:dyDescent="0.35">
      <c r="B37" s="8"/>
      <c r="C37" s="8"/>
    </row>
    <row r="41" spans="2:3" x14ac:dyDescent="0.35">
      <c r="B41" s="8"/>
      <c r="C41" s="8"/>
    </row>
  </sheetData>
  <mergeCells count="3">
    <mergeCell ref="B4:C4"/>
    <mergeCell ref="A16:M16"/>
    <mergeCell ref="A17:M17"/>
  </mergeCells>
  <pageMargins left="0.2" right="0.2" top="0.75" bottom="0.25" header="0.3" footer="0.3"/>
  <pageSetup scale="96" orientation="landscape" r:id="rId1"/>
  <headerFooter>
    <oddHeader>&amp;C&amp;F &amp;A&amp;R&amp;"Arial"&amp;10&amp;K000000CONFIDENTIAL</oddHeader>
    <oddFooter xml:space="preserve">&amp;R_x000D_&amp;1#&amp;"Calibri"&amp;10&amp;KA80000 Restricted – Sensitive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DA52-1042-45D8-A4CB-A6813B156E39}">
  <sheetPr>
    <pageSetUpPr fitToPage="1"/>
  </sheetPr>
  <dimension ref="A1:W38"/>
  <sheetViews>
    <sheetView workbookViewId="0">
      <selection activeCell="E10" sqref="E10"/>
    </sheetView>
  </sheetViews>
  <sheetFormatPr defaultColWidth="9.1796875" defaultRowHeight="14.5" x14ac:dyDescent="0.35"/>
  <cols>
    <col min="1" max="1" width="24.7265625" style="46" customWidth="1"/>
    <col min="2" max="2" width="16.1796875" style="46" customWidth="1"/>
    <col min="3" max="3" width="15.1796875" style="46" customWidth="1"/>
    <col min="4" max="4" width="11.54296875" style="46" bestFit="1" customWidth="1"/>
    <col min="5" max="5" width="10.54296875" style="46" bestFit="1" customWidth="1"/>
    <col min="6" max="6" width="11.54296875" style="46" bestFit="1" customWidth="1"/>
    <col min="7" max="16384" width="9.1796875" style="46"/>
  </cols>
  <sheetData>
    <row r="1" spans="1:23" x14ac:dyDescent="0.35">
      <c r="A1" s="3" t="str">
        <f>+'PPC Cycle 3'!A1</f>
        <v>Evergy Missouri West, Inc. - DSIM Rider Update Filed 06/01/2024</v>
      </c>
    </row>
    <row r="2" spans="1:23" x14ac:dyDescent="0.35">
      <c r="A2" s="9" t="str">
        <f>+'PPC Cycle 3'!A2</f>
        <v>Projections for Cycle 3 July 2024 - June 2025 DSIM</v>
      </c>
    </row>
    <row r="3" spans="1:23" x14ac:dyDescent="0.35">
      <c r="A3" s="9"/>
    </row>
    <row r="4" spans="1:23" ht="40.5" customHeight="1" x14ac:dyDescent="0.35">
      <c r="B4" s="367" t="s">
        <v>111</v>
      </c>
      <c r="C4" s="367"/>
    </row>
    <row r="5" spans="1:23" ht="72.5" x14ac:dyDescent="0.35">
      <c r="B5" s="142" t="s">
        <v>64</v>
      </c>
      <c r="C5" s="48" t="s">
        <v>29</v>
      </c>
      <c r="D5" s="269" t="s">
        <v>271</v>
      </c>
      <c r="E5" s="269" t="s">
        <v>308</v>
      </c>
      <c r="F5" s="269" t="s">
        <v>277</v>
      </c>
    </row>
    <row r="6" spans="1:23" x14ac:dyDescent="0.35">
      <c r="A6" s="20" t="s">
        <v>24</v>
      </c>
      <c r="B6" s="23">
        <f>ROUND(SUM('[13]Monthly TD Calc-PY1-3'!$BG461:$BR461),2)+ROUND(SUM('[13]Monthly TD Calc-PY4'!$BG469:$BR469),2)+ROUND(SUM('[13]Monthly TD Calc-PY5'!$BG569:$BR569),2)</f>
        <v>45354810.380000003</v>
      </c>
      <c r="C6" s="85">
        <f>SUM(D6:F6)</f>
        <v>1997976.92</v>
      </c>
      <c r="D6" s="214">
        <f>+ROUND(SUM('[13]Monthly TD Calc-PY4'!$BG575:$BR575),2)</f>
        <v>638090.46</v>
      </c>
      <c r="E6" s="214">
        <f>+ROUND(SUM('[13]Monthly TD Calc-PY5'!$BG701:$BR701),2)</f>
        <v>287813.57</v>
      </c>
      <c r="F6" s="214">
        <f>ROUND(SUM('[13]Monthly TD Calc-PY1-3'!$BG563:$BR563),2)</f>
        <v>1072072.8899999999</v>
      </c>
      <c r="G6" s="39"/>
      <c r="H6" s="39"/>
    </row>
    <row r="7" spans="1:23" x14ac:dyDescent="0.35">
      <c r="A7" s="20" t="s">
        <v>105</v>
      </c>
      <c r="B7" s="23">
        <f>ROUND(SUM('[13]Monthly TD Calc-PY1-3'!$BG462:$BR462),2)+ROUND(SUM('[13]Monthly TD Calc-PY4'!$BG470:$BR470),2)+ROUND(SUM('[13]Monthly TD Calc-PY5'!$BG570:$BR570),2)</f>
        <v>20421331.079999998</v>
      </c>
      <c r="C7" s="85">
        <f>SUM(D7:F7)</f>
        <v>859788.4</v>
      </c>
      <c r="D7" s="214">
        <f>+ROUND(SUM('[13]Monthly TD Calc-PY4'!$BG576:$BR576),2)</f>
        <v>277277.07</v>
      </c>
      <c r="E7" s="214">
        <f>+ROUND(SUM('[13]Monthly TD Calc-PY5'!$BG702:$BR702),2)</f>
        <v>235991.18</v>
      </c>
      <c r="F7" s="214">
        <f>ROUND(SUM('[13]Monthly TD Calc-PY1-3'!$BG564:$BR564),2)</f>
        <v>346520.15</v>
      </c>
      <c r="G7" s="39"/>
      <c r="H7" s="39"/>
    </row>
    <row r="8" spans="1:23" x14ac:dyDescent="0.35">
      <c r="A8" s="20" t="s">
        <v>106</v>
      </c>
      <c r="B8" s="23">
        <f>ROUND(SUM('[13]Monthly TD Calc-PY1-3'!$BG464:$BR464),2)+ROUND(SUM('[13]Monthly TD Calc-PY4'!$BG472:$BR472),2)+ROUND(SUM('[13]Monthly TD Calc-PY5'!$BG572:$BR572),2)</f>
        <v>32113523.510000002</v>
      </c>
      <c r="C8" s="85">
        <f>SUM(D8:F8)</f>
        <v>703304.16999999993</v>
      </c>
      <c r="D8" s="214">
        <f>+ROUND(SUM('[13]Monthly TD Calc-PY4'!$BG578:$BR578),2)</f>
        <v>206117.36</v>
      </c>
      <c r="E8" s="214">
        <f>+ROUND(SUM('[13]Monthly TD Calc-PY5'!$BG704:$BR704),2)</f>
        <v>125067.13</v>
      </c>
      <c r="F8" s="214">
        <f>ROUND(SUM('[13]Monthly TD Calc-PY1-3'!$BG566:$BR566),2)</f>
        <v>372119.68</v>
      </c>
      <c r="G8" s="39"/>
      <c r="H8" s="39"/>
    </row>
    <row r="9" spans="1:23" x14ac:dyDescent="0.35">
      <c r="A9" s="20" t="s">
        <v>107</v>
      </c>
      <c r="B9" s="23">
        <f>ROUND(SUM('[13]Monthly TD Calc-PY1-3'!$BG465:$BR465),2)+ROUND(SUM('[13]Monthly TD Calc-PY4'!$BG473:$BR473),2)+ROUND(SUM('[13]Monthly TD Calc-PY5'!$BG573:$BR573),2)</f>
        <v>12814028.98</v>
      </c>
      <c r="C9" s="85">
        <f>SUM(D9:F9)</f>
        <v>110965.78</v>
      </c>
      <c r="D9" s="214">
        <f>+ROUND(SUM('[13]Monthly TD Calc-PY4'!$BG579:$BR579),2)</f>
        <v>63432.35</v>
      </c>
      <c r="E9" s="214">
        <f>+ROUND(SUM('[13]Monthly TD Calc-PY5'!$BG705:$BR705),2)</f>
        <v>24024.37</v>
      </c>
      <c r="F9" s="214">
        <f>ROUND(SUM('[13]Monthly TD Calc-PY1-3'!$BG567:$BR567),2)</f>
        <v>23509.06</v>
      </c>
      <c r="G9" s="39"/>
      <c r="H9" s="39"/>
    </row>
    <row r="10" spans="1:23" x14ac:dyDescent="0.35">
      <c r="A10" s="30" t="s">
        <v>5</v>
      </c>
      <c r="B10" s="24">
        <f>SUM(B6:B9)</f>
        <v>110703693.95</v>
      </c>
      <c r="C10" s="24">
        <f>SUM(C6:C9)</f>
        <v>3672035.2699999996</v>
      </c>
      <c r="D10" s="24">
        <f t="shared" ref="D10:E10" si="0">SUM(D6:D9)</f>
        <v>1184917.2400000002</v>
      </c>
      <c r="E10" s="24">
        <f t="shared" si="0"/>
        <v>672896.25</v>
      </c>
      <c r="F10" s="24">
        <f t="shared" ref="F10" si="1">SUM(F6:F9)</f>
        <v>1814221.78</v>
      </c>
      <c r="Q10" s="340"/>
    </row>
    <row r="12" spans="1:23" x14ac:dyDescent="0.35">
      <c r="A12" s="69" t="s">
        <v>30</v>
      </c>
      <c r="B12" s="20"/>
      <c r="C12" s="21"/>
      <c r="N12" s="1"/>
      <c r="O12" s="1"/>
      <c r="P12" s="1"/>
      <c r="Q12" s="1"/>
      <c r="R12" s="1"/>
      <c r="S12" s="1"/>
      <c r="T12" s="1"/>
      <c r="U12" s="1"/>
      <c r="V12" s="1"/>
      <c r="W12" s="1"/>
    </row>
    <row r="13" spans="1:23" s="39" customFormat="1" ht="45.65" customHeight="1" x14ac:dyDescent="0.35">
      <c r="A13" s="366" t="s">
        <v>291</v>
      </c>
      <c r="B13" s="366"/>
      <c r="C13" s="366"/>
      <c r="D13" s="366"/>
      <c r="E13" s="366"/>
      <c r="F13" s="273"/>
      <c r="G13" s="273"/>
      <c r="H13" s="273"/>
      <c r="I13" s="273"/>
      <c r="J13" s="273"/>
      <c r="K13" s="273"/>
      <c r="L13" s="273"/>
      <c r="M13" s="273"/>
    </row>
    <row r="14" spans="1:23" s="39" customFormat="1" x14ac:dyDescent="0.35">
      <c r="A14" s="379" t="s">
        <v>307</v>
      </c>
      <c r="B14" s="379"/>
      <c r="C14" s="379"/>
      <c r="D14" s="379"/>
      <c r="E14" s="379"/>
      <c r="F14" s="274"/>
      <c r="G14" s="274"/>
      <c r="H14" s="274"/>
      <c r="I14" s="274"/>
      <c r="J14" s="274"/>
      <c r="K14" s="274"/>
      <c r="L14" s="274"/>
      <c r="M14" s="274"/>
    </row>
    <row r="15" spans="1:23" ht="31.15" customHeight="1" x14ac:dyDescent="0.35">
      <c r="A15" s="366" t="s">
        <v>292</v>
      </c>
      <c r="B15" s="366"/>
      <c r="C15" s="366"/>
      <c r="D15" s="366"/>
      <c r="E15" s="366"/>
      <c r="F15" s="274"/>
      <c r="G15" s="274"/>
      <c r="H15" s="274"/>
      <c r="I15" s="274"/>
      <c r="J15" s="274"/>
      <c r="K15" s="274"/>
      <c r="L15" s="274"/>
      <c r="M15" s="274"/>
    </row>
    <row r="16" spans="1:23" ht="27" customHeight="1" x14ac:dyDescent="0.35">
      <c r="A16" s="366" t="s">
        <v>293</v>
      </c>
      <c r="B16" s="366"/>
      <c r="C16" s="366"/>
      <c r="D16" s="366"/>
      <c r="E16" s="366"/>
      <c r="F16" s="274"/>
      <c r="G16" s="274"/>
      <c r="H16" s="274"/>
      <c r="I16" s="274"/>
      <c r="J16" s="274"/>
      <c r="K16" s="274"/>
      <c r="L16" s="274"/>
      <c r="M16" s="274"/>
    </row>
    <row r="17" spans="1:5" ht="28.9" customHeight="1" x14ac:dyDescent="0.35">
      <c r="A17" s="366" t="s">
        <v>294</v>
      </c>
      <c r="B17" s="366"/>
      <c r="C17" s="366"/>
      <c r="D17" s="366"/>
      <c r="E17" s="366"/>
    </row>
    <row r="29" spans="1:5" x14ac:dyDescent="0.35">
      <c r="E29" s="247"/>
    </row>
    <row r="34" spans="2:3" x14ac:dyDescent="0.35">
      <c r="B34" s="8"/>
      <c r="C34" s="8"/>
    </row>
    <row r="38" spans="2:3" x14ac:dyDescent="0.35">
      <c r="B38" s="8"/>
      <c r="C38" s="8"/>
    </row>
  </sheetData>
  <mergeCells count="6">
    <mergeCell ref="A17:E17"/>
    <mergeCell ref="B4:C4"/>
    <mergeCell ref="A13:E13"/>
    <mergeCell ref="A14:E14"/>
    <mergeCell ref="A15:E15"/>
    <mergeCell ref="A16:E16"/>
  </mergeCells>
  <pageMargins left="0.2" right="0.2" top="0.75" bottom="0.25" header="0.3" footer="0.3"/>
  <pageSetup scale="96" orientation="landscape" r:id="rId1"/>
  <headerFooter>
    <oddHeader>&amp;C&amp;F &amp;A&amp;R&amp;"Arial"&amp;10&amp;K000000CONFIDENTIAL</oddHeader>
    <oddFooter xml:space="preserve">&amp;R_x000D_&amp;1#&amp;"Calibri"&amp;10&amp;KA80000 Restricted – Sensitive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Document_x0020_Status xmlns="c85253b9-0a55-49a1-98ad-b5b6252d7079">Draft</Document_x0020_Status>
    <Comments xmlns="c85253b9-0a55-49a1-98ad-b5b6252d7079" xsi:nil="true"/>
    <Sequence_x0020_Number xmlns="42a0a5c2-94d1-43c3-962b-eaf68dcf55f1" xsi:nil="true"/>
    <Document_x0020_Type xmlns="c85253b9-0a55-49a1-98ad-b5b6252d7079">Question</Document_x0020_Typ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11A6497F0A034408B121D2E9E1ADC67" ma:contentTypeVersion="" ma:contentTypeDescription="Create a new document." ma:contentTypeScope="" ma:versionID="731bbba90d1839119a2601583754d8cb">
  <xsd:schema xmlns:xsd="http://www.w3.org/2001/XMLSchema" xmlns:xs="http://www.w3.org/2001/XMLSchema" xmlns:p="http://schemas.microsoft.com/office/2006/metadata/properties" xmlns:ns2="c85253b9-0a55-49a1-98ad-b5b6252d7079" xmlns:ns3="42a0a5c2-94d1-43c3-962b-eaf68dcf55f1" xmlns:ns4="b95115da-3ec3-4f45-8f03-fcf4d770a292" targetNamespace="http://schemas.microsoft.com/office/2006/metadata/properties" ma:root="true" ma:fieldsID="0850ed191024ed28ce63e0182e48fad8" ns2:_="" ns3:_="" ns4:_="">
    <xsd:import namespace="c85253b9-0a55-49a1-98ad-b5b6252d7079"/>
    <xsd:import namespace="42a0a5c2-94d1-43c3-962b-eaf68dcf55f1"/>
    <xsd:import namespace="b95115da-3ec3-4f45-8f03-fcf4d770a292"/>
    <xsd:element name="properties">
      <xsd:complexType>
        <xsd:sequence>
          <xsd:element name="documentManagement">
            <xsd:complexType>
              <xsd:all>
                <xsd:element ref="ns2:Comments" minOccurs="0"/>
                <xsd:element ref="ns2:Document_x0020_Status" minOccurs="0"/>
                <xsd:element ref="ns2:Document_x0020_Type" minOccurs="0"/>
                <xsd:element ref="ns3:Sequence_x0020_Number"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xsd="http://www.w3.org/2001/XMLSchema" xmlns:xs="http://www.w3.org/2001/XMLSchema" xmlns:dms="http://schemas.microsoft.com/office/2006/documentManagement/types" xmlns:pc="http://schemas.microsoft.com/office/infopath/2007/PartnerControls" targetNamespace="42a0a5c2-94d1-43c3-962b-eaf68dcf55f1" elementFormDefault="qualified">
    <xsd:import namespace="http://schemas.microsoft.com/office/2006/documentManagement/types"/>
    <xsd:import namespace="http://schemas.microsoft.com/office/infopath/2007/PartnerControls"/>
    <xsd:element name="Sequence_x0020_Number" ma:index="11" nillable="true" ma:displayName="Sequence Number" ma:internalName="Sequence_x0020_Number">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95115da-3ec3-4f45-8f03-fcf4d770a29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E680F6-EEBC-41A4-AEB5-0B773B5EACA2}">
  <ds:schemaRefs>
    <ds:schemaRef ds:uri="42a0a5c2-94d1-43c3-962b-eaf68dcf55f1"/>
    <ds:schemaRef ds:uri="http://schemas.microsoft.com/office/infopath/2007/PartnerControls"/>
    <ds:schemaRef ds:uri="http://purl.org/dc/elements/1.1/"/>
    <ds:schemaRef ds:uri="http://purl.org/dc/dcmitype/"/>
    <ds:schemaRef ds:uri="http://www.w3.org/XML/1998/namespace"/>
    <ds:schemaRef ds:uri="http://purl.org/dc/terms/"/>
    <ds:schemaRef ds:uri="http://schemas.microsoft.com/office/2006/metadata/properties"/>
    <ds:schemaRef ds:uri="http://schemas.microsoft.com/office/2006/documentManagement/types"/>
    <ds:schemaRef ds:uri="http://schemas.openxmlformats.org/package/2006/metadata/core-properties"/>
    <ds:schemaRef ds:uri="b95115da-3ec3-4f45-8f03-fcf4d770a292"/>
    <ds:schemaRef ds:uri="c85253b9-0a55-49a1-98ad-b5b6252d7079"/>
  </ds:schemaRefs>
</ds:datastoreItem>
</file>

<file path=customXml/itemProps2.xml><?xml version="1.0" encoding="utf-8"?>
<ds:datastoreItem xmlns:ds="http://schemas.openxmlformats.org/officeDocument/2006/customXml" ds:itemID="{4857A765-CA20-43A9-9C3D-D6F991DCD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42a0a5c2-94d1-43c3-962b-eaf68dcf55f1"/>
    <ds:schemaRef ds:uri="b95115da-3ec3-4f45-8f03-fcf4d770a2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E36353-2D23-4413-BFF3-128FB6002D9C}">
  <ds:schemaRefs>
    <ds:schemaRef ds:uri="http://schemas.microsoft.com/sharepoint/v3/contenttype/forms"/>
  </ds:schemaRefs>
</ds:datastoreItem>
</file>

<file path=docMetadata/LabelInfo.xml><?xml version="1.0" encoding="utf-8"?>
<clbl:labelList xmlns:clbl="http://schemas.microsoft.com/office/2020/mipLabelMetadata">
  <clbl:label id="{c4ea03cb-2792-4bbc-b221-0721aa9d3290}" enabled="1" method="Privileged" siteId="{9ef58ab0-3510-4d99-8d3e-3c9e02ebab7f}"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vt:i4>
      </vt:variant>
    </vt:vector>
  </HeadingPairs>
  <TitlesOfParts>
    <vt:vector size="22" baseType="lpstr">
      <vt:lpstr>Index Table of Contents</vt:lpstr>
      <vt:lpstr>Tariff Tables</vt:lpstr>
      <vt:lpstr>DSIM Cycle Tables</vt:lpstr>
      <vt:lpstr>PPC Cycle 3</vt:lpstr>
      <vt:lpstr>PCR Cycle 2</vt:lpstr>
      <vt:lpstr>PCR Cycle 3</vt:lpstr>
      <vt:lpstr>PCR Cycle 4</vt:lpstr>
      <vt:lpstr>PTD Cycle 2</vt:lpstr>
      <vt:lpstr>PTD Cycle 3</vt:lpstr>
      <vt:lpstr>TDR Cycle 2</vt:lpstr>
      <vt:lpstr>TDR Cycle 3</vt:lpstr>
      <vt:lpstr>EO Cycle 2</vt:lpstr>
      <vt:lpstr>EO Cycle 3</vt:lpstr>
      <vt:lpstr>EOR Cycle 2</vt:lpstr>
      <vt:lpstr>EOR Cycle 3</vt:lpstr>
      <vt:lpstr>OA Cycle 2</vt:lpstr>
      <vt:lpstr>OA Cycle 3</vt:lpstr>
      <vt:lpstr>OAR Cycle 2</vt:lpstr>
      <vt:lpstr>OAR Cycle 3</vt:lpstr>
      <vt:lpstr>'PCR Cycle 2'!Print_Area</vt:lpstr>
      <vt:lpstr>'PCR Cycle 3'!Print_Area</vt:lpstr>
      <vt:lpstr>'PCR Cycle 4'!Print_Area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Unspecified User</dc:creator>
  <cp:lastModifiedBy>Shelley Jordan</cp:lastModifiedBy>
  <cp:lastPrinted>2019-05-23T21:26:27Z</cp:lastPrinted>
  <dcterms:created xsi:type="dcterms:W3CDTF">2013-08-12T19:20:10Z</dcterms:created>
  <dcterms:modified xsi:type="dcterms:W3CDTF">2024-05-31T13:28:40Z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0x010100011A6497F0A034408B121D2E9E1ADC67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etDate">
    <vt:lpwstr>2022-11-08T16:29:14Z</vt:lpwstr>
  </property>
  <property fmtid="{D5CDD505-2E9C-101B-9397-08002B2CF9AE}" pid="7" name="MSIP_Label_d275ac46-98b9-4d64-949f-e82ee8dc823c_Method">
    <vt:lpwstr>Standard</vt:lpwstr>
  </property>
  <property fmtid="{D5CDD505-2E9C-101B-9397-08002B2CF9AE}" pid="8" name="MSIP_Label_d275ac46-98b9-4d64-949f-e82ee8dc823c_Name">
    <vt:lpwstr>d275ac46-98b9-4d64-949f-e82ee8dc823c</vt:lpwstr>
  </property>
  <property fmtid="{D5CDD505-2E9C-101B-9397-08002B2CF9AE}" pid="9" name="MSIP_Label_d275ac46-98b9-4d64-949f-e82ee8dc823c_SiteId">
    <vt:lpwstr>9ef58ab0-3510-4d99-8d3e-3c9e02ebab7f</vt:lpwstr>
  </property>
  <property fmtid="{D5CDD505-2E9C-101B-9397-08002B2CF9AE}" pid="10" name="MSIP_Label_d275ac46-98b9-4d64-949f-e82ee8dc823c_ActionId">
    <vt:lpwstr>636e1bc7-477d-40da-aa64-7b585cb78bc9</vt:lpwstr>
  </property>
  <property fmtid="{D5CDD505-2E9C-101B-9397-08002B2CF9AE}" pid="11" name="MSIP_Label_d275ac46-98b9-4d64-949f-e82ee8dc823c_ContentBits">
    <vt:lpwstr>3</vt:lpwstr>
  </property>
</Properties>
</file>