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PSC Cases\EO-2023-0136  MEEIA 4\Term Sheet\"/>
    </mc:Choice>
  </mc:AlternateContent>
  <xr:revisionPtr revIDLastSave="0" documentId="13_ncr:1_{E78402BB-78D1-4870-A07D-5D6988F1E2E7}" xr6:coauthVersionLast="47" xr6:coauthVersionMax="47" xr10:uidLastSave="{00000000-0000-0000-0000-000000000000}"/>
  <bookViews>
    <workbookView xWindow="28680" yWindow="-120" windowWidth="29040" windowHeight="15720" xr2:uid="{C88D43E5-EF08-46AD-804E-F68296B93364}"/>
  </bookViews>
  <sheets>
    <sheet name="Energy Efficiency EO" sheetId="1" r:id="rId1"/>
    <sheet name="Demand Response E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H15" i="1"/>
  <c r="M14" i="1"/>
  <c r="H14" i="1"/>
  <c r="O22" i="2"/>
  <c r="P14" i="2"/>
  <c r="K14" i="2"/>
  <c r="F14" i="2"/>
  <c r="R6" i="2"/>
  <c r="M6" i="2"/>
  <c r="H6" i="2"/>
  <c r="M12" i="2" l="1"/>
  <c r="L37" i="2"/>
  <c r="G45" i="2" s="1"/>
  <c r="L55" i="2" s="1"/>
  <c r="M39" i="2"/>
  <c r="H47" i="2" s="1"/>
  <c r="M57" i="2" s="1"/>
  <c r="H12" i="2"/>
  <c r="M11" i="2"/>
  <c r="M37" i="2"/>
  <c r="H45" i="2" s="1"/>
  <c r="M55" i="2" s="1"/>
  <c r="J38" i="2"/>
  <c r="E46" i="2" s="1"/>
  <c r="J56" i="2" s="1"/>
  <c r="R12" i="2"/>
  <c r="H23" i="2"/>
  <c r="K38" i="2"/>
  <c r="F46" i="2" s="1"/>
  <c r="K56" i="2" s="1"/>
  <c r="H10" i="2"/>
  <c r="H13" i="2"/>
  <c r="O25" i="2"/>
  <c r="N33" i="2" s="1"/>
  <c r="L38" i="2"/>
  <c r="G46" i="2" s="1"/>
  <c r="L56" i="2" s="1"/>
  <c r="M10" i="2"/>
  <c r="M13" i="2"/>
  <c r="M38" i="2"/>
  <c r="H46" i="2" s="1"/>
  <c r="M56" i="2" s="1"/>
  <c r="R10" i="2"/>
  <c r="R13" i="2"/>
  <c r="J37" i="2"/>
  <c r="E45" i="2" s="1"/>
  <c r="J55" i="2" s="1"/>
  <c r="J39" i="2"/>
  <c r="E47" i="2" s="1"/>
  <c r="J57" i="2" s="1"/>
  <c r="H11" i="2"/>
  <c r="R11" i="2"/>
  <c r="K37" i="2"/>
  <c r="F45" i="2" s="1"/>
  <c r="K55" i="2" s="1"/>
  <c r="K39" i="2"/>
  <c r="F47" i="2" s="1"/>
  <c r="K57" i="2" s="1"/>
  <c r="J40" i="2"/>
  <c r="E48" i="2" s="1"/>
  <c r="J58" i="2" s="1"/>
  <c r="K40" i="2"/>
  <c r="F48" i="2" s="1"/>
  <c r="K58" i="2" s="1"/>
  <c r="L40" i="2"/>
  <c r="G48" i="2" s="1"/>
  <c r="L58" i="2" s="1"/>
  <c r="M40" i="2"/>
  <c r="H48" i="2" s="1"/>
  <c r="M58" i="2" s="1"/>
  <c r="L39" i="2"/>
  <c r="N58" i="2" l="1"/>
  <c r="O58" i="2" s="1"/>
  <c r="N38" i="2"/>
  <c r="N56" i="2"/>
  <c r="O56" i="2" s="1"/>
  <c r="N55" i="2"/>
  <c r="O55" i="2" s="1"/>
  <c r="N40" i="2"/>
  <c r="R14" i="2"/>
  <c r="R15" i="2" s="1"/>
  <c r="M14" i="2"/>
  <c r="M15" i="2" s="1"/>
  <c r="H14" i="2"/>
  <c r="H15" i="2" s="1"/>
  <c r="N37" i="2"/>
  <c r="G47" i="2"/>
  <c r="L57" i="2" s="1"/>
  <c r="N57" i="2" s="1"/>
  <c r="O57" i="2" s="1"/>
  <c r="N39" i="2"/>
  <c r="M18" i="1" l="1"/>
  <c r="H18" i="1"/>
  <c r="M17" i="1"/>
  <c r="H17" i="1"/>
  <c r="M12" i="1"/>
  <c r="H12" i="1"/>
  <c r="M11" i="1"/>
  <c r="H11" i="1"/>
  <c r="M10" i="1"/>
  <c r="H10" i="1"/>
  <c r="M8" i="1"/>
  <c r="H8" i="1"/>
  <c r="M7" i="1"/>
  <c r="H7" i="1"/>
  <c r="H19" i="1" l="1"/>
  <c r="M19" i="1"/>
</calcChain>
</file>

<file path=xl/sharedStrings.xml><?xml version="1.0" encoding="utf-8"?>
<sst xmlns="http://schemas.openxmlformats.org/spreadsheetml/2006/main" count="128" uniqueCount="69">
  <si>
    <t>Energy Efficiency Earnings Opportunity Calculation:</t>
  </si>
  <si>
    <t>Energy Efficiency Portfolio - EO</t>
  </si>
  <si>
    <t xml:space="preserve">Incentive </t>
  </si>
  <si>
    <t xml:space="preserve">Delivery </t>
  </si>
  <si>
    <t>EO %</t>
  </si>
  <si>
    <t>EO</t>
  </si>
  <si>
    <t>Residential</t>
  </si>
  <si>
    <t>PAYS</t>
  </si>
  <si>
    <t>EP-Tstats</t>
  </si>
  <si>
    <t>N/A</t>
  </si>
  <si>
    <t>MFIE</t>
  </si>
  <si>
    <t>SFIE</t>
  </si>
  <si>
    <t>BSS</t>
  </si>
  <si>
    <t>Business EE</t>
  </si>
  <si>
    <t>Custom</t>
  </si>
  <si>
    <t>Standard</t>
  </si>
  <si>
    <t>TOTAL EE EO (Portolio Cap)</t>
  </si>
  <si>
    <t>Inputs to the Calculations</t>
  </si>
  <si>
    <t>Demand Response Earnings Opportunity Calculation:</t>
  </si>
  <si>
    <t>Demand Response Portfolio - EO</t>
  </si>
  <si>
    <t>Residential DR</t>
  </si>
  <si>
    <t>$/Event</t>
  </si>
  <si>
    <t># Events</t>
  </si>
  <si>
    <t xml:space="preserve">2025 EO </t>
  </si>
  <si>
    <t>2026 EO</t>
  </si>
  <si>
    <t>2027 EO</t>
  </si>
  <si>
    <t>Residential DR Events (up to 15)</t>
  </si>
  <si>
    <t>Business DR</t>
  </si>
  <si>
    <t>PRA Season</t>
  </si>
  <si>
    <t>Seasonal MW Target</t>
  </si>
  <si>
    <t>PRA cleared prices $/MW-day</t>
  </si>
  <si>
    <t>Cleared MW</t>
  </si>
  <si>
    <t>2025 Calculated EO</t>
  </si>
  <si>
    <t>2026 Calculated EO</t>
  </si>
  <si>
    <t xml:space="preserve">Winter </t>
  </si>
  <si>
    <t>Spring</t>
  </si>
  <si>
    <t>Summer</t>
  </si>
  <si>
    <t>Fall</t>
  </si>
  <si>
    <t>Business DR EO Total</t>
  </si>
  <si>
    <t>TOTAL EO (Residential + Business)</t>
  </si>
  <si>
    <t>Business Demand Response EO Structure and examples below:</t>
  </si>
  <si>
    <t>Basic premise is to take the available EO in each year, and prorate it to the four MISO seasons based on the PRA cleared price in each season.</t>
  </si>
  <si>
    <t>Annual target EO</t>
  </si>
  <si>
    <t xml:space="preserve">EO rate by season ($/cleared and verified PRA MW) = </t>
  </si>
  <si>
    <t>x</t>
  </si>
  <si>
    <t>cleared PRA price by season</t>
  </si>
  <si>
    <t>sum of cleared PRA prices for planning year</t>
  </si>
  <si>
    <t>EO cap</t>
  </si>
  <si>
    <t>Winter</t>
  </si>
  <si>
    <t>Examples</t>
  </si>
  <si>
    <t>EO available by season (target)</t>
  </si>
  <si>
    <t>Example 1</t>
  </si>
  <si>
    <t>Example 2</t>
  </si>
  <si>
    <t>Example 3</t>
  </si>
  <si>
    <t>Example 4</t>
  </si>
  <si>
    <t>difference from annual target</t>
  </si>
  <si>
    <t>EO available per MW for season</t>
  </si>
  <si>
    <t>Calculation of EO</t>
  </si>
  <si>
    <t>Potential EO</t>
  </si>
  <si>
    <t>Actual EO</t>
  </si>
  <si>
    <t>PAYS®  Redirected Funds</t>
  </si>
  <si>
    <t>*Excludes natural gas budgets from co-delivered programs.</t>
  </si>
  <si>
    <t>***Up to $500K of PAYS® can be redirected to business</t>
  </si>
  <si>
    <t>Income Eligible**</t>
  </si>
  <si>
    <t>Income Eligible***</t>
  </si>
  <si>
    <t>* In the event MISO charges a penalty to AMO for non-performance related to demand response, the EO will be adjusted by the MW amount of non-performance.</t>
  </si>
  <si>
    <t>** Cleared PRA MW is subject to reduction based on non-performance adjustment related to demand response.</t>
  </si>
  <si>
    <t>Business EE***</t>
  </si>
  <si>
    <t>** Up to $5M and $4M of annual funding from PAYS® can be redirected to income eligible programs in 2025 and 2026 respectively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</si>
</sst>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Aptos Narrow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9" tint="0.59999389629810485"/>
      <name val="Calibri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b/>
      <sz val="14"/>
      <color theme="9" tint="0.59999389629810485"/>
      <name val="Aptos Narrow"/>
      <family val="2"/>
      <scheme val="minor"/>
    </font>
    <font>
      <b/>
      <i/>
      <sz val="12"/>
      <color theme="1" tint="0.499984740745262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 tint="0.499984740745262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2" borderId="1" xfId="0" applyFill="1" applyBorder="1"/>
    <xf numFmtId="0" fontId="4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3" borderId="1" xfId="0" applyFill="1" applyBorder="1"/>
    <xf numFmtId="0" fontId="0" fillId="4" borderId="0" xfId="0" applyFill="1"/>
    <xf numFmtId="0" fontId="6" fillId="5" borderId="9" xfId="0" applyFont="1" applyFill="1" applyBorder="1"/>
    <xf numFmtId="0" fontId="6" fillId="4" borderId="0" xfId="0" applyFont="1" applyFill="1"/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7" fillId="4" borderId="0" xfId="0" applyFont="1" applyFill="1"/>
    <xf numFmtId="0" fontId="8" fillId="5" borderId="9" xfId="0" applyFont="1" applyFill="1" applyBorder="1" applyAlignment="1">
      <alignment horizontal="left" indent="2"/>
    </xf>
    <xf numFmtId="0" fontId="8" fillId="4" borderId="0" xfId="0" applyFont="1" applyFill="1" applyAlignment="1">
      <alignment horizontal="left" indent="2"/>
    </xf>
    <xf numFmtId="9" fontId="9" fillId="5" borderId="14" xfId="0" applyNumberFormat="1" applyFont="1" applyFill="1" applyBorder="1" applyAlignment="1">
      <alignment horizontal="center"/>
    </xf>
    <xf numFmtId="164" fontId="9" fillId="5" borderId="15" xfId="0" applyNumberFormat="1" applyFont="1" applyFill="1" applyBorder="1" applyAlignment="1">
      <alignment horizontal="center"/>
    </xf>
    <xf numFmtId="164" fontId="9" fillId="5" borderId="14" xfId="0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left" indent="2"/>
    </xf>
    <xf numFmtId="0" fontId="9" fillId="4" borderId="0" xfId="0" applyFont="1" applyFill="1" applyAlignment="1">
      <alignment horizontal="left" indent="2"/>
    </xf>
    <xf numFmtId="0" fontId="11" fillId="4" borderId="0" xfId="0" applyFont="1" applyFill="1"/>
    <xf numFmtId="0" fontId="12" fillId="6" borderId="0" xfId="0" applyFont="1" applyFill="1"/>
    <xf numFmtId="0" fontId="0" fillId="2" borderId="20" xfId="0" applyFill="1" applyBorder="1"/>
    <xf numFmtId="0" fontId="0" fillId="2" borderId="21" xfId="0" applyFill="1" applyBorder="1"/>
    <xf numFmtId="165" fontId="0" fillId="2" borderId="21" xfId="1" applyNumberFormat="1" applyFont="1" applyFill="1" applyBorder="1"/>
    <xf numFmtId="0" fontId="0" fillId="2" borderId="22" xfId="0" applyFill="1" applyBorder="1"/>
    <xf numFmtId="0" fontId="7" fillId="7" borderId="9" xfId="0" applyFont="1" applyFill="1" applyBorder="1"/>
    <xf numFmtId="0" fontId="7" fillId="7" borderId="13" xfId="0" applyFont="1" applyFill="1" applyBorder="1"/>
    <xf numFmtId="0" fontId="7" fillId="7" borderId="14" xfId="0" applyFont="1" applyFill="1" applyBorder="1"/>
    <xf numFmtId="0" fontId="7" fillId="7" borderId="15" xfId="0" applyFont="1" applyFill="1" applyBorder="1"/>
    <xf numFmtId="5" fontId="0" fillId="8" borderId="13" xfId="1" applyNumberFormat="1" applyFont="1" applyFill="1" applyBorder="1" applyAlignment="1">
      <alignment horizontal="center"/>
    </xf>
    <xf numFmtId="5" fontId="0" fillId="8" borderId="14" xfId="1" applyNumberFormat="1" applyFont="1" applyFill="1" applyBorder="1" applyAlignment="1">
      <alignment horizontal="center"/>
    </xf>
    <xf numFmtId="0" fontId="12" fillId="8" borderId="0" xfId="0" applyFont="1" applyFill="1"/>
    <xf numFmtId="164" fontId="10" fillId="9" borderId="16" xfId="0" applyNumberFormat="1" applyFont="1" applyFill="1" applyBorder="1" applyAlignment="1">
      <alignment horizontal="center"/>
    </xf>
    <xf numFmtId="164" fontId="10" fillId="9" borderId="17" xfId="0" applyNumberFormat="1" applyFont="1" applyFill="1" applyBorder="1" applyAlignment="1">
      <alignment horizontal="center"/>
    </xf>
    <xf numFmtId="164" fontId="10" fillId="9" borderId="18" xfId="0" applyNumberFormat="1" applyFont="1" applyFill="1" applyBorder="1" applyAlignment="1">
      <alignment horizontal="center"/>
    </xf>
    <xf numFmtId="164" fontId="10" fillId="9" borderId="19" xfId="0" applyNumberFormat="1" applyFont="1" applyFill="1" applyBorder="1" applyAlignment="1">
      <alignment horizontal="center"/>
    </xf>
    <xf numFmtId="44" fontId="0" fillId="0" borderId="0" xfId="1" applyFont="1"/>
    <xf numFmtId="0" fontId="4" fillId="2" borderId="1" xfId="0" applyFont="1" applyFill="1" applyBorder="1"/>
    <xf numFmtId="0" fontId="5" fillId="3" borderId="23" xfId="0" applyFont="1" applyFill="1" applyBorder="1"/>
    <xf numFmtId="0" fontId="5" fillId="4" borderId="2" xfId="0" applyFont="1" applyFill="1" applyBorder="1"/>
    <xf numFmtId="0" fontId="7" fillId="4" borderId="26" xfId="0" applyFont="1" applyFill="1" applyBorder="1"/>
    <xf numFmtId="0" fontId="2" fillId="4" borderId="0" xfId="0" applyFont="1" applyFill="1"/>
    <xf numFmtId="0" fontId="0" fillId="10" borderId="25" xfId="0" applyFill="1" applyBorder="1" applyAlignment="1">
      <alignment horizontal="left" indent="2"/>
    </xf>
    <xf numFmtId="0" fontId="0" fillId="4" borderId="26" xfId="0" applyFill="1" applyBorder="1" applyAlignment="1">
      <alignment horizontal="left" indent="2"/>
    </xf>
    <xf numFmtId="6" fontId="8" fillId="5" borderId="27" xfId="0" applyNumberFormat="1" applyFont="1" applyFill="1" applyBorder="1" applyAlignment="1">
      <alignment horizontal="center"/>
    </xf>
    <xf numFmtId="0" fontId="16" fillId="10" borderId="14" xfId="0" applyFont="1" applyFill="1" applyBorder="1"/>
    <xf numFmtId="164" fontId="15" fillId="10" borderId="29" xfId="0" applyNumberFormat="1" applyFont="1" applyFill="1" applyBorder="1" applyAlignment="1">
      <alignment horizontal="center"/>
    </xf>
    <xf numFmtId="6" fontId="8" fillId="5" borderId="9" xfId="0" applyNumberFormat="1" applyFont="1" applyFill="1" applyBorder="1" applyAlignment="1">
      <alignment horizontal="center"/>
    </xf>
    <xf numFmtId="0" fontId="0" fillId="5" borderId="30" xfId="0" applyFill="1" applyBorder="1" applyAlignment="1">
      <alignment horizontal="left" indent="2"/>
    </xf>
    <xf numFmtId="0" fontId="0" fillId="4" borderId="31" xfId="0" applyFill="1" applyBorder="1" applyAlignment="1">
      <alignment horizontal="left" indent="2"/>
    </xf>
    <xf numFmtId="6" fontId="8" fillId="5" borderId="31" xfId="0" applyNumberFormat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1" xfId="0" applyFill="1" applyBorder="1"/>
    <xf numFmtId="6" fontId="0" fillId="5" borderId="29" xfId="0" applyNumberFormat="1" applyFill="1" applyBorder="1"/>
    <xf numFmtId="6" fontId="8" fillId="5" borderId="30" xfId="0" applyNumberFormat="1" applyFont="1" applyFill="1" applyBorder="1" applyAlignment="1">
      <alignment horizontal="center"/>
    </xf>
    <xf numFmtId="0" fontId="0" fillId="5" borderId="13" xfId="0" applyFill="1" applyBorder="1" applyAlignment="1">
      <alignment wrapText="1"/>
    </xf>
    <xf numFmtId="0" fontId="0" fillId="4" borderId="32" xfId="0" applyFill="1" applyBorder="1" applyAlignment="1">
      <alignment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7" fillId="5" borderId="13" xfId="0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right" indent="2"/>
    </xf>
    <xf numFmtId="0" fontId="8" fillId="4" borderId="34" xfId="0" applyFont="1" applyFill="1" applyBorder="1" applyAlignment="1">
      <alignment horizontal="right" indent="2"/>
    </xf>
    <xf numFmtId="0" fontId="8" fillId="5" borderId="35" xfId="0" applyFont="1" applyFill="1" applyBorder="1" applyAlignment="1">
      <alignment horizontal="center"/>
    </xf>
    <xf numFmtId="7" fontId="0" fillId="5" borderId="36" xfId="0" applyNumberFormat="1" applyFill="1" applyBorder="1"/>
    <xf numFmtId="0" fontId="8" fillId="5" borderId="33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right" indent="2"/>
    </xf>
    <xf numFmtId="0" fontId="8" fillId="4" borderId="37" xfId="0" applyFont="1" applyFill="1" applyBorder="1" applyAlignment="1">
      <alignment horizontal="right" indent="2"/>
    </xf>
    <xf numFmtId="0" fontId="8" fillId="5" borderId="38" xfId="0" applyFont="1" applyFill="1" applyBorder="1" applyAlignment="1">
      <alignment horizontal="center"/>
    </xf>
    <xf numFmtId="7" fontId="0" fillId="5" borderId="39" xfId="0" applyNumberFormat="1" applyFill="1" applyBorder="1"/>
    <xf numFmtId="0" fontId="8" fillId="5" borderId="25" xfId="0" applyFont="1" applyFill="1" applyBorder="1" applyAlignment="1">
      <alignment horizontal="center"/>
    </xf>
    <xf numFmtId="0" fontId="15" fillId="4" borderId="41" xfId="0" applyFont="1" applyFill="1" applyBorder="1"/>
    <xf numFmtId="0" fontId="14" fillId="0" borderId="0" xfId="0" applyFont="1"/>
    <xf numFmtId="0" fontId="14" fillId="2" borderId="4" xfId="0" applyFont="1" applyFill="1" applyBorder="1"/>
    <xf numFmtId="0" fontId="18" fillId="4" borderId="43" xfId="0" applyFont="1" applyFill="1" applyBorder="1"/>
    <xf numFmtId="0" fontId="14" fillId="4" borderId="0" xfId="0" applyFont="1" applyFill="1"/>
    <xf numFmtId="0" fontId="14" fillId="2" borderId="5" xfId="0" applyFont="1" applyFill="1" applyBorder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0" fillId="6" borderId="0" xfId="0" applyFill="1"/>
    <xf numFmtId="0" fontId="6" fillId="2" borderId="21" xfId="0" applyFont="1" applyFill="1" applyBorder="1"/>
    <xf numFmtId="164" fontId="6" fillId="2" borderId="21" xfId="0" applyNumberFormat="1" applyFont="1" applyFill="1" applyBorder="1" applyAlignment="1">
      <alignment horizontal="center"/>
    </xf>
    <xf numFmtId="0" fontId="0" fillId="11" borderId="0" xfId="0" applyFill="1"/>
    <xf numFmtId="0" fontId="6" fillId="11" borderId="0" xfId="0" applyFont="1" applyFill="1"/>
    <xf numFmtId="164" fontId="6" fillId="11" borderId="0" xfId="0" applyNumberFormat="1" applyFont="1" applyFill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166" fontId="0" fillId="0" borderId="0" xfId="0" applyNumberFormat="1"/>
    <xf numFmtId="0" fontId="0" fillId="0" borderId="4" xfId="0" applyBorder="1"/>
    <xf numFmtId="165" fontId="0" fillId="0" borderId="0" xfId="0" applyNumberFormat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44" fontId="0" fillId="0" borderId="0" xfId="1" applyFont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165" fontId="0" fillId="12" borderId="0" xfId="1" applyNumberFormat="1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13" borderId="25" xfId="0" applyFont="1" applyFill="1" applyBorder="1"/>
    <xf numFmtId="0" fontId="7" fillId="13" borderId="27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4" xfId="0" applyFont="1" applyFill="1" applyBorder="1"/>
    <xf numFmtId="0" fontId="15" fillId="13" borderId="28" xfId="0" applyFont="1" applyFill="1" applyBorder="1" applyAlignment="1">
      <alignment horizontal="center"/>
    </xf>
    <xf numFmtId="0" fontId="7" fillId="13" borderId="9" xfId="0" applyFont="1" applyFill="1" applyBorder="1" applyAlignment="1">
      <alignment horizontal="center"/>
    </xf>
    <xf numFmtId="0" fontId="3" fillId="13" borderId="2" xfId="0" applyFont="1" applyFill="1" applyBorder="1"/>
    <xf numFmtId="44" fontId="3" fillId="13" borderId="3" xfId="1" applyFont="1" applyFill="1" applyBorder="1"/>
    <xf numFmtId="0" fontId="3" fillId="13" borderId="1" xfId="0" applyFont="1" applyFill="1" applyBorder="1"/>
    <xf numFmtId="0" fontId="15" fillId="13" borderId="40" xfId="0" applyFont="1" applyFill="1" applyBorder="1"/>
    <xf numFmtId="0" fontId="5" fillId="13" borderId="11" xfId="0" applyFont="1" applyFill="1" applyBorder="1" applyAlignment="1">
      <alignment horizontal="center"/>
    </xf>
    <xf numFmtId="7" fontId="7" fillId="13" borderId="11" xfId="1" applyNumberFormat="1" applyFont="1" applyFill="1" applyBorder="1" applyAlignment="1">
      <alignment horizontal="center"/>
    </xf>
    <xf numFmtId="164" fontId="15" fillId="13" borderId="42" xfId="0" applyNumberFormat="1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7" fontId="0" fillId="8" borderId="35" xfId="1" applyNumberFormat="1" applyFont="1" applyFill="1" applyBorder="1" applyAlignment="1">
      <alignment horizontal="center"/>
    </xf>
    <xf numFmtId="7" fontId="0" fillId="8" borderId="38" xfId="1" applyNumberFormat="1" applyFont="1" applyFill="1" applyBorder="1" applyAlignment="1">
      <alignment horizontal="center"/>
    </xf>
    <xf numFmtId="0" fontId="20" fillId="2" borderId="4" xfId="0" applyFont="1" applyFill="1" applyBorder="1"/>
    <xf numFmtId="0" fontId="17" fillId="2" borderId="0" xfId="0" applyFont="1" applyFill="1" applyAlignment="1">
      <alignment horizontal="center" vertical="center"/>
    </xf>
    <xf numFmtId="165" fontId="0" fillId="2" borderId="0" xfId="1" applyNumberFormat="1" applyFon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0" fillId="9" borderId="43" xfId="0" applyFont="1" applyFill="1" applyBorder="1" applyAlignment="1">
      <alignment horizontal="center"/>
    </xf>
    <xf numFmtId="7" fontId="19" fillId="9" borderId="16" xfId="1" applyNumberFormat="1" applyFont="1" applyFill="1" applyBorder="1" applyAlignment="1">
      <alignment horizontal="center"/>
    </xf>
    <xf numFmtId="164" fontId="10" fillId="9" borderId="4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3" fillId="3" borderId="2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2640-FB3C-483B-A1F3-657DB1DA8D77}">
  <dimension ref="B1:N36"/>
  <sheetViews>
    <sheetView tabSelected="1" workbookViewId="0">
      <selection activeCell="O14" sqref="O14"/>
    </sheetView>
  </sheetViews>
  <sheetFormatPr defaultRowHeight="15" x14ac:dyDescent="0.25"/>
  <cols>
    <col min="1" max="1" width="4.5703125" customWidth="1"/>
    <col min="3" max="3" width="38.42578125" customWidth="1"/>
    <col min="4" max="4" width="3" customWidth="1"/>
    <col min="5" max="6" width="10.5703125" bestFit="1" customWidth="1"/>
    <col min="7" max="7" width="5.140625" bestFit="1" customWidth="1"/>
    <col min="8" max="8" width="15.28515625" bestFit="1" customWidth="1"/>
    <col min="10" max="11" width="10.5703125" bestFit="1" customWidth="1"/>
    <col min="12" max="12" width="5.140625" bestFit="1" customWidth="1"/>
    <col min="13" max="13" width="15.28515625" bestFit="1" customWidth="1"/>
  </cols>
  <sheetData>
    <row r="1" spans="2:14" ht="15.75" thickBot="1" x14ac:dyDescent="0.3"/>
    <row r="2" spans="2:14" ht="18.75" x14ac:dyDescent="0.3"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5.75" thickBo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2:14" x14ac:dyDescent="0.25">
      <c r="B4" s="5"/>
      <c r="C4" s="8"/>
      <c r="D4" s="9"/>
      <c r="E4" s="135">
        <v>2025</v>
      </c>
      <c r="F4" s="136"/>
      <c r="G4" s="136"/>
      <c r="H4" s="137"/>
      <c r="I4" s="9"/>
      <c r="J4" s="135">
        <v>2026</v>
      </c>
      <c r="K4" s="136"/>
      <c r="L4" s="136"/>
      <c r="M4" s="137"/>
      <c r="N4" s="7"/>
    </row>
    <row r="5" spans="2:14" x14ac:dyDescent="0.25">
      <c r="B5" s="5"/>
      <c r="C5" s="10" t="s">
        <v>1</v>
      </c>
      <c r="D5" s="11"/>
      <c r="E5" s="12" t="s">
        <v>2</v>
      </c>
      <c r="F5" s="13" t="s">
        <v>3</v>
      </c>
      <c r="G5" s="13" t="s">
        <v>4</v>
      </c>
      <c r="H5" s="14" t="s">
        <v>5</v>
      </c>
      <c r="I5" s="11"/>
      <c r="J5" s="12" t="s">
        <v>2</v>
      </c>
      <c r="K5" s="13" t="s">
        <v>3</v>
      </c>
      <c r="L5" s="13" t="s">
        <v>4</v>
      </c>
      <c r="M5" s="14" t="s">
        <v>5</v>
      </c>
      <c r="N5" s="7"/>
    </row>
    <row r="6" spans="2:14" x14ac:dyDescent="0.25">
      <c r="B6" s="5"/>
      <c r="C6" s="29" t="s">
        <v>6</v>
      </c>
      <c r="D6" s="15"/>
      <c r="E6" s="30"/>
      <c r="F6" s="31"/>
      <c r="G6" s="31"/>
      <c r="H6" s="32"/>
      <c r="I6" s="15"/>
      <c r="J6" s="30"/>
      <c r="K6" s="31"/>
      <c r="L6" s="31"/>
      <c r="M6" s="32"/>
      <c r="N6" s="7"/>
    </row>
    <row r="7" spans="2:14" ht="15.75" x14ac:dyDescent="0.25">
      <c r="B7" s="5"/>
      <c r="C7" s="16" t="s">
        <v>7</v>
      </c>
      <c r="D7" s="17"/>
      <c r="E7" s="33">
        <v>5128182.3763843076</v>
      </c>
      <c r="F7" s="34">
        <v>2207343</v>
      </c>
      <c r="G7" s="18">
        <v>0.15</v>
      </c>
      <c r="H7" s="19">
        <f>(E7+F7)*G7</f>
        <v>1100328.8064576462</v>
      </c>
      <c r="I7" s="17"/>
      <c r="J7" s="33">
        <v>5128182.2503556693</v>
      </c>
      <c r="K7" s="34">
        <v>2207343</v>
      </c>
      <c r="L7" s="18">
        <v>0.15</v>
      </c>
      <c r="M7" s="19">
        <f>(J7+K7)*L7</f>
        <v>1100328.7875533504</v>
      </c>
      <c r="N7" s="7"/>
    </row>
    <row r="8" spans="2:14" ht="15.75" x14ac:dyDescent="0.25">
      <c r="B8" s="5"/>
      <c r="C8" s="16" t="s">
        <v>8</v>
      </c>
      <c r="D8" s="17"/>
      <c r="E8" s="33">
        <v>955500</v>
      </c>
      <c r="F8" s="20" t="s">
        <v>9</v>
      </c>
      <c r="G8" s="18">
        <v>0.15</v>
      </c>
      <c r="H8" s="19">
        <f>E8*G8</f>
        <v>143325</v>
      </c>
      <c r="I8" s="17"/>
      <c r="J8" s="33">
        <v>955500</v>
      </c>
      <c r="K8" s="20" t="s">
        <v>9</v>
      </c>
      <c r="L8" s="18">
        <v>0.15</v>
      </c>
      <c r="M8" s="19">
        <f>J8*L8</f>
        <v>143325</v>
      </c>
      <c r="N8" s="7"/>
    </row>
    <row r="9" spans="2:14" x14ac:dyDescent="0.25">
      <c r="B9" s="5"/>
      <c r="C9" s="29" t="s">
        <v>64</v>
      </c>
      <c r="D9" s="15"/>
      <c r="E9" s="30"/>
      <c r="F9" s="31"/>
      <c r="G9" s="31"/>
      <c r="H9" s="32"/>
      <c r="I9" s="15"/>
      <c r="J9" s="30"/>
      <c r="K9" s="31"/>
      <c r="L9" s="31"/>
      <c r="M9" s="32"/>
      <c r="N9" s="7"/>
    </row>
    <row r="10" spans="2:14" ht="15.75" x14ac:dyDescent="0.25">
      <c r="B10" s="5"/>
      <c r="C10" s="16" t="s">
        <v>10</v>
      </c>
      <c r="D10" s="17"/>
      <c r="E10" s="33">
        <v>4223780.0000000019</v>
      </c>
      <c r="F10" s="34">
        <v>1085998.8621803757</v>
      </c>
      <c r="G10" s="18">
        <v>0.15</v>
      </c>
      <c r="H10" s="19">
        <f>(E10+F10)*G10</f>
        <v>796466.82932705653</v>
      </c>
      <c r="I10" s="17"/>
      <c r="J10" s="33">
        <v>4223779.9999999991</v>
      </c>
      <c r="K10" s="34">
        <v>1085998.8621803757</v>
      </c>
      <c r="L10" s="18">
        <v>0.15</v>
      </c>
      <c r="M10" s="19">
        <f>(J10+K10)*L10</f>
        <v>796466.82932705618</v>
      </c>
      <c r="N10" s="7"/>
    </row>
    <row r="11" spans="2:14" ht="15.75" x14ac:dyDescent="0.25">
      <c r="B11" s="5"/>
      <c r="C11" s="16" t="s">
        <v>11</v>
      </c>
      <c r="D11" s="17"/>
      <c r="E11" s="33">
        <v>1132058.088561014</v>
      </c>
      <c r="F11" s="20" t="s">
        <v>9</v>
      </c>
      <c r="G11" s="18">
        <v>0.1</v>
      </c>
      <c r="H11" s="19">
        <f>E11*G11</f>
        <v>113205.80885610142</v>
      </c>
      <c r="I11" s="17"/>
      <c r="J11" s="33">
        <v>1132057.7647895659</v>
      </c>
      <c r="K11" s="20" t="s">
        <v>9</v>
      </c>
      <c r="L11" s="18">
        <v>0.1</v>
      </c>
      <c r="M11" s="19">
        <f>J11*L11</f>
        <v>113205.7764789566</v>
      </c>
      <c r="N11" s="7"/>
    </row>
    <row r="12" spans="2:14" ht="15.75" x14ac:dyDescent="0.25">
      <c r="B12" s="5"/>
      <c r="C12" s="16" t="s">
        <v>12</v>
      </c>
      <c r="D12" s="17"/>
      <c r="E12" s="33">
        <v>1680000.4316169468</v>
      </c>
      <c r="F12" s="20" t="s">
        <v>9</v>
      </c>
      <c r="G12" s="18">
        <v>0.1</v>
      </c>
      <c r="H12" s="19">
        <f>E12*G12</f>
        <v>168000.04316169469</v>
      </c>
      <c r="I12" s="17"/>
      <c r="J12" s="33">
        <v>1679999.7589753561</v>
      </c>
      <c r="K12" s="20" t="s">
        <v>9</v>
      </c>
      <c r="L12" s="18">
        <v>0.1</v>
      </c>
      <c r="M12" s="19">
        <f>J12*L12</f>
        <v>167999.97589753562</v>
      </c>
      <c r="N12" s="7"/>
    </row>
    <row r="13" spans="2:14" x14ac:dyDescent="0.25">
      <c r="B13" s="5"/>
      <c r="C13" s="29" t="s">
        <v>13</v>
      </c>
      <c r="D13" s="15"/>
      <c r="E13" s="30"/>
      <c r="F13" s="31"/>
      <c r="G13" s="31"/>
      <c r="H13" s="32"/>
      <c r="I13" s="15"/>
      <c r="J13" s="30"/>
      <c r="K13" s="31"/>
      <c r="L13" s="31"/>
      <c r="M13" s="32"/>
      <c r="N13" s="7"/>
    </row>
    <row r="14" spans="2:14" ht="15.75" x14ac:dyDescent="0.25">
      <c r="B14" s="5"/>
      <c r="C14" s="16" t="s">
        <v>14</v>
      </c>
      <c r="D14" s="17"/>
      <c r="E14" s="33">
        <v>2799999.8137002131</v>
      </c>
      <c r="F14" s="20" t="s">
        <v>9</v>
      </c>
      <c r="G14" s="18">
        <v>0.15</v>
      </c>
      <c r="H14" s="19">
        <f>E14*G14</f>
        <v>419999.97205503198</v>
      </c>
      <c r="I14" s="17"/>
      <c r="J14" s="33">
        <v>2799999.9623628804</v>
      </c>
      <c r="K14" s="20" t="s">
        <v>9</v>
      </c>
      <c r="L14" s="18">
        <v>0.15</v>
      </c>
      <c r="M14" s="19">
        <f>J14*L14</f>
        <v>419999.99435443204</v>
      </c>
      <c r="N14" s="7"/>
    </row>
    <row r="15" spans="2:14" x14ac:dyDescent="0.25">
      <c r="B15" s="5"/>
      <c r="C15" s="21" t="s">
        <v>15</v>
      </c>
      <c r="D15" s="22"/>
      <c r="E15" s="33">
        <v>4199999.9580978416</v>
      </c>
      <c r="F15" s="20" t="s">
        <v>9</v>
      </c>
      <c r="G15" s="18">
        <v>0.15</v>
      </c>
      <c r="H15" s="19">
        <f>E15*G15</f>
        <v>629999.99371467624</v>
      </c>
      <c r="I15" s="22"/>
      <c r="J15" s="33">
        <v>4199999.9900893336</v>
      </c>
      <c r="K15" s="20" t="s">
        <v>9</v>
      </c>
      <c r="L15" s="18">
        <v>0.15</v>
      </c>
      <c r="M15" s="19">
        <f>J15*L15</f>
        <v>629999.99851339997</v>
      </c>
      <c r="N15" s="7"/>
    </row>
    <row r="16" spans="2:14" x14ac:dyDescent="0.25">
      <c r="B16" s="5"/>
      <c r="C16" s="29" t="s">
        <v>60</v>
      </c>
      <c r="D16" s="15"/>
      <c r="E16" s="30"/>
      <c r="F16" s="31"/>
      <c r="G16" s="31"/>
      <c r="H16" s="32"/>
      <c r="I16" s="15"/>
      <c r="J16" s="30"/>
      <c r="K16" s="31"/>
      <c r="L16" s="31"/>
      <c r="M16" s="32"/>
      <c r="N16" s="7"/>
    </row>
    <row r="17" spans="2:14" ht="15.75" x14ac:dyDescent="0.25">
      <c r="B17" s="5"/>
      <c r="C17" s="16" t="s">
        <v>63</v>
      </c>
      <c r="D17" s="17"/>
      <c r="E17" s="33">
        <v>0</v>
      </c>
      <c r="F17" s="33">
        <v>0</v>
      </c>
      <c r="G17" s="18">
        <v>0.1</v>
      </c>
      <c r="H17" s="19">
        <f>E17*G17</f>
        <v>0</v>
      </c>
      <c r="I17" s="17"/>
      <c r="J17" s="33">
        <v>0</v>
      </c>
      <c r="K17" s="33">
        <v>0</v>
      </c>
      <c r="L17" s="18">
        <v>0.1</v>
      </c>
      <c r="M17" s="19">
        <f>J17*L17</f>
        <v>0</v>
      </c>
      <c r="N17" s="7"/>
    </row>
    <row r="18" spans="2:14" ht="15.75" thickBot="1" x14ac:dyDescent="0.3">
      <c r="B18" s="5"/>
      <c r="C18" s="21" t="s">
        <v>67</v>
      </c>
      <c r="D18" s="22"/>
      <c r="E18" s="33">
        <v>0</v>
      </c>
      <c r="F18" s="20" t="s">
        <v>9</v>
      </c>
      <c r="G18" s="18">
        <v>0.1</v>
      </c>
      <c r="H18" s="19">
        <f>E18*G18</f>
        <v>0</v>
      </c>
      <c r="I18" s="22"/>
      <c r="J18" s="33">
        <v>0</v>
      </c>
      <c r="K18" s="20" t="s">
        <v>9</v>
      </c>
      <c r="L18" s="18">
        <v>0.1</v>
      </c>
      <c r="M18" s="19">
        <f>J18*L18</f>
        <v>0</v>
      </c>
      <c r="N18" s="7"/>
    </row>
    <row r="19" spans="2:14" ht="21.75" thickBot="1" x14ac:dyDescent="0.4">
      <c r="B19" s="5"/>
      <c r="C19" s="36" t="s">
        <v>16</v>
      </c>
      <c r="D19" s="23"/>
      <c r="E19" s="37"/>
      <c r="F19" s="38"/>
      <c r="G19" s="38"/>
      <c r="H19" s="39">
        <f>SUM(H7:H18)</f>
        <v>3371326.4535722071</v>
      </c>
      <c r="I19" s="23"/>
      <c r="J19" s="37"/>
      <c r="K19" s="38"/>
      <c r="L19" s="38"/>
      <c r="M19" s="39">
        <f>SUM(M7:M18)</f>
        <v>3371326.3621247308</v>
      </c>
      <c r="N19" s="7"/>
    </row>
    <row r="20" spans="2:14" x14ac:dyDescent="0.2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14" x14ac:dyDescent="0.25">
      <c r="B21" s="5"/>
      <c r="C21" s="6" t="s">
        <v>61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2:14" x14ac:dyDescent="0.25">
      <c r="B22" s="5"/>
      <c r="C22" s="6" t="s">
        <v>68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2:14" x14ac:dyDescent="0.25">
      <c r="B23" s="5"/>
      <c r="C23" s="6" t="s">
        <v>62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2:14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2:14" ht="18.75" x14ac:dyDescent="0.3">
      <c r="B25" s="5"/>
      <c r="C25" s="35" t="s">
        <v>17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2:14" ht="15.75" thickBot="1" x14ac:dyDescent="0.3">
      <c r="B26" s="25"/>
      <c r="C26" s="26"/>
      <c r="D26" s="26"/>
      <c r="E26" s="26"/>
      <c r="F26" s="26"/>
      <c r="G26" s="26"/>
      <c r="H26" s="27"/>
      <c r="I26" s="26"/>
      <c r="J26" s="26"/>
      <c r="K26" s="26"/>
      <c r="L26" s="26"/>
      <c r="M26" s="27"/>
      <c r="N26" s="28"/>
    </row>
    <row r="36" spans="3:3" x14ac:dyDescent="0.25">
      <c r="C36" s="40"/>
    </row>
  </sheetData>
  <mergeCells count="2">
    <mergeCell ref="E4:H4"/>
    <mergeCell ref="J4:M4"/>
  </mergeCells>
  <pageMargins left="0.7" right="0.7" top="0.75" bottom="0.75" header="0.3" footer="0.3"/>
  <pageSetup orientation="portrait" r:id="rId1"/>
  <headerFooter>
    <oddHeader>&amp;RATTACHMENT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5CB1-A31A-4568-B2D2-5C6B6D9E8652}">
  <dimension ref="A1:S62"/>
  <sheetViews>
    <sheetView topLeftCell="H1" workbookViewId="0">
      <selection activeCell="O14" sqref="O14"/>
    </sheetView>
  </sheetViews>
  <sheetFormatPr defaultRowHeight="15" x14ac:dyDescent="0.25"/>
  <cols>
    <col min="3" max="3" width="37.42578125" customWidth="1"/>
    <col min="4" max="4" width="3.85546875" customWidth="1"/>
    <col min="5" max="7" width="10.5703125" customWidth="1"/>
    <col min="8" max="8" width="15.7109375" customWidth="1"/>
    <col min="9" max="9" width="3.42578125" customWidth="1"/>
    <col min="10" max="10" width="10.5703125" customWidth="1"/>
    <col min="11" max="11" width="11.140625" bestFit="1" customWidth="1"/>
    <col min="12" max="12" width="13.85546875" customWidth="1"/>
    <col min="13" max="13" width="16.28515625" customWidth="1"/>
    <col min="14" max="14" width="19" customWidth="1"/>
    <col min="15" max="15" width="21.42578125" customWidth="1"/>
    <col min="16" max="17" width="10.5703125" customWidth="1"/>
    <col min="18" max="18" width="19.5703125" customWidth="1"/>
  </cols>
  <sheetData>
    <row r="1" spans="1:19" ht="15.75" thickBot="1" x14ac:dyDescent="0.3"/>
    <row r="2" spans="1:19" ht="18.75" x14ac:dyDescent="0.3">
      <c r="B2" s="41" t="s">
        <v>18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ht="15.75" thickBo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ht="18.75" x14ac:dyDescent="0.3">
      <c r="B4" s="5"/>
      <c r="C4" s="42" t="s">
        <v>19</v>
      </c>
      <c r="D4" s="43"/>
      <c r="E4" s="139">
        <v>2025</v>
      </c>
      <c r="F4" s="140"/>
      <c r="G4" s="140"/>
      <c r="H4" s="141"/>
      <c r="I4" s="9"/>
      <c r="J4" s="142">
        <v>2026</v>
      </c>
      <c r="K4" s="143"/>
      <c r="L4" s="143"/>
      <c r="M4" s="144"/>
      <c r="N4" s="9"/>
      <c r="O4" s="142">
        <v>2027</v>
      </c>
      <c r="P4" s="140"/>
      <c r="Q4" s="140"/>
      <c r="R4" s="141"/>
      <c r="S4" s="7"/>
    </row>
    <row r="5" spans="1:19" x14ac:dyDescent="0.25">
      <c r="B5" s="5"/>
      <c r="C5" s="109" t="s">
        <v>20</v>
      </c>
      <c r="D5" s="44"/>
      <c r="E5" s="110" t="s">
        <v>21</v>
      </c>
      <c r="F5" s="111" t="s">
        <v>22</v>
      </c>
      <c r="G5" s="112"/>
      <c r="H5" s="113" t="s">
        <v>23</v>
      </c>
      <c r="I5" s="45"/>
      <c r="J5" s="114" t="s">
        <v>21</v>
      </c>
      <c r="K5" s="111" t="s">
        <v>22</v>
      </c>
      <c r="L5" s="112"/>
      <c r="M5" s="113" t="s">
        <v>24</v>
      </c>
      <c r="N5" s="45"/>
      <c r="O5" s="114" t="s">
        <v>21</v>
      </c>
      <c r="P5" s="111" t="s">
        <v>22</v>
      </c>
      <c r="Q5" s="112"/>
      <c r="R5" s="113" t="s">
        <v>25</v>
      </c>
      <c r="S5" s="7"/>
    </row>
    <row r="6" spans="1:19" ht="16.5" thickBot="1" x14ac:dyDescent="0.3">
      <c r="B6" s="5"/>
      <c r="C6" s="46" t="s">
        <v>26</v>
      </c>
      <c r="D6" s="47"/>
      <c r="E6" s="48">
        <v>51250</v>
      </c>
      <c r="F6" s="123">
        <v>15</v>
      </c>
      <c r="G6" s="49"/>
      <c r="H6" s="50">
        <f>E6*F6</f>
        <v>768750</v>
      </c>
      <c r="I6" s="9"/>
      <c r="J6" s="51">
        <v>51250</v>
      </c>
      <c r="K6" s="123">
        <v>15</v>
      </c>
      <c r="L6" s="49"/>
      <c r="M6" s="50">
        <f>J6*K6</f>
        <v>768750</v>
      </c>
      <c r="N6" s="9"/>
      <c r="O6" s="51">
        <v>51250</v>
      </c>
      <c r="P6" s="123">
        <v>15</v>
      </c>
      <c r="Q6" s="49"/>
      <c r="R6" s="50">
        <f>O6*P6</f>
        <v>768750</v>
      </c>
      <c r="S6" s="7"/>
    </row>
    <row r="7" spans="1:19" ht="16.5" thickBot="1" x14ac:dyDescent="0.3">
      <c r="B7" s="5"/>
      <c r="C7" s="52"/>
      <c r="D7" s="53"/>
      <c r="E7" s="54"/>
      <c r="F7" s="55"/>
      <c r="G7" s="56"/>
      <c r="H7" s="57"/>
      <c r="I7" s="9"/>
      <c r="J7" s="58"/>
      <c r="K7" s="55"/>
      <c r="L7" s="56"/>
      <c r="M7" s="57"/>
      <c r="N7" s="9"/>
      <c r="O7" s="58"/>
      <c r="P7" s="55"/>
      <c r="Q7" s="56"/>
      <c r="R7" s="57"/>
      <c r="S7" s="7"/>
    </row>
    <row r="8" spans="1:19" x14ac:dyDescent="0.25">
      <c r="B8" s="5"/>
      <c r="C8" s="109" t="s">
        <v>27</v>
      </c>
      <c r="D8" s="15"/>
      <c r="E8" s="115"/>
      <c r="F8" s="115"/>
      <c r="G8" s="115"/>
      <c r="H8" s="116"/>
      <c r="I8" s="9"/>
      <c r="J8" s="117"/>
      <c r="K8" s="115"/>
      <c r="L8" s="115"/>
      <c r="M8" s="116"/>
      <c r="N8" s="9"/>
      <c r="O8" s="117"/>
      <c r="P8" s="115"/>
      <c r="Q8" s="115"/>
      <c r="R8" s="116"/>
      <c r="S8" s="7"/>
    </row>
    <row r="9" spans="1:19" ht="60" x14ac:dyDescent="0.25">
      <c r="B9" s="5"/>
      <c r="C9" s="59" t="s">
        <v>28</v>
      </c>
      <c r="D9" s="60"/>
      <c r="E9" s="61" t="s">
        <v>29</v>
      </c>
      <c r="F9" s="61" t="s">
        <v>30</v>
      </c>
      <c r="G9" s="61" t="s">
        <v>31</v>
      </c>
      <c r="H9" s="62" t="s">
        <v>32</v>
      </c>
      <c r="I9" s="63"/>
      <c r="J9" s="64" t="s">
        <v>29</v>
      </c>
      <c r="K9" s="61" t="s">
        <v>30</v>
      </c>
      <c r="L9" s="61" t="s">
        <v>31</v>
      </c>
      <c r="M9" s="62" t="s">
        <v>33</v>
      </c>
      <c r="N9" s="9"/>
      <c r="O9" s="64" t="s">
        <v>29</v>
      </c>
      <c r="P9" s="61" t="s">
        <v>30</v>
      </c>
      <c r="Q9" s="61" t="s">
        <v>31</v>
      </c>
      <c r="R9" s="62" t="s">
        <v>33</v>
      </c>
      <c r="S9" s="7"/>
    </row>
    <row r="10" spans="1:19" ht="15.75" x14ac:dyDescent="0.25">
      <c r="B10" s="5"/>
      <c r="C10" s="65" t="s">
        <v>34</v>
      </c>
      <c r="D10" s="66"/>
      <c r="E10" s="67">
        <v>100</v>
      </c>
      <c r="F10" s="124">
        <v>230</v>
      </c>
      <c r="G10" s="124">
        <v>100</v>
      </c>
      <c r="H10" s="68">
        <f>$O$22/$F$14*F10/E10*G10</f>
        <v>912978.94736842101</v>
      </c>
      <c r="I10" s="9"/>
      <c r="J10" s="69">
        <v>100</v>
      </c>
      <c r="K10" s="124">
        <v>230</v>
      </c>
      <c r="L10" s="124">
        <v>100</v>
      </c>
      <c r="M10" s="68">
        <f>$O$22/$F$14*K10/J10*L10</f>
        <v>912978.94736842101</v>
      </c>
      <c r="N10" s="9"/>
      <c r="O10" s="69">
        <v>100</v>
      </c>
      <c r="P10" s="124">
        <v>230</v>
      </c>
      <c r="Q10" s="124">
        <v>100</v>
      </c>
      <c r="R10" s="68">
        <f>$O$22/$F$14*P10/O10*Q10</f>
        <v>912978.94736842101</v>
      </c>
      <c r="S10" s="7"/>
    </row>
    <row r="11" spans="1:19" ht="15.75" x14ac:dyDescent="0.25">
      <c r="B11" s="5"/>
      <c r="C11" s="70" t="s">
        <v>35</v>
      </c>
      <c r="D11" s="71"/>
      <c r="E11" s="72">
        <v>100</v>
      </c>
      <c r="F11" s="125">
        <v>230</v>
      </c>
      <c r="G11" s="125">
        <v>100</v>
      </c>
      <c r="H11" s="73">
        <f>$O$22/$F$14*F11/E11*G11</f>
        <v>912978.94736842101</v>
      </c>
      <c r="I11" s="9"/>
      <c r="J11" s="74">
        <v>100</v>
      </c>
      <c r="K11" s="125">
        <v>230</v>
      </c>
      <c r="L11" s="125">
        <v>100</v>
      </c>
      <c r="M11" s="73">
        <f>$O$22/$F$14*K11/J11*L11</f>
        <v>912978.94736842101</v>
      </c>
      <c r="N11" s="9"/>
      <c r="O11" s="74">
        <v>100</v>
      </c>
      <c r="P11" s="125">
        <v>230</v>
      </c>
      <c r="Q11" s="125">
        <v>100</v>
      </c>
      <c r="R11" s="73">
        <f>$O$22/$F$14*P11/O11*Q11</f>
        <v>912978.94736842101</v>
      </c>
      <c r="S11" s="7"/>
    </row>
    <row r="12" spans="1:19" ht="15.75" x14ac:dyDescent="0.25">
      <c r="B12" s="5"/>
      <c r="C12" s="70" t="s">
        <v>36</v>
      </c>
      <c r="D12" s="71"/>
      <c r="E12" s="72">
        <v>180</v>
      </c>
      <c r="F12" s="125">
        <v>5</v>
      </c>
      <c r="G12" s="125">
        <v>180</v>
      </c>
      <c r="H12" s="73">
        <f>$O$22/$F$14*F12/E12*G12</f>
        <v>19847.36842105263</v>
      </c>
      <c r="I12" s="9"/>
      <c r="J12" s="74">
        <v>180</v>
      </c>
      <c r="K12" s="125">
        <v>5</v>
      </c>
      <c r="L12" s="125">
        <v>180</v>
      </c>
      <c r="M12" s="73">
        <f>$O$22/$F$14*K12/J12*L12</f>
        <v>19847.36842105263</v>
      </c>
      <c r="N12" s="9"/>
      <c r="O12" s="74">
        <v>180</v>
      </c>
      <c r="P12" s="125">
        <v>5</v>
      </c>
      <c r="Q12" s="125">
        <v>180</v>
      </c>
      <c r="R12" s="73">
        <f>$O$22/$F$14*P12/O12*Q12</f>
        <v>19847.36842105263</v>
      </c>
      <c r="S12" s="7"/>
    </row>
    <row r="13" spans="1:19" ht="15.75" x14ac:dyDescent="0.25">
      <c r="B13" s="5"/>
      <c r="C13" s="70" t="s">
        <v>37</v>
      </c>
      <c r="D13" s="71"/>
      <c r="E13" s="72">
        <v>100</v>
      </c>
      <c r="F13" s="125">
        <v>10</v>
      </c>
      <c r="G13" s="125">
        <v>100</v>
      </c>
      <c r="H13" s="73">
        <f>$O$22/$F$14*F13/E13*G13</f>
        <v>39694.73684210526</v>
      </c>
      <c r="I13" s="9"/>
      <c r="J13" s="74">
        <v>100</v>
      </c>
      <c r="K13" s="125">
        <v>10</v>
      </c>
      <c r="L13" s="125">
        <v>100</v>
      </c>
      <c r="M13" s="73">
        <f>$O$22/$F$14*K13/J13*L13</f>
        <v>39694.73684210526</v>
      </c>
      <c r="N13" s="9"/>
      <c r="O13" s="74">
        <v>100</v>
      </c>
      <c r="P13" s="125">
        <v>10</v>
      </c>
      <c r="Q13" s="125">
        <v>100</v>
      </c>
      <c r="R13" s="73">
        <f>$O$22/$F$14*P13/O13*Q13</f>
        <v>39694.73684210526</v>
      </c>
      <c r="S13" s="7"/>
    </row>
    <row r="14" spans="1:19" ht="16.5" thickBot="1" x14ac:dyDescent="0.3">
      <c r="B14" s="5"/>
      <c r="C14" s="118" t="s">
        <v>38</v>
      </c>
      <c r="D14" s="75"/>
      <c r="E14" s="119"/>
      <c r="F14" s="120">
        <f>SUM(F10:F13)</f>
        <v>475</v>
      </c>
      <c r="G14" s="120"/>
      <c r="H14" s="121">
        <f>H10+H11+H12+H13</f>
        <v>1885499.9999999998</v>
      </c>
      <c r="I14" s="9"/>
      <c r="J14" s="122"/>
      <c r="K14" s="120">
        <f>SUM(K10:K13)</f>
        <v>475</v>
      </c>
      <c r="L14" s="120"/>
      <c r="M14" s="121">
        <f>M10+M11+M12+M13</f>
        <v>1885499.9999999998</v>
      </c>
      <c r="N14" s="9"/>
      <c r="O14" s="122"/>
      <c r="P14" s="120">
        <f>SUM(P10:P13)</f>
        <v>475</v>
      </c>
      <c r="Q14" s="120"/>
      <c r="R14" s="121">
        <f>R10+R11+R12+R13</f>
        <v>1885499.9999999998</v>
      </c>
      <c r="S14" s="7"/>
    </row>
    <row r="15" spans="1:19" ht="19.5" thickBot="1" x14ac:dyDescent="0.35">
      <c r="A15" s="76"/>
      <c r="B15" s="77"/>
      <c r="C15" s="78" t="s">
        <v>39</v>
      </c>
      <c r="D15" s="78"/>
      <c r="E15" s="132"/>
      <c r="F15" s="133"/>
      <c r="G15" s="133"/>
      <c r="H15" s="134">
        <f>H14+H6</f>
        <v>2654250</v>
      </c>
      <c r="I15" s="79"/>
      <c r="J15" s="132"/>
      <c r="K15" s="133"/>
      <c r="L15" s="133"/>
      <c r="M15" s="134">
        <f>M14+M6</f>
        <v>2654250</v>
      </c>
      <c r="N15" s="79"/>
      <c r="O15" s="132"/>
      <c r="P15" s="133"/>
      <c r="Q15" s="133"/>
      <c r="R15" s="134">
        <f>R14+R6</f>
        <v>2654250</v>
      </c>
      <c r="S15" s="80"/>
    </row>
    <row r="16" spans="1:19" x14ac:dyDescent="0.25">
      <c r="B16" s="5"/>
      <c r="C16" s="81"/>
      <c r="D16" s="81"/>
      <c r="E16" s="81"/>
      <c r="F16" s="81"/>
      <c r="G16" s="6"/>
      <c r="H16" s="82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</row>
    <row r="17" spans="2:19" ht="18.75" x14ac:dyDescent="0.3">
      <c r="B17" s="5"/>
      <c r="C17" s="81"/>
      <c r="D17" s="81"/>
      <c r="E17" s="81"/>
      <c r="F17" s="24" t="s">
        <v>17</v>
      </c>
      <c r="G17" s="83"/>
      <c r="H17" s="82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2:19" ht="15.75" thickBot="1" x14ac:dyDescent="0.3">
      <c r="B18" s="25"/>
      <c r="C18" s="84"/>
      <c r="D18" s="84"/>
      <c r="E18" s="84"/>
      <c r="F18" s="84"/>
      <c r="G18" s="26"/>
      <c r="H18" s="8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8"/>
    </row>
    <row r="19" spans="2:19" ht="15.75" thickBot="1" x14ac:dyDescent="0.3">
      <c r="B19" s="86"/>
      <c r="C19" s="87"/>
      <c r="D19" s="87"/>
      <c r="E19" s="87"/>
      <c r="F19" s="87"/>
      <c r="G19" s="86"/>
      <c r="H19" s="88"/>
      <c r="I19" s="86"/>
      <c r="J19" s="86"/>
      <c r="K19" s="86"/>
      <c r="L19" s="86"/>
      <c r="M19" s="88"/>
      <c r="N19" s="86"/>
    </row>
    <row r="20" spans="2:19" ht="18.75" x14ac:dyDescent="0.3">
      <c r="B20" s="89" t="s">
        <v>40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</row>
    <row r="21" spans="2:19" ht="15.75" x14ac:dyDescent="0.25">
      <c r="B21" s="126" t="s">
        <v>41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27" t="s">
        <v>42</v>
      </c>
      <c r="P21" s="92"/>
    </row>
    <row r="22" spans="2:19" x14ac:dyDescent="0.25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28">
        <f>12570000*O23</f>
        <v>1885500</v>
      </c>
      <c r="P22" s="92"/>
      <c r="Q22" s="93"/>
    </row>
    <row r="23" spans="2:19" x14ac:dyDescent="0.25">
      <c r="B23" s="5"/>
      <c r="C23" s="6"/>
      <c r="D23" s="6"/>
      <c r="E23" s="6"/>
      <c r="F23" s="6"/>
      <c r="G23" s="129" t="s">
        <v>43</v>
      </c>
      <c r="H23" s="128">
        <f>O22</f>
        <v>1885500</v>
      </c>
      <c r="I23" s="145" t="s">
        <v>44</v>
      </c>
      <c r="J23" s="6" t="s">
        <v>45</v>
      </c>
      <c r="K23" s="6"/>
      <c r="L23" s="6"/>
      <c r="M23" s="6"/>
      <c r="N23" s="6"/>
      <c r="O23" s="6">
        <v>0.15</v>
      </c>
      <c r="P23" s="92"/>
    </row>
    <row r="24" spans="2:19" x14ac:dyDescent="0.25">
      <c r="B24" s="5"/>
      <c r="C24" s="6"/>
      <c r="D24" s="6"/>
      <c r="E24" s="6"/>
      <c r="F24" s="6"/>
      <c r="G24" s="6"/>
      <c r="H24" s="6" t="s">
        <v>29</v>
      </c>
      <c r="I24" s="145"/>
      <c r="J24" s="6" t="s">
        <v>46</v>
      </c>
      <c r="K24" s="6"/>
      <c r="L24" s="6"/>
      <c r="M24" s="6"/>
      <c r="N24" s="6"/>
      <c r="O24" s="127" t="s">
        <v>47</v>
      </c>
      <c r="P24" s="92"/>
    </row>
    <row r="25" spans="2:19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8">
        <f>O22*1</f>
        <v>1885500</v>
      </c>
      <c r="P25" s="92"/>
    </row>
    <row r="26" spans="2:19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2"/>
    </row>
    <row r="27" spans="2:19" x14ac:dyDescent="0.25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27" t="s">
        <v>29</v>
      </c>
      <c r="P27" s="92"/>
    </row>
    <row r="28" spans="2:19" x14ac:dyDescent="0.25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131" t="s">
        <v>36</v>
      </c>
      <c r="N28" s="6"/>
      <c r="O28" s="130">
        <v>180</v>
      </c>
      <c r="P28" s="92"/>
    </row>
    <row r="29" spans="2:19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131" t="s">
        <v>37</v>
      </c>
      <c r="N29" s="6"/>
      <c r="O29" s="130">
        <v>100</v>
      </c>
      <c r="P29" s="92"/>
    </row>
    <row r="30" spans="2:19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131" t="s">
        <v>48</v>
      </c>
      <c r="N30" s="6"/>
      <c r="O30" s="130">
        <v>100</v>
      </c>
      <c r="P30" s="92"/>
    </row>
    <row r="31" spans="2:19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131" t="s">
        <v>35</v>
      </c>
      <c r="N31" s="6"/>
      <c r="O31" s="130">
        <v>100</v>
      </c>
      <c r="P31" s="92"/>
    </row>
    <row r="32" spans="2:19" x14ac:dyDescent="0.25">
      <c r="B32" s="94"/>
      <c r="P32" s="92"/>
    </row>
    <row r="33" spans="2:16" x14ac:dyDescent="0.25">
      <c r="B33" s="94"/>
      <c r="N33" s="95">
        <f>O25-O22</f>
        <v>0</v>
      </c>
      <c r="P33" s="92"/>
    </row>
    <row r="34" spans="2:16" x14ac:dyDescent="0.25">
      <c r="B34" s="94"/>
      <c r="P34" s="92"/>
    </row>
    <row r="35" spans="2:16" x14ac:dyDescent="0.25">
      <c r="B35" s="94"/>
      <c r="C35" s="96" t="s">
        <v>49</v>
      </c>
      <c r="D35" s="96"/>
      <c r="E35" s="138" t="s">
        <v>30</v>
      </c>
      <c r="F35" s="138"/>
      <c r="G35" s="138"/>
      <c r="H35" s="138"/>
      <c r="I35" s="96"/>
      <c r="J35" s="138" t="s">
        <v>50</v>
      </c>
      <c r="K35" s="138"/>
      <c r="L35" s="138"/>
      <c r="M35" s="138"/>
      <c r="N35" s="97"/>
      <c r="P35" s="92"/>
    </row>
    <row r="36" spans="2:16" x14ac:dyDescent="0.25">
      <c r="B36" s="94"/>
      <c r="C36" s="97"/>
      <c r="D36" s="97"/>
      <c r="E36" s="97" t="s">
        <v>34</v>
      </c>
      <c r="F36" s="97" t="s">
        <v>35</v>
      </c>
      <c r="G36" s="97" t="s">
        <v>36</v>
      </c>
      <c r="H36" s="97" t="s">
        <v>37</v>
      </c>
      <c r="I36" s="97"/>
      <c r="J36" s="97" t="s">
        <v>34</v>
      </c>
      <c r="K36" s="97" t="s">
        <v>35</v>
      </c>
      <c r="L36" s="97" t="s">
        <v>36</v>
      </c>
      <c r="M36" s="97" t="s">
        <v>37</v>
      </c>
      <c r="N36" s="97"/>
      <c r="P36" s="92"/>
    </row>
    <row r="37" spans="2:16" x14ac:dyDescent="0.25">
      <c r="B37" s="94"/>
      <c r="C37" s="98" t="s">
        <v>51</v>
      </c>
      <c r="D37" s="98"/>
      <c r="E37" s="97">
        <v>10</v>
      </c>
      <c r="F37" s="97">
        <v>10</v>
      </c>
      <c r="G37" s="97">
        <v>5</v>
      </c>
      <c r="H37" s="97">
        <v>50</v>
      </c>
      <c r="I37" s="97"/>
      <c r="J37" s="99">
        <f t="shared" ref="J37:M40" si="0">E37/SUM($E37:$H37)*$O$22</f>
        <v>251400</v>
      </c>
      <c r="K37" s="99">
        <f t="shared" si="0"/>
        <v>251400</v>
      </c>
      <c r="L37" s="99">
        <f t="shared" si="0"/>
        <v>125700</v>
      </c>
      <c r="M37" s="99">
        <f t="shared" si="0"/>
        <v>1257000</v>
      </c>
      <c r="N37" s="100">
        <f>SUM(J37:M37)-$O$22</f>
        <v>0</v>
      </c>
      <c r="O37" s="95"/>
      <c r="P37" s="92"/>
    </row>
    <row r="38" spans="2:16" x14ac:dyDescent="0.25">
      <c r="B38" s="94"/>
      <c r="C38" s="98" t="s">
        <v>52</v>
      </c>
      <c r="D38" s="98"/>
      <c r="E38" s="97">
        <v>230</v>
      </c>
      <c r="F38" s="97">
        <v>230</v>
      </c>
      <c r="G38" s="97">
        <v>5</v>
      </c>
      <c r="H38" s="97">
        <v>10</v>
      </c>
      <c r="I38" s="97"/>
      <c r="J38" s="99">
        <f t="shared" si="0"/>
        <v>912978.94736842101</v>
      </c>
      <c r="K38" s="99">
        <f t="shared" si="0"/>
        <v>912978.94736842101</v>
      </c>
      <c r="L38" s="99">
        <f t="shared" si="0"/>
        <v>19847.36842105263</v>
      </c>
      <c r="M38" s="99">
        <f t="shared" si="0"/>
        <v>39694.73684210526</v>
      </c>
      <c r="N38" s="100">
        <f>SUM(J38:M38)-$O$22</f>
        <v>0</v>
      </c>
      <c r="P38" s="92"/>
    </row>
    <row r="39" spans="2:16" x14ac:dyDescent="0.25">
      <c r="B39" s="94"/>
      <c r="C39" s="98" t="s">
        <v>53</v>
      </c>
      <c r="D39" s="98"/>
      <c r="E39" s="97">
        <v>5</v>
      </c>
      <c r="F39" s="97">
        <v>230</v>
      </c>
      <c r="G39" s="97">
        <v>15</v>
      </c>
      <c r="H39" s="97">
        <v>230</v>
      </c>
      <c r="I39" s="97"/>
      <c r="J39" s="99">
        <f t="shared" si="0"/>
        <v>19640.625</v>
      </c>
      <c r="K39" s="99">
        <f t="shared" si="0"/>
        <v>903468.75</v>
      </c>
      <c r="L39" s="99">
        <f t="shared" si="0"/>
        <v>58921.875</v>
      </c>
      <c r="M39" s="99">
        <f t="shared" si="0"/>
        <v>903468.75</v>
      </c>
      <c r="N39" s="100">
        <f>SUM(J39:M39)-$O$22</f>
        <v>0</v>
      </c>
      <c r="P39" s="92"/>
    </row>
    <row r="40" spans="2:16" x14ac:dyDescent="0.25">
      <c r="B40" s="94"/>
      <c r="C40" s="98" t="s">
        <v>54</v>
      </c>
      <c r="D40" s="98"/>
      <c r="E40" s="97">
        <v>10</v>
      </c>
      <c r="F40" s="97">
        <v>5</v>
      </c>
      <c r="G40" s="97">
        <v>230</v>
      </c>
      <c r="H40" s="97">
        <v>20</v>
      </c>
      <c r="I40" s="97"/>
      <c r="J40" s="99">
        <f t="shared" si="0"/>
        <v>71150.943396226416</v>
      </c>
      <c r="K40" s="99">
        <f t="shared" si="0"/>
        <v>35575.471698113208</v>
      </c>
      <c r="L40" s="99">
        <f t="shared" si="0"/>
        <v>1636471.6981132077</v>
      </c>
      <c r="M40" s="99">
        <f t="shared" si="0"/>
        <v>142301.88679245283</v>
      </c>
      <c r="N40" s="100">
        <f>SUM(J40:M40)-$O$22</f>
        <v>0</v>
      </c>
      <c r="P40" s="92"/>
    </row>
    <row r="41" spans="2:16" x14ac:dyDescent="0.25">
      <c r="B41" s="94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101" t="s">
        <v>55</v>
      </c>
      <c r="P41" s="92"/>
    </row>
    <row r="42" spans="2:16" x14ac:dyDescent="0.25">
      <c r="B42" s="94"/>
      <c r="P42" s="92"/>
    </row>
    <row r="43" spans="2:16" x14ac:dyDescent="0.25">
      <c r="B43" s="94"/>
      <c r="C43" s="96" t="s">
        <v>49</v>
      </c>
      <c r="D43" s="96"/>
      <c r="E43" s="138" t="s">
        <v>56</v>
      </c>
      <c r="F43" s="138"/>
      <c r="G43" s="138"/>
      <c r="H43" s="138"/>
      <c r="I43" s="96"/>
      <c r="J43" s="138" t="s">
        <v>31</v>
      </c>
      <c r="K43" s="138"/>
      <c r="L43" s="138"/>
      <c r="M43" s="138"/>
      <c r="N43" s="102"/>
      <c r="P43" s="92"/>
    </row>
    <row r="44" spans="2:16" x14ac:dyDescent="0.25">
      <c r="B44" s="94"/>
      <c r="C44" s="97"/>
      <c r="D44" s="97"/>
      <c r="E44" s="97" t="s">
        <v>34</v>
      </c>
      <c r="F44" s="97" t="s">
        <v>35</v>
      </c>
      <c r="G44" s="97" t="s">
        <v>36</v>
      </c>
      <c r="H44" s="97" t="s">
        <v>37</v>
      </c>
      <c r="I44" s="97"/>
      <c r="J44" s="97" t="s">
        <v>34</v>
      </c>
      <c r="K44" s="97" t="s">
        <v>35</v>
      </c>
      <c r="L44" s="97" t="s">
        <v>36</v>
      </c>
      <c r="M44" s="97" t="s">
        <v>37</v>
      </c>
      <c r="P44" s="92"/>
    </row>
    <row r="45" spans="2:16" x14ac:dyDescent="0.25">
      <c r="B45" s="94"/>
      <c r="C45" s="98" t="s">
        <v>51</v>
      </c>
      <c r="D45" s="98"/>
      <c r="E45" s="103">
        <f>J37/$O$30</f>
        <v>2514</v>
      </c>
      <c r="F45" s="103">
        <f>K37/$O$31</f>
        <v>2514</v>
      </c>
      <c r="G45" s="103">
        <f>L37/$O$28</f>
        <v>698.33333333333337</v>
      </c>
      <c r="H45" s="103">
        <f>M37/$O$29</f>
        <v>12570</v>
      </c>
      <c r="I45" s="97"/>
      <c r="J45" s="97">
        <v>100</v>
      </c>
      <c r="K45" s="97">
        <v>100</v>
      </c>
      <c r="L45" s="97">
        <v>180</v>
      </c>
      <c r="M45" s="97">
        <v>100</v>
      </c>
      <c r="P45" s="92"/>
    </row>
    <row r="46" spans="2:16" x14ac:dyDescent="0.25">
      <c r="B46" s="94"/>
      <c r="C46" s="98" t="s">
        <v>52</v>
      </c>
      <c r="D46" s="98"/>
      <c r="E46" s="103">
        <f>J38/$O$30</f>
        <v>9129.78947368421</v>
      </c>
      <c r="F46" s="103">
        <f>K38/$O$31</f>
        <v>9129.78947368421</v>
      </c>
      <c r="G46" s="103">
        <f>L38/$O$28</f>
        <v>110.26315789473684</v>
      </c>
      <c r="H46" s="103">
        <f>M38/$O$29</f>
        <v>396.9473684210526</v>
      </c>
      <c r="I46" s="97"/>
      <c r="J46" s="97">
        <v>80</v>
      </c>
      <c r="K46" s="97">
        <v>80</v>
      </c>
      <c r="L46" s="97">
        <v>150</v>
      </c>
      <c r="M46" s="97">
        <v>80</v>
      </c>
      <c r="P46" s="92"/>
    </row>
    <row r="47" spans="2:16" x14ac:dyDescent="0.25">
      <c r="B47" s="94"/>
      <c r="C47" s="98" t="s">
        <v>53</v>
      </c>
      <c r="D47" s="98"/>
      <c r="E47" s="103">
        <f>J39/$O$30</f>
        <v>196.40625</v>
      </c>
      <c r="F47" s="103">
        <f>K39/$O$31</f>
        <v>9034.6875</v>
      </c>
      <c r="G47" s="103">
        <f>L39/$O$28</f>
        <v>327.34375</v>
      </c>
      <c r="H47" s="103">
        <f>M39/$O$29</f>
        <v>9034.6875</v>
      </c>
      <c r="I47" s="97"/>
      <c r="J47" s="97">
        <v>140</v>
      </c>
      <c r="K47" s="97">
        <v>150</v>
      </c>
      <c r="L47" s="97">
        <v>200</v>
      </c>
      <c r="M47" s="97">
        <v>140</v>
      </c>
      <c r="P47" s="92"/>
    </row>
    <row r="48" spans="2:16" x14ac:dyDescent="0.25">
      <c r="B48" s="94"/>
      <c r="C48" s="98" t="s">
        <v>54</v>
      </c>
      <c r="D48" s="98"/>
      <c r="E48" s="103">
        <f>J40/$O$30</f>
        <v>711.50943396226421</v>
      </c>
      <c r="F48" s="103">
        <f>K40/$O$31</f>
        <v>355.75471698113211</v>
      </c>
      <c r="G48" s="103">
        <f>L40/$O$28</f>
        <v>9091.5094339622647</v>
      </c>
      <c r="H48" s="103">
        <f>M40/$O$29</f>
        <v>1423.0188679245284</v>
      </c>
      <c r="I48" s="97"/>
      <c r="J48" s="97">
        <v>100</v>
      </c>
      <c r="K48" s="97">
        <v>80</v>
      </c>
      <c r="L48" s="97">
        <v>200</v>
      </c>
      <c r="M48" s="97">
        <v>80</v>
      </c>
      <c r="P48" s="92"/>
    </row>
    <row r="49" spans="2:16" x14ac:dyDescent="0.25">
      <c r="B49" s="94"/>
      <c r="P49" s="92"/>
    </row>
    <row r="50" spans="2:16" x14ac:dyDescent="0.25">
      <c r="B50" s="94"/>
      <c r="P50" s="92"/>
    </row>
    <row r="51" spans="2:16" x14ac:dyDescent="0.25">
      <c r="B51" s="94"/>
      <c r="P51" s="92"/>
    </row>
    <row r="52" spans="2:16" x14ac:dyDescent="0.25">
      <c r="B52" s="94"/>
      <c r="P52" s="92"/>
    </row>
    <row r="53" spans="2:16" x14ac:dyDescent="0.25">
      <c r="B53" s="94"/>
      <c r="J53" s="138" t="s">
        <v>57</v>
      </c>
      <c r="K53" s="138"/>
      <c r="L53" s="138"/>
      <c r="M53" s="138"/>
      <c r="N53" s="138"/>
      <c r="O53" s="138"/>
      <c r="P53" s="92"/>
    </row>
    <row r="54" spans="2:16" x14ac:dyDescent="0.25">
      <c r="B54" s="94"/>
      <c r="J54" s="97" t="s">
        <v>34</v>
      </c>
      <c r="K54" s="97" t="s">
        <v>35</v>
      </c>
      <c r="L54" s="97" t="s">
        <v>36</v>
      </c>
      <c r="M54" s="97" t="s">
        <v>37</v>
      </c>
      <c r="N54" s="97" t="s">
        <v>58</v>
      </c>
      <c r="O54" s="104" t="s">
        <v>59</v>
      </c>
      <c r="P54" s="92"/>
    </row>
    <row r="55" spans="2:16" x14ac:dyDescent="0.25">
      <c r="B55" s="94"/>
      <c r="J55" s="99">
        <f t="shared" ref="J55:M58" si="1">J45*E45</f>
        <v>251400</v>
      </c>
      <c r="K55" s="99">
        <f t="shared" si="1"/>
        <v>251400</v>
      </c>
      <c r="L55" s="99">
        <f t="shared" si="1"/>
        <v>125700</v>
      </c>
      <c r="M55" s="99">
        <f t="shared" si="1"/>
        <v>1257000</v>
      </c>
      <c r="N55" s="99">
        <f>SUM(J55:M55)</f>
        <v>1885500</v>
      </c>
      <c r="O55" s="105">
        <f>IF(N55&gt;$O$25,$O$25,N55)</f>
        <v>1885500</v>
      </c>
      <c r="P55" s="92"/>
    </row>
    <row r="56" spans="2:16" x14ac:dyDescent="0.25">
      <c r="B56" s="94"/>
      <c r="J56" s="99">
        <f t="shared" si="1"/>
        <v>730383.15789473685</v>
      </c>
      <c r="K56" s="99">
        <f t="shared" si="1"/>
        <v>730383.15789473685</v>
      </c>
      <c r="L56" s="99">
        <f t="shared" si="1"/>
        <v>16539.473684210527</v>
      </c>
      <c r="M56" s="99">
        <f t="shared" si="1"/>
        <v>31755.789473684206</v>
      </c>
      <c r="N56" s="99">
        <f>SUM(J56:M56)</f>
        <v>1509061.5789473685</v>
      </c>
      <c r="O56" s="105">
        <f>IF(N56&gt;$O$25,$O$25,N56)</f>
        <v>1509061.5789473685</v>
      </c>
      <c r="P56" s="92"/>
    </row>
    <row r="57" spans="2:16" x14ac:dyDescent="0.25">
      <c r="B57" s="94"/>
      <c r="J57" s="99">
        <f t="shared" si="1"/>
        <v>27496.875</v>
      </c>
      <c r="K57" s="99">
        <f t="shared" si="1"/>
        <v>1355203.125</v>
      </c>
      <c r="L57" s="99">
        <f t="shared" si="1"/>
        <v>65468.75</v>
      </c>
      <c r="M57" s="99">
        <f t="shared" si="1"/>
        <v>1264856.25</v>
      </c>
      <c r="N57" s="99">
        <f>SUM(J57:M57)</f>
        <v>2713025</v>
      </c>
      <c r="O57" s="105">
        <f>IF(N57&gt;$O$25,$O$25,N57)</f>
        <v>1885500</v>
      </c>
      <c r="P57" s="92"/>
    </row>
    <row r="58" spans="2:16" x14ac:dyDescent="0.25">
      <c r="B58" s="94"/>
      <c r="J58" s="99">
        <f t="shared" si="1"/>
        <v>71150.943396226416</v>
      </c>
      <c r="K58" s="99">
        <f t="shared" si="1"/>
        <v>28460.377358490568</v>
      </c>
      <c r="L58" s="99">
        <f t="shared" si="1"/>
        <v>1818301.886792453</v>
      </c>
      <c r="M58" s="99">
        <f t="shared" si="1"/>
        <v>113841.50943396227</v>
      </c>
      <c r="N58" s="99">
        <f>SUM(J58:M58)</f>
        <v>2031754.7169811323</v>
      </c>
      <c r="O58" s="105">
        <f>IF(N58&gt;$O$25,$O$25,N58)</f>
        <v>1885500</v>
      </c>
      <c r="P58" s="92"/>
    </row>
    <row r="59" spans="2:16" x14ac:dyDescent="0.25">
      <c r="B59" s="94"/>
      <c r="P59" s="92"/>
    </row>
    <row r="60" spans="2:16" x14ac:dyDescent="0.25">
      <c r="B60" s="94" t="s">
        <v>65</v>
      </c>
      <c r="P60" s="92"/>
    </row>
    <row r="61" spans="2:16" x14ac:dyDescent="0.25">
      <c r="B61" s="94" t="s">
        <v>66</v>
      </c>
      <c r="P61" s="92"/>
    </row>
    <row r="62" spans="2:16" ht="15.75" thickBot="1" x14ac:dyDescent="0.3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8"/>
    </row>
  </sheetData>
  <mergeCells count="9">
    <mergeCell ref="E43:H43"/>
    <mergeCell ref="J43:M43"/>
    <mergeCell ref="J53:O53"/>
    <mergeCell ref="E4:H4"/>
    <mergeCell ref="J4:M4"/>
    <mergeCell ref="O4:R4"/>
    <mergeCell ref="I23:I24"/>
    <mergeCell ref="E35:H35"/>
    <mergeCell ref="J35:M35"/>
  </mergeCells>
  <conditionalFormatting sqref="C37:H40">
    <cfRule type="expression" dxfId="4" priority="5">
      <formula>MOD(ROW(),2)=0</formula>
    </cfRule>
  </conditionalFormatting>
  <conditionalFormatting sqref="C45:H48">
    <cfRule type="expression" dxfId="3" priority="3">
      <formula>MOD(ROW(),2)=0</formula>
    </cfRule>
  </conditionalFormatting>
  <conditionalFormatting sqref="J45:M48">
    <cfRule type="expression" dxfId="2" priority="2">
      <formula>MOD(ROW(),2)=0</formula>
    </cfRule>
  </conditionalFormatting>
  <conditionalFormatting sqref="J37:N40">
    <cfRule type="expression" dxfId="1" priority="4">
      <formula>MOD(ROW(),2)=0</formula>
    </cfRule>
  </conditionalFormatting>
  <conditionalFormatting sqref="J55:N58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headerFooter>
    <oddHeader>&amp;RATTACHMENT 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4df87-e7de-418b-ac4b-c78fe0d74fdc">
      <Terms xmlns="http://schemas.microsoft.com/office/infopath/2007/PartnerControls"/>
    </lcf76f155ced4ddcb4097134ff3c332f>
    <TaxCatchAll xmlns="35dc6cea-04ce-4d80-8594-0d5293a0a40f" xsi:nil="true"/>
    <SecurityClassification xmlns="35dc6cea-04ce-4d80-8594-0d5293a0a40f">Proprietary</SecurityClassification>
    <AmerenCompany xmlns="35dc6cea-04ce-4d80-8594-0d5293a0a40f">Ameren Missouri</Ameren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E98713362BE488733F7A32AC1CC91" ma:contentTypeVersion="15" ma:contentTypeDescription="Create a new document." ma:contentTypeScope="" ma:versionID="fa037e32a5e9fdc981ee907b943eefd5">
  <xsd:schema xmlns:xsd="http://www.w3.org/2001/XMLSchema" xmlns:xs="http://www.w3.org/2001/XMLSchema" xmlns:p="http://schemas.microsoft.com/office/2006/metadata/properties" xmlns:ns2="35dc6cea-04ce-4d80-8594-0d5293a0a40f" xmlns:ns3="9534df87-e7de-418b-ac4b-c78fe0d74fdc" targetNamespace="http://schemas.microsoft.com/office/2006/metadata/properties" ma:root="true" ma:fieldsID="0d4ed71a4c0e1b27e09fda6afa033346" ns2:_="" ns3:_="">
    <xsd:import namespace="35dc6cea-04ce-4d80-8594-0d5293a0a40f"/>
    <xsd:import namespace="9534df87-e7de-418b-ac4b-c78fe0d74fdc"/>
    <xsd:element name="properties">
      <xsd:complexType>
        <xsd:sequence>
          <xsd:element name="documentManagement">
            <xsd:complexType>
              <xsd:all>
                <xsd:element ref="ns2:AmerenCompany"/>
                <xsd:element ref="ns2:SecurityClassification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c6cea-04ce-4d80-8594-0d5293a0a40f" elementFormDefault="qualified">
    <xsd:import namespace="http://schemas.microsoft.com/office/2006/documentManagement/types"/>
    <xsd:import namespace="http://schemas.microsoft.com/office/infopath/2007/PartnerControls"/>
    <xsd:element name="AmerenCompany" ma:index="8" ma:displayName="Ameren Company" ma:default="Ameren Missouri" ma:internalName="AmerenCompany">
      <xsd:simpleType>
        <xsd:restriction base="dms:Choice">
          <xsd:enumeration value="Ameren Illinois"/>
          <xsd:enumeration value="Ameren Missouri"/>
          <xsd:enumeration value="Ameren Services"/>
          <xsd:enumeration value="Ameren Transmission"/>
        </xsd:restriction>
      </xsd:simpleType>
    </xsd:element>
    <xsd:element name="SecurityClassification" ma:index="9" ma:displayName="Security Classification" ma:default="Proprietary" ma:internalName="SecurityClassification">
      <xsd:simpleType>
        <xsd:restriction base="dms:Choice">
          <xsd:enumeration value="Highly Confidential"/>
          <xsd:enumeration value="Confidential"/>
          <xsd:enumeration value="Proprietary"/>
          <xsd:enumeration value="Public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ca967a1-565a-412b-b63a-785506e60a5e}" ma:internalName="TaxCatchAll" ma:showField="CatchAllData" ma:web="35dc6cea-04ce-4d80-8594-0d5293a0a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4df87-e7de-418b-ac4b-c78fe0d74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1da4855-4edc-4d1c-82df-1c029e91f9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F1717-9D4B-4EE0-B924-5B94481A4C68}">
  <ds:schemaRefs>
    <ds:schemaRef ds:uri="http://purl.org/dc/terms/"/>
    <ds:schemaRef ds:uri="http://purl.org/dc/elements/1.1/"/>
    <ds:schemaRef ds:uri="35dc6cea-04ce-4d80-8594-0d5293a0a40f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9534df87-e7de-418b-ac4b-c78fe0d74fdc"/>
  </ds:schemaRefs>
</ds:datastoreItem>
</file>

<file path=customXml/itemProps2.xml><?xml version="1.0" encoding="utf-8"?>
<ds:datastoreItem xmlns:ds="http://schemas.openxmlformats.org/officeDocument/2006/customXml" ds:itemID="{F917BA2D-5689-43F7-8E0E-960CA7083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46CCF-6BF6-4BDE-BAB5-1EFA73636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c6cea-04ce-4d80-8594-0d5293a0a40f"/>
    <ds:schemaRef ds:uri="9534df87-e7de-418b-ac4b-c78fe0d74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91b29d-ba21-402f-b47a-c225ae57ffe9}" enabled="0" method="" siteId="{fa91b29d-ba21-402f-b47a-c225ae57ff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 Efficiency EO</vt:lpstr>
      <vt:lpstr>Demand Response EO</vt:lpstr>
    </vt:vector>
  </TitlesOfParts>
  <Company>Ameren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Via, Timothy E</dc:creator>
  <cp:lastModifiedBy>Keenoy, Erin</cp:lastModifiedBy>
  <cp:lastPrinted>2024-10-29T19:30:48Z</cp:lastPrinted>
  <dcterms:created xsi:type="dcterms:W3CDTF">2024-10-23T21:10:39Z</dcterms:created>
  <dcterms:modified xsi:type="dcterms:W3CDTF">2024-10-29T19:30:51Z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0x010100416E98713362BE488733F7A32AC1CC91</vt:lpwstr>
  </property>
  <property fmtid="{D5CDD505-2E9C-101B-9397-08002B2CF9AE}" pid="3" name="MediaServiceImageTags">
    <vt:lpwstr/>
  </property>
</Properties>
</file>