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aseworks21.ameren.com/460/RiderEEIC/Library/2024 Nov Filing/"/>
    </mc:Choice>
  </mc:AlternateContent>
  <xr:revisionPtr revIDLastSave="0" documentId="13_ncr:1_{45B5334E-D0AB-40AB-8706-A4D4C27DD866}" xr6:coauthVersionLast="47" xr6:coauthVersionMax="47" xr10:uidLastSave="{00000000-0000-0000-0000-000000000000}"/>
  <bookViews>
    <workbookView xWindow="-120" yWindow="-120" windowWidth="29040" windowHeight="15720" tabRatio="908" xr2:uid="{00000000-000D-0000-FFFF-FFFF00000000}"/>
  </bookViews>
  <sheets>
    <sheet name="PPC" sheetId="4" r:id="rId1"/>
    <sheet name="PCR (M3)" sheetId="22" r:id="rId2"/>
    <sheet name="PCR (M4)" sheetId="29" r:id="rId3"/>
    <sheet name="PTD" sheetId="12" r:id="rId4"/>
    <sheet name="TDR (M2) Final" sheetId="11" r:id="rId5"/>
    <sheet name="TDR (M3)" sheetId="21" r:id="rId6"/>
    <sheet name="TDR (M4)" sheetId="30" r:id="rId7"/>
    <sheet name="EO" sheetId="16" r:id="rId8"/>
    <sheet name="EOR (M3)" sheetId="28" r:id="rId9"/>
    <sheet name="OA" sheetId="10" r:id="rId10"/>
    <sheet name="OAR (M3)" sheetId="26" r:id="rId11"/>
    <sheet name="tariff tables (M3)" sheetId="23" r:id="rId12"/>
    <sheet name="tariff tables (M4)" sheetId="5" r:id="rId13"/>
    <sheet name="Sheet 91.23" sheetId="13" r:id="rId14"/>
  </sheets>
  <externalReferences>
    <externalReference r:id="rId15"/>
    <externalReference r:id="rId16"/>
  </externalReferences>
  <definedNames>
    <definedName name="_xlnm.Print_Area" localSheetId="8">'EOR (M3)'!$A$13:$A$38</definedName>
    <definedName name="_xlnm.Print_Area" localSheetId="10">'OAR (M3)'!$A$13:$A$38</definedName>
    <definedName name="_xlnm.Print_Area" localSheetId="1">'PCR (M3)'!$A$13:$G$51</definedName>
    <definedName name="_xlnm.Print_Area" localSheetId="2">'PCR (M4)'!$A$13:$A$51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6" l="1"/>
  <c r="F26" i="16"/>
  <c r="F27" i="16"/>
  <c r="F28" i="16"/>
  <c r="F24" i="16"/>
  <c r="B23" i="16"/>
  <c r="F7" i="16"/>
  <c r="F8" i="16"/>
  <c r="F9" i="16"/>
  <c r="F10" i="16"/>
  <c r="F6" i="16"/>
  <c r="B5" i="16"/>
  <c r="AT38" i="26"/>
  <c r="AS38" i="26"/>
  <c r="AR38" i="26"/>
  <c r="AQ38" i="26"/>
  <c r="AP38" i="26"/>
  <c r="AO38" i="26"/>
  <c r="AN38" i="26"/>
  <c r="AM38" i="26"/>
  <c r="AL38" i="26"/>
  <c r="AK38" i="26"/>
  <c r="AJ38" i="26"/>
  <c r="AI38" i="26"/>
  <c r="AT36" i="26"/>
  <c r="AS36" i="26"/>
  <c r="AR36" i="26"/>
  <c r="AQ36" i="26"/>
  <c r="AP36" i="26"/>
  <c r="AO36" i="26"/>
  <c r="AN36" i="26"/>
  <c r="AM36" i="26"/>
  <c r="AL36" i="26"/>
  <c r="AK36" i="26"/>
  <c r="AJ36" i="26"/>
  <c r="AI36" i="26"/>
  <c r="AT26" i="26"/>
  <c r="AS26" i="26"/>
  <c r="AR26" i="26"/>
  <c r="AQ26" i="26"/>
  <c r="AP26" i="26"/>
  <c r="AO26" i="26"/>
  <c r="AN26" i="26"/>
  <c r="AM26" i="26"/>
  <c r="AL26" i="26"/>
  <c r="AK26" i="26"/>
  <c r="AJ26" i="26"/>
  <c r="AI26" i="26"/>
  <c r="AT25" i="26"/>
  <c r="AS25" i="26"/>
  <c r="AR25" i="26"/>
  <c r="AQ25" i="26"/>
  <c r="AP25" i="26"/>
  <c r="AO25" i="26"/>
  <c r="AN25" i="26"/>
  <c r="AM25" i="26"/>
  <c r="AL25" i="26"/>
  <c r="AK25" i="26"/>
  <c r="AJ25" i="26"/>
  <c r="AI25" i="26"/>
  <c r="AT24" i="26"/>
  <c r="AS24" i="26"/>
  <c r="AR24" i="26"/>
  <c r="AQ24" i="26"/>
  <c r="AP24" i="26"/>
  <c r="AO24" i="26"/>
  <c r="AN24" i="26"/>
  <c r="AM24" i="26"/>
  <c r="AL24" i="26"/>
  <c r="AK24" i="26"/>
  <c r="AJ24" i="26"/>
  <c r="AI24" i="26"/>
  <c r="AT23" i="26"/>
  <c r="AS23" i="26"/>
  <c r="AR23" i="26"/>
  <c r="AQ23" i="26"/>
  <c r="AP23" i="26"/>
  <c r="AO23" i="26"/>
  <c r="AN23" i="26"/>
  <c r="AM23" i="26"/>
  <c r="AL23" i="26"/>
  <c r="AK23" i="26"/>
  <c r="AJ23" i="26"/>
  <c r="AI23" i="26"/>
  <c r="AT22" i="26"/>
  <c r="AS22" i="26"/>
  <c r="AR22" i="26"/>
  <c r="AQ22" i="26"/>
  <c r="AP22" i="26"/>
  <c r="AO22" i="26"/>
  <c r="AN22" i="26"/>
  <c r="AM22" i="26"/>
  <c r="AL22" i="26"/>
  <c r="AK22" i="26"/>
  <c r="AJ22" i="26"/>
  <c r="AI22" i="26"/>
  <c r="K19" i="26"/>
  <c r="K18" i="26"/>
  <c r="K17" i="26"/>
  <c r="K16" i="26"/>
  <c r="K15" i="26"/>
  <c r="AU38" i="28"/>
  <c r="AT38" i="28"/>
  <c r="AS38" i="28"/>
  <c r="AR38" i="28"/>
  <c r="AQ38" i="28"/>
  <c r="AP38" i="28"/>
  <c r="AO38" i="28"/>
  <c r="AN38" i="28"/>
  <c r="AM38" i="28"/>
  <c r="AL38" i="28"/>
  <c r="AK38" i="28"/>
  <c r="AJ38" i="28"/>
  <c r="AU36" i="28"/>
  <c r="AT36" i="28"/>
  <c r="AS36" i="28"/>
  <c r="AR36" i="28"/>
  <c r="AQ36" i="28"/>
  <c r="AP36" i="28"/>
  <c r="AO36" i="28"/>
  <c r="AN36" i="28"/>
  <c r="AM36" i="28"/>
  <c r="AL36" i="28"/>
  <c r="AK36" i="28"/>
  <c r="AJ36" i="28"/>
  <c r="AU26" i="28"/>
  <c r="AT26" i="28"/>
  <c r="AS26" i="28"/>
  <c r="AR26" i="28"/>
  <c r="AQ26" i="28"/>
  <c r="AP26" i="28"/>
  <c r="AO26" i="28"/>
  <c r="AN26" i="28"/>
  <c r="AM26" i="28"/>
  <c r="AL26" i="28"/>
  <c r="AK26" i="28"/>
  <c r="AJ26" i="28"/>
  <c r="AU25" i="28"/>
  <c r="AT25" i="28"/>
  <c r="AS25" i="28"/>
  <c r="AR25" i="28"/>
  <c r="AQ25" i="28"/>
  <c r="AP25" i="28"/>
  <c r="AO25" i="28"/>
  <c r="AN25" i="28"/>
  <c r="AM25" i="28"/>
  <c r="AL25" i="28"/>
  <c r="AK25" i="28"/>
  <c r="AJ25" i="28"/>
  <c r="AU24" i="28"/>
  <c r="AT24" i="28"/>
  <c r="AS24" i="28"/>
  <c r="AR24" i="28"/>
  <c r="AQ24" i="28"/>
  <c r="AP24" i="28"/>
  <c r="AO24" i="28"/>
  <c r="AN24" i="28"/>
  <c r="AM24" i="28"/>
  <c r="AL24" i="28"/>
  <c r="AK24" i="28"/>
  <c r="AJ24" i="28"/>
  <c r="AU23" i="28"/>
  <c r="AT23" i="28"/>
  <c r="AS23" i="28"/>
  <c r="AR23" i="28"/>
  <c r="AQ23" i="28"/>
  <c r="AP23" i="28"/>
  <c r="AO23" i="28"/>
  <c r="AN23" i="28"/>
  <c r="AM23" i="28"/>
  <c r="AL23" i="28"/>
  <c r="AK23" i="28"/>
  <c r="AJ23" i="28"/>
  <c r="AU22" i="28"/>
  <c r="AT22" i="28"/>
  <c r="AS22" i="28"/>
  <c r="AR22" i="28"/>
  <c r="AQ22" i="28"/>
  <c r="AP22" i="28"/>
  <c r="AO22" i="28"/>
  <c r="AN22" i="28"/>
  <c r="AM22" i="28"/>
  <c r="AL22" i="28"/>
  <c r="AK22" i="28"/>
  <c r="AJ22" i="28"/>
  <c r="AX19" i="28"/>
  <c r="AW19" i="28"/>
  <c r="AV19" i="28"/>
  <c r="AU19" i="28"/>
  <c r="AT19" i="28"/>
  <c r="AS19" i="28"/>
  <c r="AR19" i="28"/>
  <c r="AQ19" i="28"/>
  <c r="AP19" i="28"/>
  <c r="AO19" i="28"/>
  <c r="AN19" i="28"/>
  <c r="AM19" i="28"/>
  <c r="AL19" i="28"/>
  <c r="AK19" i="28"/>
  <c r="AJ19" i="28"/>
  <c r="AX18" i="28"/>
  <c r="AW18" i="28"/>
  <c r="AV18" i="28"/>
  <c r="AU18" i="28"/>
  <c r="AT18" i="28"/>
  <c r="AS18" i="28"/>
  <c r="AR18" i="28"/>
  <c r="AQ18" i="28"/>
  <c r="AP18" i="28"/>
  <c r="AO18" i="28"/>
  <c r="AN18" i="28"/>
  <c r="AM18" i="28"/>
  <c r="AL18" i="28"/>
  <c r="AK18" i="28"/>
  <c r="AJ18" i="28"/>
  <c r="AX17" i="28"/>
  <c r="AW17" i="28"/>
  <c r="AV17" i="28"/>
  <c r="AU17" i="28"/>
  <c r="AT17" i="28"/>
  <c r="AS17" i="28"/>
  <c r="AR17" i="28"/>
  <c r="AQ17" i="28"/>
  <c r="AP17" i="28"/>
  <c r="AO17" i="28"/>
  <c r="AN17" i="28"/>
  <c r="AM17" i="28"/>
  <c r="AL17" i="28"/>
  <c r="AK17" i="28"/>
  <c r="AJ17" i="28"/>
  <c r="AX16" i="28"/>
  <c r="AW16" i="28"/>
  <c r="AV16" i="28"/>
  <c r="AU16" i="28"/>
  <c r="AT16" i="28"/>
  <c r="AS16" i="28"/>
  <c r="AR16" i="28"/>
  <c r="AQ16" i="28"/>
  <c r="AP16" i="28"/>
  <c r="AO16" i="28"/>
  <c r="AN16" i="28"/>
  <c r="AM16" i="28"/>
  <c r="AL16" i="28"/>
  <c r="AK16" i="28"/>
  <c r="AJ16" i="28"/>
  <c r="AX15" i="28"/>
  <c r="AW15" i="28"/>
  <c r="AV15" i="28"/>
  <c r="AU15" i="28"/>
  <c r="AT15" i="28"/>
  <c r="AS15" i="28"/>
  <c r="AR15" i="28"/>
  <c r="AQ15" i="28"/>
  <c r="AP15" i="28"/>
  <c r="AO15" i="28"/>
  <c r="AN15" i="28"/>
  <c r="AM15" i="28"/>
  <c r="AL15" i="28"/>
  <c r="AK15" i="28"/>
  <c r="AJ15" i="28"/>
  <c r="BS39" i="21"/>
  <c r="BR39" i="21"/>
  <c r="BQ39" i="21"/>
  <c r="BP39" i="21"/>
  <c r="BO39" i="21"/>
  <c r="BN39" i="21"/>
  <c r="BM39" i="21"/>
  <c r="BL39" i="21"/>
  <c r="BK39" i="21"/>
  <c r="BJ39" i="21"/>
  <c r="BI39" i="21"/>
  <c r="BH39" i="21"/>
  <c r="BS36" i="21"/>
  <c r="BR36" i="21"/>
  <c r="BQ36" i="21"/>
  <c r="BP36" i="21"/>
  <c r="BO36" i="21"/>
  <c r="BN36" i="21"/>
  <c r="BM36" i="21"/>
  <c r="BL36" i="21"/>
  <c r="BK36" i="21"/>
  <c r="BJ36" i="21"/>
  <c r="BI36" i="21"/>
  <c r="BH36" i="21"/>
  <c r="BS26" i="21"/>
  <c r="BR26" i="21"/>
  <c r="BQ26" i="21"/>
  <c r="BP26" i="21"/>
  <c r="BO26" i="21"/>
  <c r="BN26" i="21"/>
  <c r="BM26" i="21"/>
  <c r="BL26" i="21"/>
  <c r="BK26" i="21"/>
  <c r="BJ26" i="21"/>
  <c r="BI26" i="21"/>
  <c r="BH26" i="21"/>
  <c r="BS25" i="21"/>
  <c r="BR25" i="21"/>
  <c r="BQ25" i="21"/>
  <c r="BP25" i="21"/>
  <c r="BO25" i="21"/>
  <c r="BN25" i="21"/>
  <c r="BM25" i="21"/>
  <c r="BL25" i="21"/>
  <c r="BK25" i="21"/>
  <c r="BJ25" i="21"/>
  <c r="BI25" i="21"/>
  <c r="BH25" i="21"/>
  <c r="BS24" i="21"/>
  <c r="BR24" i="21"/>
  <c r="BQ24" i="21"/>
  <c r="BP24" i="21"/>
  <c r="BO24" i="21"/>
  <c r="BN24" i="21"/>
  <c r="BM24" i="21"/>
  <c r="BL24" i="21"/>
  <c r="BK24" i="21"/>
  <c r="BJ24" i="21"/>
  <c r="BI24" i="21"/>
  <c r="BH24" i="21"/>
  <c r="BS23" i="21"/>
  <c r="BR23" i="21"/>
  <c r="BQ23" i="21"/>
  <c r="BP23" i="21"/>
  <c r="BO23" i="21"/>
  <c r="BN23" i="21"/>
  <c r="BM23" i="21"/>
  <c r="BL23" i="21"/>
  <c r="BK23" i="21"/>
  <c r="BJ23" i="21"/>
  <c r="BI23" i="21"/>
  <c r="BH23" i="21"/>
  <c r="BS22" i="21"/>
  <c r="BR22" i="21"/>
  <c r="BQ22" i="21"/>
  <c r="BP22" i="21"/>
  <c r="BO22" i="21"/>
  <c r="BN22" i="21"/>
  <c r="BM22" i="21"/>
  <c r="BL22" i="21"/>
  <c r="BK22" i="21"/>
  <c r="BJ22" i="21"/>
  <c r="BI22" i="21"/>
  <c r="BH22" i="21"/>
  <c r="CT39" i="11"/>
  <c r="CS39" i="11"/>
  <c r="CR39" i="11"/>
  <c r="CT36" i="11"/>
  <c r="CS36" i="11"/>
  <c r="CR36" i="11"/>
  <c r="CT26" i="11"/>
  <c r="CS26" i="11"/>
  <c r="CR26" i="11"/>
  <c r="CT25" i="11"/>
  <c r="CS25" i="11"/>
  <c r="CR25" i="11"/>
  <c r="CT24" i="11"/>
  <c r="CS24" i="11"/>
  <c r="CR24" i="11"/>
  <c r="CT23" i="11"/>
  <c r="CS23" i="11"/>
  <c r="CR23" i="11"/>
  <c r="CT22" i="11"/>
  <c r="CS22" i="11"/>
  <c r="CR22" i="11"/>
  <c r="BT51" i="22"/>
  <c r="BS51" i="22"/>
  <c r="BR51" i="22"/>
  <c r="BQ51" i="22"/>
  <c r="BP51" i="22"/>
  <c r="BO51" i="22"/>
  <c r="BN51" i="22"/>
  <c r="BM51" i="22"/>
  <c r="BL51" i="22"/>
  <c r="BK51" i="22"/>
  <c r="BJ51" i="22"/>
  <c r="BI51" i="22"/>
  <c r="BT49" i="22"/>
  <c r="BS49" i="22"/>
  <c r="BR49" i="22"/>
  <c r="BQ49" i="22"/>
  <c r="BP49" i="22"/>
  <c r="BO49" i="22"/>
  <c r="BN49" i="22"/>
  <c r="BM49" i="22"/>
  <c r="BL49" i="22"/>
  <c r="BK49" i="22"/>
  <c r="BJ49" i="22"/>
  <c r="BI49" i="22"/>
  <c r="BT39" i="22"/>
  <c r="BS39" i="22"/>
  <c r="BR39" i="22"/>
  <c r="BQ39" i="22"/>
  <c r="BP39" i="22"/>
  <c r="BO39" i="22"/>
  <c r="BN39" i="22"/>
  <c r="BM39" i="22"/>
  <c r="BL39" i="22"/>
  <c r="BK39" i="22"/>
  <c r="BJ39" i="22"/>
  <c r="BI39" i="22"/>
  <c r="BT38" i="22"/>
  <c r="BS38" i="22"/>
  <c r="BR38" i="22"/>
  <c r="BQ38" i="22"/>
  <c r="BP38" i="22"/>
  <c r="BO38" i="22"/>
  <c r="BN38" i="22"/>
  <c r="BM38" i="22"/>
  <c r="BL38" i="22"/>
  <c r="BK38" i="22"/>
  <c r="BJ38" i="22"/>
  <c r="BI38" i="22"/>
  <c r="BT37" i="22"/>
  <c r="BS37" i="22"/>
  <c r="BR37" i="22"/>
  <c r="BQ37" i="22"/>
  <c r="BP37" i="22"/>
  <c r="BO37" i="22"/>
  <c r="BN37" i="22"/>
  <c r="BM37" i="22"/>
  <c r="BL37" i="22"/>
  <c r="BK37" i="22"/>
  <c r="BJ37" i="22"/>
  <c r="BI37" i="22"/>
  <c r="BT36" i="22"/>
  <c r="BS36" i="22"/>
  <c r="BR36" i="22"/>
  <c r="BQ36" i="22"/>
  <c r="BP36" i="22"/>
  <c r="BO36" i="22"/>
  <c r="BN36" i="22"/>
  <c r="BM36" i="22"/>
  <c r="BL36" i="22"/>
  <c r="BK36" i="22"/>
  <c r="BJ36" i="22"/>
  <c r="BI36" i="22"/>
  <c r="BT35" i="22"/>
  <c r="BS35" i="22"/>
  <c r="BR35" i="22"/>
  <c r="BQ35" i="22"/>
  <c r="BP35" i="22"/>
  <c r="BO35" i="22"/>
  <c r="BN35" i="22"/>
  <c r="BM35" i="22"/>
  <c r="BL35" i="22"/>
  <c r="BK35" i="22"/>
  <c r="BJ35" i="22"/>
  <c r="BI35" i="22"/>
  <c r="BT18" i="22"/>
  <c r="BS18" i="22"/>
  <c r="BR18" i="22"/>
  <c r="BQ18" i="22"/>
  <c r="BP18" i="22"/>
  <c r="BO18" i="22"/>
  <c r="BN18" i="22"/>
  <c r="BM18" i="22"/>
  <c r="BL18" i="22"/>
  <c r="BK18" i="22"/>
  <c r="BJ18" i="22"/>
  <c r="BI18" i="22"/>
  <c r="BT17" i="22"/>
  <c r="BS17" i="22"/>
  <c r="BR17" i="22"/>
  <c r="BQ17" i="22"/>
  <c r="BP17" i="22"/>
  <c r="BO17" i="22"/>
  <c r="BN17" i="22"/>
  <c r="BM17" i="22"/>
  <c r="BL17" i="22"/>
  <c r="BK17" i="22"/>
  <c r="BJ17" i="22"/>
  <c r="BI17" i="22"/>
  <c r="BT16" i="22"/>
  <c r="BS16" i="22"/>
  <c r="BR16" i="22"/>
  <c r="BQ16" i="22"/>
  <c r="BP16" i="22"/>
  <c r="BO16" i="22"/>
  <c r="BN16" i="22"/>
  <c r="BM16" i="22"/>
  <c r="BL16" i="22"/>
  <c r="BK16" i="22"/>
  <c r="BJ16" i="22"/>
  <c r="BI16" i="22"/>
  <c r="BT15" i="22"/>
  <c r="BS15" i="22"/>
  <c r="BR15" i="22"/>
  <c r="BQ15" i="22"/>
  <c r="BP15" i="22"/>
  <c r="BO15" i="22"/>
  <c r="BN15" i="22"/>
  <c r="BM15" i="22"/>
  <c r="BL15" i="22"/>
  <c r="BK15" i="22"/>
  <c r="BJ15" i="22"/>
  <c r="BI15" i="22"/>
  <c r="AK15" i="22"/>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AO29" i="11"/>
  <c r="AN29" i="11"/>
  <c r="AM29" i="11"/>
  <c r="AL29" i="11"/>
  <c r="AK29" i="11"/>
  <c r="AJ29" i="11"/>
  <c r="AI29" i="11"/>
  <c r="AH29" i="11"/>
  <c r="AG29" i="11"/>
  <c r="AF29" i="11"/>
  <c r="AE29" i="11"/>
  <c r="AD29" i="11"/>
  <c r="AC29" i="11"/>
  <c r="AB29" i="11"/>
  <c r="AA29" i="11"/>
  <c r="Z29" i="11"/>
  <c r="Y29" i="11"/>
  <c r="X29" i="11"/>
  <c r="W29" i="11"/>
  <c r="V29" i="11"/>
  <c r="U29" i="11"/>
  <c r="T29" i="11"/>
  <c r="S29" i="11"/>
  <c r="R29" i="11"/>
  <c r="Q29" i="11"/>
  <c r="BT32" i="22"/>
  <c r="BS32" i="22"/>
  <c r="BR32" i="22"/>
  <c r="BQ32" i="22"/>
  <c r="BP32" i="22"/>
  <c r="BO32" i="22"/>
  <c r="BN32" i="22"/>
  <c r="BM32" i="22"/>
  <c r="BL32" i="22"/>
  <c r="BK32" i="22"/>
  <c r="BJ32" i="22"/>
  <c r="BI32" i="22"/>
  <c r="BT31" i="22"/>
  <c r="BS31" i="22"/>
  <c r="BR31" i="22"/>
  <c r="BQ31" i="22"/>
  <c r="BP31" i="22"/>
  <c r="BO31" i="22"/>
  <c r="BN31" i="22"/>
  <c r="BM31" i="22"/>
  <c r="BL31" i="22"/>
  <c r="BK31" i="22"/>
  <c r="BJ31" i="22"/>
  <c r="BI31" i="22"/>
  <c r="BT30" i="22"/>
  <c r="BS30" i="22"/>
  <c r="BR30" i="22"/>
  <c r="BQ30" i="22"/>
  <c r="BP30" i="22"/>
  <c r="BO30" i="22"/>
  <c r="BN30" i="22"/>
  <c r="BM30" i="22"/>
  <c r="BL30" i="22"/>
  <c r="BK30" i="22"/>
  <c r="BJ30" i="22"/>
  <c r="BI30" i="22"/>
  <c r="BT29" i="22"/>
  <c r="BS29" i="22"/>
  <c r="BR29" i="22"/>
  <c r="BQ29" i="22"/>
  <c r="BP29" i="22"/>
  <c r="BO29" i="22"/>
  <c r="BN29" i="22"/>
  <c r="BM29" i="22"/>
  <c r="BL29" i="22"/>
  <c r="BK29" i="22"/>
  <c r="BJ29" i="22"/>
  <c r="BI29" i="22"/>
  <c r="BT28" i="22"/>
  <c r="BS28" i="22"/>
  <c r="BR28" i="22"/>
  <c r="BQ28" i="22"/>
  <c r="BP28" i="22"/>
  <c r="BO28" i="22"/>
  <c r="BN28" i="22"/>
  <c r="BM28" i="22"/>
  <c r="BL28" i="22"/>
  <c r="BK28" i="22"/>
  <c r="BJ28" i="22"/>
  <c r="BI28" i="22"/>
  <c r="AV32" i="22"/>
  <c r="AU32" i="22"/>
  <c r="AT32" i="22"/>
  <c r="AS32" i="22"/>
  <c r="AR32" i="22"/>
  <c r="AQ32" i="22"/>
  <c r="AP32" i="22"/>
  <c r="AO32" i="22"/>
  <c r="AN32" i="22"/>
  <c r="AM32" i="22"/>
  <c r="AL32" i="22"/>
  <c r="AK32" i="22"/>
  <c r="AJ32" i="22"/>
  <c r="AI32"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C32" i="22"/>
  <c r="B32" i="22"/>
  <c r="AV31" i="22"/>
  <c r="AU31" i="22"/>
  <c r="AT31" i="22"/>
  <c r="AS31" i="22"/>
  <c r="AR31" i="22"/>
  <c r="AQ31" i="22"/>
  <c r="AP31" i="22"/>
  <c r="AO31" i="22"/>
  <c r="AN31" i="22"/>
  <c r="AM31" i="22"/>
  <c r="AL31" i="22"/>
  <c r="AK31"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AV30" i="22"/>
  <c r="AU30" i="22"/>
  <c r="AT30" i="22"/>
  <c r="AS30" i="22"/>
  <c r="AR30" i="22"/>
  <c r="AQ30" i="22"/>
  <c r="AP30" i="22"/>
  <c r="AO30" i="22"/>
  <c r="AN30" i="22"/>
  <c r="AM30" i="22"/>
  <c r="AL30" i="22"/>
  <c r="AK30" i="22"/>
  <c r="AJ30" i="22"/>
  <c r="AI30" i="22"/>
  <c r="AH30" i="22"/>
  <c r="AG30" i="22"/>
  <c r="AF30" i="22"/>
  <c r="AE30" i="22"/>
  <c r="AD30" i="22"/>
  <c r="AC30" i="22"/>
  <c r="AB30" i="22"/>
  <c r="AA30" i="22"/>
  <c r="Z30" i="22"/>
  <c r="Y30" i="22"/>
  <c r="X30" i="22"/>
  <c r="W30" i="22"/>
  <c r="V30" i="22"/>
  <c r="U30" i="22"/>
  <c r="T30" i="22"/>
  <c r="S30" i="22"/>
  <c r="R30" i="22"/>
  <c r="Q30" i="22"/>
  <c r="P30" i="22"/>
  <c r="O30" i="22"/>
  <c r="N30" i="22"/>
  <c r="M30" i="22"/>
  <c r="L30" i="22"/>
  <c r="K30" i="22"/>
  <c r="J30" i="22"/>
  <c r="I30" i="22"/>
  <c r="H30" i="22"/>
  <c r="G30" i="22"/>
  <c r="F30" i="22"/>
  <c r="E30" i="22"/>
  <c r="D30" i="22"/>
  <c r="C30" i="22"/>
  <c r="B30" i="22"/>
  <c r="AV29" i="22"/>
  <c r="AU29" i="22"/>
  <c r="AT29" i="22"/>
  <c r="AS29" i="22"/>
  <c r="AR29" i="22"/>
  <c r="AQ29" i="22"/>
  <c r="AP29" i="22"/>
  <c r="AO29" i="22"/>
  <c r="AN29" i="22"/>
  <c r="AM29" i="22"/>
  <c r="AL29" i="22"/>
  <c r="AK29" i="22"/>
  <c r="AJ29" i="22"/>
  <c r="AI29" i="22"/>
  <c r="AH29" i="22"/>
  <c r="AG29" i="22"/>
  <c r="AF29" i="22"/>
  <c r="AE29" i="22"/>
  <c r="AD29" i="22"/>
  <c r="AC29" i="22"/>
  <c r="AB29" i="22"/>
  <c r="AA29" i="22"/>
  <c r="Z29" i="22"/>
  <c r="Y29" i="22"/>
  <c r="X29" i="22"/>
  <c r="W29" i="22"/>
  <c r="V29" i="22"/>
  <c r="U29" i="22"/>
  <c r="T29" i="22"/>
  <c r="S29" i="22"/>
  <c r="R29" i="22"/>
  <c r="Q29" i="22"/>
  <c r="P29" i="22"/>
  <c r="O29" i="22"/>
  <c r="N29" i="22"/>
  <c r="M29" i="22"/>
  <c r="L29" i="22"/>
  <c r="K29" i="22"/>
  <c r="J29" i="22"/>
  <c r="I29" i="22"/>
  <c r="H29" i="22"/>
  <c r="G29" i="22"/>
  <c r="F29" i="22"/>
  <c r="E29" i="22"/>
  <c r="D29" i="22"/>
  <c r="C29" i="22"/>
  <c r="B29" i="22"/>
  <c r="AV28" i="22"/>
  <c r="AU28" i="22"/>
  <c r="AT28" i="22"/>
  <c r="AS28" i="22"/>
  <c r="AR28" i="22"/>
  <c r="AQ28" i="22"/>
  <c r="AP28" i="22"/>
  <c r="AO28" i="22"/>
  <c r="AN28" i="22"/>
  <c r="AM28" i="22"/>
  <c r="AL28" i="22"/>
  <c r="AK28" i="22"/>
  <c r="AJ28" i="22"/>
  <c r="AI28" i="22"/>
  <c r="AH28" i="22"/>
  <c r="AG28" i="22"/>
  <c r="AF28" i="22"/>
  <c r="AE28" i="22"/>
  <c r="AD28" i="22"/>
  <c r="AC28" i="22"/>
  <c r="AB28" i="22"/>
  <c r="AA28" i="22"/>
  <c r="Z28" i="22"/>
  <c r="Y28" i="22"/>
  <c r="X28" i="22"/>
  <c r="W28" i="22"/>
  <c r="V28" i="22"/>
  <c r="U28" i="22"/>
  <c r="T28" i="22"/>
  <c r="S28" i="22"/>
  <c r="R28" i="22"/>
  <c r="Q28" i="22"/>
  <c r="P28" i="22"/>
  <c r="O28" i="22"/>
  <c r="N28" i="22"/>
  <c r="M28" i="22"/>
  <c r="L28" i="22"/>
  <c r="K28" i="22"/>
  <c r="J28" i="22"/>
  <c r="I28" i="22"/>
  <c r="H28" i="22"/>
  <c r="G28" i="22"/>
  <c r="F28" i="22"/>
  <c r="E28" i="22"/>
  <c r="D28" i="22"/>
  <c r="C28" i="22"/>
  <c r="B28" i="22"/>
  <c r="B14" i="4"/>
  <c r="D18" i="29"/>
  <c r="C18" i="29"/>
  <c r="B18" i="29"/>
  <c r="D17" i="29"/>
  <c r="C17" i="29"/>
  <c r="B17" i="29"/>
  <c r="D16" i="29"/>
  <c r="C16" i="29"/>
  <c r="B16" i="29"/>
  <c r="D15" i="29"/>
  <c r="C15" i="29"/>
  <c r="B15" i="29"/>
  <c r="BW18" i="22"/>
  <c r="BV18" i="22"/>
  <c r="BU18" i="22"/>
  <c r="BW17" i="22"/>
  <c r="BV17" i="22"/>
  <c r="BU17" i="22"/>
  <c r="BW16" i="22"/>
  <c r="BV16" i="22"/>
  <c r="BU16" i="22"/>
  <c r="BW15" i="22"/>
  <c r="BV15" i="22"/>
  <c r="BU15" i="22"/>
  <c r="J26" i="4"/>
  <c r="I26" i="4"/>
  <c r="H26" i="4"/>
  <c r="G26" i="4"/>
  <c r="J10" i="4"/>
  <c r="I10" i="4"/>
  <c r="H10" i="4"/>
  <c r="G10" i="4"/>
  <c r="B34" i="16"/>
  <c r="B33" i="16"/>
  <c r="B32" i="16"/>
  <c r="B31" i="16"/>
  <c r="B30" i="16"/>
  <c r="B16" i="16"/>
  <c r="B15" i="16"/>
  <c r="B14" i="16"/>
  <c r="B13" i="16"/>
  <c r="B12" i="16"/>
  <c r="B9" i="4"/>
  <c r="B8" i="4"/>
  <c r="B7" i="4"/>
  <c r="B6" i="4"/>
  <c r="B5" i="4"/>
  <c r="CH70" i="11"/>
  <c r="CH69" i="11"/>
  <c r="CH68" i="11"/>
  <c r="CH67" i="11"/>
  <c r="CH66" i="11"/>
  <c r="CT55" i="11"/>
  <c r="CS55" i="11"/>
  <c r="CR55" i="11"/>
  <c r="CQ55" i="11"/>
  <c r="CP55" i="11"/>
  <c r="CO55" i="11"/>
  <c r="CN55" i="11"/>
  <c r="CM55" i="11"/>
  <c r="CL55" i="11"/>
  <c r="CK55" i="11"/>
  <c r="CJ55" i="11"/>
  <c r="CI55" i="11"/>
  <c r="CH55" i="11"/>
  <c r="CG55" i="11"/>
  <c r="CF55" i="11"/>
  <c r="CE55" i="11"/>
  <c r="CD55" i="11"/>
  <c r="CC55" i="11"/>
  <c r="CB55" i="11"/>
  <c r="CA55" i="11"/>
  <c r="BZ55" i="11"/>
  <c r="BY55" i="11"/>
  <c r="BX55" i="11"/>
  <c r="BW55" i="11"/>
  <c r="BV55" i="11"/>
  <c r="BU55" i="11"/>
  <c r="BT55" i="11"/>
  <c r="BS55" i="11"/>
  <c r="BR55" i="11"/>
  <c r="BQ55" i="11"/>
  <c r="BP55" i="11"/>
  <c r="BO55" i="11"/>
  <c r="BN55" i="11"/>
  <c r="BM55" i="11"/>
  <c r="BL55" i="11"/>
  <c r="BK55" i="11"/>
  <c r="BJ55" i="11"/>
  <c r="BI55" i="11"/>
  <c r="BH55" i="11"/>
  <c r="BG55" i="11"/>
  <c r="BF55" i="11"/>
  <c r="BE55" i="11"/>
  <c r="BD55" i="11"/>
  <c r="BC55" i="11"/>
  <c r="BB55" i="11"/>
  <c r="BA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B55" i="11"/>
  <c r="CT19" i="11"/>
  <c r="CS19" i="11"/>
  <c r="CR19" i="11"/>
  <c r="CT18" i="11"/>
  <c r="CS18" i="11"/>
  <c r="CR18" i="11"/>
  <c r="CT17" i="11"/>
  <c r="CS17" i="11"/>
  <c r="CR17" i="11"/>
  <c r="CT16" i="11"/>
  <c r="CS16" i="11"/>
  <c r="CR16" i="11"/>
  <c r="CT15" i="11"/>
  <c r="CS15" i="11"/>
  <c r="CR15" i="11"/>
  <c r="D19" i="30"/>
  <c r="C19" i="30"/>
  <c r="B19" i="30"/>
  <c r="D18" i="30"/>
  <c r="C18" i="30"/>
  <c r="B18" i="30"/>
  <c r="D17" i="30"/>
  <c r="C17" i="30"/>
  <c r="B17" i="30"/>
  <c r="D16" i="30"/>
  <c r="C16" i="30"/>
  <c r="B16" i="30"/>
  <c r="D15" i="30"/>
  <c r="C15" i="30"/>
  <c r="B15" i="30"/>
  <c r="C9" i="12"/>
  <c r="C8" i="12"/>
  <c r="C7" i="12"/>
  <c r="C6" i="12"/>
  <c r="C5" i="12"/>
  <c r="D32" i="29"/>
  <c r="C32" i="29"/>
  <c r="B32" i="29"/>
  <c r="D31" i="29"/>
  <c r="C31" i="29"/>
  <c r="B31" i="29"/>
  <c r="D30" i="29"/>
  <c r="C30" i="29"/>
  <c r="B30" i="29"/>
  <c r="D29" i="29"/>
  <c r="C29" i="29"/>
  <c r="B29" i="29"/>
  <c r="D28" i="29"/>
  <c r="C28" i="29"/>
  <c r="B28" i="29"/>
  <c r="AX70" i="21"/>
  <c r="AX69" i="21"/>
  <c r="AX68" i="21"/>
  <c r="AX67" i="21"/>
  <c r="AX66" i="21"/>
  <c r="BS19" i="21"/>
  <c r="BR19" i="21"/>
  <c r="BQ19" i="21"/>
  <c r="BP19" i="21"/>
  <c r="BO19" i="21"/>
  <c r="BN19" i="21"/>
  <c r="BM19" i="21"/>
  <c r="BL19" i="21"/>
  <c r="BK19" i="21"/>
  <c r="BJ19" i="21"/>
  <c r="BI19" i="21"/>
  <c r="BH19" i="21"/>
  <c r="BS18" i="21"/>
  <c r="BR18" i="21"/>
  <c r="BQ18" i="21"/>
  <c r="BP18" i="21"/>
  <c r="BO18" i="21"/>
  <c r="BN18" i="21"/>
  <c r="BM18" i="21"/>
  <c r="BL18" i="21"/>
  <c r="BK18" i="21"/>
  <c r="BJ18" i="21"/>
  <c r="BI18" i="21"/>
  <c r="BH18" i="21"/>
  <c r="BS17" i="21"/>
  <c r="BR17" i="21"/>
  <c r="BQ17" i="21"/>
  <c r="BP17" i="21"/>
  <c r="BO17" i="21"/>
  <c r="BN17" i="21"/>
  <c r="BM17" i="21"/>
  <c r="BL17" i="21"/>
  <c r="BK17" i="21"/>
  <c r="BJ17" i="21"/>
  <c r="BI17" i="21"/>
  <c r="BH17" i="21"/>
  <c r="BS16" i="21"/>
  <c r="BR16" i="21"/>
  <c r="BQ16" i="21"/>
  <c r="BP16" i="21"/>
  <c r="BO16" i="21"/>
  <c r="BN16" i="21"/>
  <c r="BM16" i="21"/>
  <c r="BL16" i="21"/>
  <c r="BK16" i="21"/>
  <c r="BJ16" i="21"/>
  <c r="BI16" i="21"/>
  <c r="BH16" i="21"/>
  <c r="BS15" i="21"/>
  <c r="BR15" i="21"/>
  <c r="BQ15" i="21"/>
  <c r="BP15" i="21"/>
  <c r="BO15" i="21"/>
  <c r="BN15" i="21"/>
  <c r="BM15" i="21"/>
  <c r="BL15" i="21"/>
  <c r="BK15" i="21"/>
  <c r="BJ15" i="21"/>
  <c r="BI15" i="21"/>
  <c r="BH15" i="21"/>
  <c r="BT67" i="22"/>
  <c r="BS67" i="22"/>
  <c r="BR67" i="22"/>
  <c r="BQ67" i="22"/>
  <c r="BP67" i="22"/>
  <c r="BO67" i="22"/>
  <c r="BN67" i="22"/>
  <c r="BM67" i="22"/>
  <c r="BL67" i="22"/>
  <c r="BK67" i="22"/>
  <c r="BJ67" i="22"/>
  <c r="BI67" i="22"/>
  <c r="BH67" i="22"/>
  <c r="BG67" i="22"/>
  <c r="BF67" i="22"/>
  <c r="BE67" i="22"/>
  <c r="BD67" i="22"/>
  <c r="BC67" i="22"/>
  <c r="BB67" i="22"/>
  <c r="BA67" i="22"/>
  <c r="AZ67" i="22"/>
  <c r="AY67" i="22"/>
  <c r="AX67" i="22"/>
  <c r="AW67" i="22"/>
  <c r="AV67" i="22"/>
  <c r="AU67" i="22"/>
  <c r="AT67" i="22"/>
  <c r="AS67" i="22"/>
  <c r="AR67" i="22"/>
  <c r="AQ67" i="22"/>
  <c r="AP67" i="22"/>
  <c r="AO67" i="22"/>
  <c r="AN67" i="22"/>
  <c r="AM67" i="22"/>
  <c r="AL67" i="22"/>
  <c r="AK67" i="22"/>
  <c r="AJ67" i="22"/>
  <c r="AI67" i="22"/>
  <c r="AH67" i="22"/>
  <c r="AG67" i="22"/>
  <c r="AF67" i="22"/>
  <c r="AE67" i="22"/>
  <c r="AD67" i="22"/>
  <c r="AC67" i="22"/>
  <c r="AB67" i="22"/>
  <c r="AA67" i="22"/>
  <c r="Z67" i="22"/>
  <c r="Y67" i="22"/>
  <c r="X67" i="22"/>
  <c r="W67" i="22"/>
  <c r="V67" i="22"/>
  <c r="U67" i="22"/>
  <c r="T67" i="22"/>
  <c r="S67" i="22"/>
  <c r="R67" i="22"/>
  <c r="Q67" i="22"/>
  <c r="P67" i="22"/>
  <c r="O67" i="22"/>
  <c r="N67" i="22"/>
  <c r="M67" i="22"/>
  <c r="L67" i="22"/>
  <c r="K67" i="22"/>
  <c r="J67" i="22"/>
  <c r="I67" i="22"/>
  <c r="H67" i="22"/>
  <c r="G67" i="22"/>
  <c r="F67" i="22"/>
  <c r="E67" i="22"/>
  <c r="BV19" i="21"/>
  <c r="BU19" i="21"/>
  <c r="BT19" i="21"/>
  <c r="BV18" i="21"/>
  <c r="BU18" i="21"/>
  <c r="BT18" i="21"/>
  <c r="BV17" i="21"/>
  <c r="BU17" i="21"/>
  <c r="BT17" i="21"/>
  <c r="BV16" i="21"/>
  <c r="BU16" i="21"/>
  <c r="BT16" i="21"/>
  <c r="BV15" i="21"/>
  <c r="BU15" i="21"/>
  <c r="BT15" i="21"/>
  <c r="B9" i="12"/>
  <c r="B8" i="12"/>
  <c r="B7" i="12"/>
  <c r="B6" i="12"/>
  <c r="B5" i="12"/>
  <c r="BW32" i="22"/>
  <c r="BV32" i="22"/>
  <c r="BU32" i="22"/>
  <c r="BW31" i="22"/>
  <c r="BV31" i="22"/>
  <c r="BU31" i="22"/>
  <c r="BW30" i="22"/>
  <c r="BV30" i="22"/>
  <c r="BU30" i="22"/>
  <c r="BW29" i="22"/>
  <c r="BV29" i="22"/>
  <c r="BU29" i="22"/>
  <c r="BW28" i="22"/>
  <c r="BV28" i="22"/>
  <c r="BU28" i="22"/>
  <c r="C14" i="29" l="1"/>
  <c r="D14" i="29" s="1"/>
  <c r="D21" i="13"/>
  <c r="E21" i="13"/>
  <c r="F21" i="13"/>
  <c r="G21" i="13"/>
  <c r="A36" i="30"/>
  <c r="C14" i="30"/>
  <c r="D14" i="30" s="1"/>
  <c r="D23" i="30"/>
  <c r="D37" i="29"/>
  <c r="D25" i="30"/>
  <c r="D39" i="29"/>
  <c r="C23" i="30"/>
  <c r="C37" i="29"/>
  <c r="C38" i="29"/>
  <c r="C39" i="29"/>
  <c r="B37" i="29"/>
  <c r="B38" i="29"/>
  <c r="B39" i="29"/>
  <c r="A39" i="29"/>
  <c r="A38" i="29"/>
  <c r="A37" i="29"/>
  <c r="A36" i="29"/>
  <c r="A35" i="29"/>
  <c r="A49" i="29" s="1"/>
  <c r="B26" i="30" l="1"/>
  <c r="B25" i="30"/>
  <c r="D24" i="30"/>
  <c r="D21" i="29"/>
  <c r="B21" i="29"/>
  <c r="B24" i="30"/>
  <c r="D26" i="30"/>
  <c r="H21" i="13"/>
  <c r="B23" i="30"/>
  <c r="C4" i="29"/>
  <c r="C24" i="30"/>
  <c r="C25" i="30"/>
  <c r="C26" i="30"/>
  <c r="C6" i="30"/>
  <c r="C4" i="30"/>
  <c r="C8" i="30"/>
  <c r="C7" i="30"/>
  <c r="C5" i="30"/>
  <c r="D36" i="29"/>
  <c r="C8" i="29"/>
  <c r="B23" i="29"/>
  <c r="B24" i="29"/>
  <c r="D23" i="29"/>
  <c r="D25" i="29"/>
  <c r="D22" i="29"/>
  <c r="C5" i="29"/>
  <c r="C22" i="29"/>
  <c r="C36" i="29"/>
  <c r="C24" i="29"/>
  <c r="C23" i="29"/>
  <c r="C7" i="29"/>
  <c r="D24" i="29"/>
  <c r="D38" i="29"/>
  <c r="C25" i="29"/>
  <c r="C6" i="29"/>
  <c r="C21" i="29"/>
  <c r="B25" i="29"/>
  <c r="B22" i="29"/>
  <c r="B36" i="29"/>
  <c r="C9" i="30" l="1"/>
  <c r="C9" i="29"/>
  <c r="D4" i="29"/>
  <c r="D6" i="29"/>
  <c r="D5" i="29"/>
  <c r="D7" i="29"/>
  <c r="D8" i="29"/>
  <c r="D17" i="5"/>
  <c r="D18" i="5"/>
  <c r="D19" i="5"/>
  <c r="D20" i="5"/>
  <c r="D16" i="5"/>
  <c r="B4" i="22"/>
  <c r="D9" i="29" l="1"/>
  <c r="G27" i="4" l="1"/>
  <c r="BU14" i="22"/>
  <c r="BI14" i="22"/>
  <c r="BJ14" i="22"/>
  <c r="BK14" i="22"/>
  <c r="BL14" i="22"/>
  <c r="BM14" i="22"/>
  <c r="BN14" i="22" s="1"/>
  <c r="BO14" i="22" s="1"/>
  <c r="BP14" i="22" s="1"/>
  <c r="BQ14" i="22" s="1"/>
  <c r="BR14" i="22" s="1"/>
  <c r="BS14" i="22" s="1"/>
  <c r="BT14" i="22" s="1"/>
  <c r="CR14" i="11"/>
  <c r="CS14" i="11"/>
  <c r="CT14" i="11" s="1"/>
  <c r="J23" i="22" l="1"/>
  <c r="BM23" i="22"/>
  <c r="BM42" i="22"/>
  <c r="BR23" i="22"/>
  <c r="BP25" i="22"/>
  <c r="BP42" i="22"/>
  <c r="BQ42" i="22"/>
  <c r="BI42" i="22"/>
  <c r="BJ22" i="22"/>
  <c r="BK44" i="22"/>
  <c r="BL24" i="22"/>
  <c r="BS21" i="22"/>
  <c r="AS29" i="26"/>
  <c r="AS30" i="26"/>
  <c r="AS31" i="26"/>
  <c r="AS32" i="26"/>
  <c r="AS33" i="26"/>
  <c r="BL45" i="22"/>
  <c r="BN25" i="22"/>
  <c r="BT42" i="22"/>
  <c r="BT44" i="22"/>
  <c r="CQ29" i="11"/>
  <c r="AT29" i="26"/>
  <c r="AT30" i="26"/>
  <c r="AT31" i="26"/>
  <c r="AT32" i="26"/>
  <c r="AT33" i="26"/>
  <c r="I4" i="4"/>
  <c r="J4" i="4" s="1"/>
  <c r="J11" i="4" s="1"/>
  <c r="BK21" i="22"/>
  <c r="B36" i="30"/>
  <c r="B49" i="29"/>
  <c r="D36" i="30"/>
  <c r="C49" i="29"/>
  <c r="C36" i="30"/>
  <c r="D49" i="29"/>
  <c r="BQ25" i="22"/>
  <c r="BR25" i="22"/>
  <c r="AP54" i="26"/>
  <c r="AQ54" i="28"/>
  <c r="BO55" i="21"/>
  <c r="BM44" i="22"/>
  <c r="BM25" i="22"/>
  <c r="CS32" i="11"/>
  <c r="BL29" i="21"/>
  <c r="BL30" i="21"/>
  <c r="BL31" i="21"/>
  <c r="BL32" i="21"/>
  <c r="BL33" i="21"/>
  <c r="AM29" i="28"/>
  <c r="AM30" i="28"/>
  <c r="AM31" i="28"/>
  <c r="AM32" i="28"/>
  <c r="AM33" i="28"/>
  <c r="BL23" i="22"/>
  <c r="AQ54" i="26"/>
  <c r="AR54" i="28"/>
  <c r="BP55" i="21"/>
  <c r="BK22" i="22"/>
  <c r="BL44" i="22"/>
  <c r="BM45" i="22"/>
  <c r="CT32" i="11"/>
  <c r="BM29" i="21"/>
  <c r="BM30" i="21"/>
  <c r="BM31" i="21"/>
  <c r="BM32" i="21"/>
  <c r="BM33" i="21"/>
  <c r="AN29" i="28"/>
  <c r="AN30" i="28"/>
  <c r="AN31" i="28"/>
  <c r="AN32" i="28"/>
  <c r="AN33" i="28"/>
  <c r="BN22" i="22"/>
  <c r="AR54" i="26"/>
  <c r="AS54" i="28"/>
  <c r="BQ55" i="21"/>
  <c r="BL43" i="22"/>
  <c r="BN24" i="22"/>
  <c r="BI43" i="22"/>
  <c r="CR29" i="11"/>
  <c r="CR33" i="11"/>
  <c r="BN29" i="21"/>
  <c r="BN30" i="21"/>
  <c r="BN31" i="21"/>
  <c r="BN32" i="21"/>
  <c r="BN33" i="21"/>
  <c r="AO29" i="28"/>
  <c r="AO30" i="28"/>
  <c r="AO31" i="28"/>
  <c r="AO32" i="28"/>
  <c r="AO33" i="28"/>
  <c r="AI29" i="26"/>
  <c r="AI30" i="26"/>
  <c r="AI31" i="26"/>
  <c r="AI32" i="26"/>
  <c r="AI33" i="26"/>
  <c r="B15" i="4"/>
  <c r="BL21" i="22"/>
  <c r="AS54" i="26"/>
  <c r="AT54" i="28"/>
  <c r="BR55" i="21"/>
  <c r="H5" i="4"/>
  <c r="H21" i="4"/>
  <c r="BM21" i="22"/>
  <c r="BN23" i="22"/>
  <c r="BO24" i="22"/>
  <c r="BJ43" i="22"/>
  <c r="CS29" i="11"/>
  <c r="CS33" i="11"/>
  <c r="BO29" i="21"/>
  <c r="BO30" i="21"/>
  <c r="BO31" i="21"/>
  <c r="BO32" i="21"/>
  <c r="BO33" i="21"/>
  <c r="AP29" i="28"/>
  <c r="AP30" i="28"/>
  <c r="AP31" i="28"/>
  <c r="AP32" i="28"/>
  <c r="AP33" i="28"/>
  <c r="AJ29" i="26"/>
  <c r="AJ30" i="26"/>
  <c r="AJ31" i="26"/>
  <c r="AJ32" i="26"/>
  <c r="AJ33" i="26"/>
  <c r="AV36" i="28"/>
  <c r="BU49" i="22"/>
  <c r="BU35" i="22" s="1"/>
  <c r="BU67" i="22"/>
  <c r="AT54" i="26"/>
  <c r="AU54" i="28"/>
  <c r="BS55" i="21"/>
  <c r="BK43" i="22"/>
  <c r="BK45" i="22"/>
  <c r="BK46" i="22"/>
  <c r="CT29" i="11"/>
  <c r="CT33" i="11"/>
  <c r="BP29" i="21"/>
  <c r="BP30" i="21"/>
  <c r="BP31" i="21"/>
  <c r="BP32" i="21"/>
  <c r="BP33" i="21"/>
  <c r="AQ29" i="28"/>
  <c r="AQ30" i="28"/>
  <c r="AQ31" i="28"/>
  <c r="AQ32" i="28"/>
  <c r="AQ33" i="28"/>
  <c r="AK29" i="26"/>
  <c r="AK30" i="26"/>
  <c r="AK31" i="26"/>
  <c r="AK32" i="26"/>
  <c r="AK33" i="26"/>
  <c r="AI54" i="26"/>
  <c r="AJ54" i="28"/>
  <c r="BH55" i="21"/>
  <c r="BN21" i="22"/>
  <c r="BO22" i="22"/>
  <c r="CR30" i="11"/>
  <c r="BQ29" i="21"/>
  <c r="BQ30" i="21"/>
  <c r="BQ31" i="21"/>
  <c r="BQ32" i="21"/>
  <c r="BQ33" i="21"/>
  <c r="AR29" i="28"/>
  <c r="AR30" i="28"/>
  <c r="AR31" i="28"/>
  <c r="AR32" i="28"/>
  <c r="AR33" i="28"/>
  <c r="AL29" i="26"/>
  <c r="AL30" i="26"/>
  <c r="AL31" i="26"/>
  <c r="AL32" i="26"/>
  <c r="AL33" i="26"/>
  <c r="AJ54" i="26"/>
  <c r="AK54" i="28"/>
  <c r="BI55" i="21"/>
  <c r="CS30" i="11"/>
  <c r="BR29" i="21"/>
  <c r="BR30" i="21"/>
  <c r="BR31" i="21"/>
  <c r="BR32" i="21"/>
  <c r="BR33" i="21"/>
  <c r="AS29" i="28"/>
  <c r="AS30" i="28"/>
  <c r="AS31" i="28"/>
  <c r="AS32" i="28"/>
  <c r="AS33" i="28"/>
  <c r="AM29" i="26"/>
  <c r="AM30" i="26"/>
  <c r="AM31" i="26"/>
  <c r="AM32" i="26"/>
  <c r="AM33" i="26"/>
  <c r="AK54" i="26"/>
  <c r="AL54" i="28"/>
  <c r="BJ55" i="21"/>
  <c r="BN42" i="22"/>
  <c r="BN43" i="22"/>
  <c r="BN44" i="22"/>
  <c r="BN45" i="22"/>
  <c r="BN46" i="22"/>
  <c r="CT30" i="11"/>
  <c r="BS29" i="21"/>
  <c r="BS30" i="21"/>
  <c r="BS31" i="21"/>
  <c r="BS32" i="21"/>
  <c r="BS33" i="21"/>
  <c r="AT29" i="28"/>
  <c r="AT30" i="28"/>
  <c r="AT31" i="28"/>
  <c r="AT32" i="28"/>
  <c r="AT33" i="28"/>
  <c r="AN29" i="26"/>
  <c r="AN30" i="26"/>
  <c r="AN31" i="26"/>
  <c r="AN32" i="26"/>
  <c r="AN33" i="26"/>
  <c r="AL54" i="26"/>
  <c r="AM54" i="28"/>
  <c r="BK55" i="21"/>
  <c r="BQ23" i="22"/>
  <c r="BR24" i="22"/>
  <c r="BS23" i="22"/>
  <c r="BI25" i="22"/>
  <c r="BO21" i="22"/>
  <c r="BO23" i="22"/>
  <c r="BO42" i="22"/>
  <c r="CR31" i="11"/>
  <c r="BH29" i="21"/>
  <c r="BH30" i="21"/>
  <c r="BH31" i="21"/>
  <c r="BH32" i="21"/>
  <c r="BH33" i="21"/>
  <c r="AU29" i="28"/>
  <c r="AU30" i="28"/>
  <c r="AU31" i="28"/>
  <c r="AU32" i="28"/>
  <c r="AU33" i="28"/>
  <c r="AO29" i="26"/>
  <c r="AO30" i="26"/>
  <c r="AO31" i="26"/>
  <c r="AO32" i="26"/>
  <c r="AO33" i="26"/>
  <c r="AM54" i="26"/>
  <c r="AN54" i="28"/>
  <c r="BL55" i="21"/>
  <c r="BS25" i="22"/>
  <c r="BT23" i="22"/>
  <c r="BI24" i="22"/>
  <c r="BJ46" i="22"/>
  <c r="BP21" i="22"/>
  <c r="BP54" i="22" s="1"/>
  <c r="BP22" i="22"/>
  <c r="CS31" i="11"/>
  <c r="BI29" i="21"/>
  <c r="BI30" i="21"/>
  <c r="BI31" i="21"/>
  <c r="BI32" i="21"/>
  <c r="BI33" i="21"/>
  <c r="AJ29" i="28"/>
  <c r="AJ30" i="28"/>
  <c r="AJ31" i="28"/>
  <c r="AJ32" i="28"/>
  <c r="AJ33" i="28"/>
  <c r="AP29" i="26"/>
  <c r="AP30" i="26"/>
  <c r="AP31" i="26"/>
  <c r="AP32" i="26"/>
  <c r="AP33" i="26"/>
  <c r="AN54" i="26"/>
  <c r="AO54" i="28"/>
  <c r="BM55" i="21"/>
  <c r="BT25" i="22"/>
  <c r="BI44" i="22"/>
  <c r="BJ24" i="22"/>
  <c r="BK25" i="22"/>
  <c r="BQ21" i="22"/>
  <c r="BQ54" i="22" s="1"/>
  <c r="BQ24" i="22"/>
  <c r="CT31" i="11"/>
  <c r="BJ29" i="21"/>
  <c r="BJ30" i="21"/>
  <c r="BJ31" i="21"/>
  <c r="BJ32" i="21"/>
  <c r="BJ33" i="21"/>
  <c r="AK29" i="28"/>
  <c r="AK30" i="28"/>
  <c r="AK31" i="28"/>
  <c r="AK32" i="28"/>
  <c r="AK33" i="28"/>
  <c r="AQ29" i="26"/>
  <c r="AQ30" i="26"/>
  <c r="AQ31" i="26"/>
  <c r="AQ32" i="26"/>
  <c r="AQ33" i="26"/>
  <c r="AO54" i="26"/>
  <c r="AP54" i="28"/>
  <c r="BN55" i="21"/>
  <c r="BJ42" i="22"/>
  <c r="BK24" i="22"/>
  <c r="BL25" i="22"/>
  <c r="BR21" i="22"/>
  <c r="BR42" i="22"/>
  <c r="CR32" i="11"/>
  <c r="BK29" i="21"/>
  <c r="BK42" i="21" s="1"/>
  <c r="BK30" i="21"/>
  <c r="BK31" i="21"/>
  <c r="BK32" i="21"/>
  <c r="BK33" i="21"/>
  <c r="AL29" i="28"/>
  <c r="AL30" i="28"/>
  <c r="AL31" i="28"/>
  <c r="AL32" i="28"/>
  <c r="AL33" i="28"/>
  <c r="AR29" i="26"/>
  <c r="AR30" i="26"/>
  <c r="AR31" i="26"/>
  <c r="AR32" i="26"/>
  <c r="AR33" i="26"/>
  <c r="BJ45" i="22"/>
  <c r="BO25" i="22"/>
  <c r="BP23" i="22"/>
  <c r="BJ21" i="22"/>
  <c r="BI45" i="22"/>
  <c r="BS24" i="22"/>
  <c r="BJ23" i="22"/>
  <c r="BM46" i="22"/>
  <c r="BI46" i="22"/>
  <c r="BJ25" i="22"/>
  <c r="BL46" i="22"/>
  <c r="BJ44" i="22"/>
  <c r="BM24" i="22"/>
  <c r="BK23" i="22"/>
  <c r="BS22" i="22"/>
  <c r="BR22" i="22"/>
  <c r="BQ22" i="22"/>
  <c r="BP24" i="22"/>
  <c r="BL22" i="22"/>
  <c r="BM43" i="22"/>
  <c r="BK42" i="22"/>
  <c r="BK54" i="22" s="1"/>
  <c r="BL42" i="22"/>
  <c r="BM22" i="22"/>
  <c r="BT46" i="22"/>
  <c r="BS42" i="22"/>
  <c r="BS43" i="22"/>
  <c r="BS44" i="22"/>
  <c r="BS45" i="22"/>
  <c r="BS46" i="22"/>
  <c r="BI23" i="22"/>
  <c r="BI22" i="22"/>
  <c r="BI21" i="22"/>
  <c r="BT45" i="22"/>
  <c r="BT43" i="22"/>
  <c r="BT24" i="22"/>
  <c r="BT22" i="22"/>
  <c r="BT21" i="22"/>
  <c r="BR46" i="22"/>
  <c r="BR45" i="22"/>
  <c r="BR44" i="22"/>
  <c r="BR43" i="22"/>
  <c r="BQ46" i="22"/>
  <c r="BQ45" i="22"/>
  <c r="BQ44" i="22"/>
  <c r="BQ43" i="22"/>
  <c r="BP46" i="22"/>
  <c r="BP45" i="22"/>
  <c r="BP44" i="22"/>
  <c r="BP43" i="22"/>
  <c r="BO46" i="22"/>
  <c r="BO45" i="22"/>
  <c r="BO44" i="22"/>
  <c r="BO43" i="22"/>
  <c r="BS57" i="22" l="1"/>
  <c r="B67" i="29"/>
  <c r="C67" i="29" s="1"/>
  <c r="D67" i="29" s="1"/>
  <c r="B55" i="30"/>
  <c r="BL54" i="22"/>
  <c r="BO56" i="22"/>
  <c r="BQ57" i="22"/>
  <c r="BI54" i="22"/>
  <c r="BJ55" i="22"/>
  <c r="BL57" i="22"/>
  <c r="BT56" i="22"/>
  <c r="BN57" i="22"/>
  <c r="BP58" i="22"/>
  <c r="BT58" i="22"/>
  <c r="BN55" i="22"/>
  <c r="BT57" i="22"/>
  <c r="BM55" i="22"/>
  <c r="BI58" i="22"/>
  <c r="BQ58" i="22"/>
  <c r="BR56" i="22"/>
  <c r="BM54" i="22"/>
  <c r="BM56" i="22"/>
  <c r="D44" i="29"/>
  <c r="D56" i="29" s="1"/>
  <c r="D35" i="29"/>
  <c r="D43" i="29"/>
  <c r="D55" i="29" s="1"/>
  <c r="D45" i="29"/>
  <c r="D57" i="29" s="1"/>
  <c r="D46" i="29"/>
  <c r="D58" i="29" s="1"/>
  <c r="BR57" i="22"/>
  <c r="BN54" i="22"/>
  <c r="C33" i="30"/>
  <c r="C46" i="30" s="1"/>
  <c r="C22" i="30"/>
  <c r="C30" i="30"/>
  <c r="C43" i="30" s="1"/>
  <c r="C32" i="30"/>
  <c r="C45" i="30" s="1"/>
  <c r="C31" i="30"/>
  <c r="C44" i="30" s="1"/>
  <c r="BR58" i="22"/>
  <c r="BR54" i="22"/>
  <c r="BN56" i="22"/>
  <c r="C35" i="29"/>
  <c r="C46" i="29"/>
  <c r="C58" i="29" s="1"/>
  <c r="C45" i="29"/>
  <c r="C57" i="29" s="1"/>
  <c r="C44" i="29"/>
  <c r="C56" i="29" s="1"/>
  <c r="C43" i="29"/>
  <c r="C55" i="29" s="1"/>
  <c r="BK58" i="22"/>
  <c r="D32" i="30"/>
  <c r="D45" i="30" s="1"/>
  <c r="D31" i="30"/>
  <c r="D44" i="30" s="1"/>
  <c r="D22" i="30"/>
  <c r="D33" i="30"/>
  <c r="D46" i="30" s="1"/>
  <c r="D30" i="30"/>
  <c r="D43" i="30" s="1"/>
  <c r="BP56" i="22"/>
  <c r="BK57" i="22"/>
  <c r="B35" i="29"/>
  <c r="B46" i="29"/>
  <c r="B44" i="29"/>
  <c r="B45" i="29"/>
  <c r="B43" i="29"/>
  <c r="BP57" i="22"/>
  <c r="BS54" i="22"/>
  <c r="BK56" i="22"/>
  <c r="BO54" i="22"/>
  <c r="BN58" i="22"/>
  <c r="B32" i="30"/>
  <c r="B22" i="30"/>
  <c r="B33" i="30"/>
  <c r="B31" i="30"/>
  <c r="B44" i="30" s="1"/>
  <c r="B51" i="30" s="1"/>
  <c r="B30" i="30"/>
  <c r="BT55" i="22"/>
  <c r="BM57" i="22"/>
  <c r="BJ57" i="22"/>
  <c r="BS55" i="22"/>
  <c r="BK55" i="22"/>
  <c r="BO55" i="22"/>
  <c r="BO57" i="22"/>
  <c r="BL58" i="22"/>
  <c r="BJ58" i="22"/>
  <c r="BP55" i="22"/>
  <c r="BI55" i="22"/>
  <c r="BI56" i="22"/>
  <c r="BM58" i="22"/>
  <c r="BL55" i="22"/>
  <c r="BS58" i="22"/>
  <c r="BQ55" i="22"/>
  <c r="BI57" i="22"/>
  <c r="BQ56" i="22"/>
  <c r="BS56" i="22"/>
  <c r="BJ54" i="22"/>
  <c r="BL56" i="22"/>
  <c r="BT54" i="22"/>
  <c r="BR55" i="22"/>
  <c r="BO58" i="22"/>
  <c r="BJ56" i="22"/>
  <c r="C55" i="30" l="1"/>
  <c r="D55" i="30"/>
  <c r="D29" i="30"/>
  <c r="D42" i="30" s="1"/>
  <c r="B29" i="30"/>
  <c r="B42" i="30" s="1"/>
  <c r="B49" i="30" s="1"/>
  <c r="C42" i="29"/>
  <c r="C54" i="29" s="1"/>
  <c r="C29" i="30"/>
  <c r="C42" i="30" s="1"/>
  <c r="B42" i="29"/>
  <c r="B54" i="29" s="1"/>
  <c r="B61" i="29" s="1"/>
  <c r="B6" i="30"/>
  <c r="D6" i="30" s="1"/>
  <c r="B55" i="29"/>
  <c r="B62" i="29" s="1"/>
  <c r="B5" i="29"/>
  <c r="E5" i="29" s="1"/>
  <c r="B57" i="29"/>
  <c r="B64" i="29" s="1"/>
  <c r="B7" i="29"/>
  <c r="E7" i="29" s="1"/>
  <c r="B43" i="30"/>
  <c r="B50" i="30" s="1"/>
  <c r="B5" i="30"/>
  <c r="D5" i="30" s="1"/>
  <c r="B56" i="29"/>
  <c r="B63" i="29" s="1"/>
  <c r="B6" i="29"/>
  <c r="E6" i="29" s="1"/>
  <c r="B58" i="29"/>
  <c r="B65" i="29" s="1"/>
  <c r="B8" i="29"/>
  <c r="E8" i="29" s="1"/>
  <c r="B46" i="30"/>
  <c r="B53" i="30" s="1"/>
  <c r="B8" i="30"/>
  <c r="D8" i="30" s="1"/>
  <c r="B45" i="30"/>
  <c r="B52" i="30" s="1"/>
  <c r="B7" i="30"/>
  <c r="D7" i="30" s="1"/>
  <c r="D42" i="29"/>
  <c r="BL43" i="21"/>
  <c r="BM43" i="21"/>
  <c r="BN43" i="21"/>
  <c r="BO43" i="21"/>
  <c r="BP43" i="21"/>
  <c r="BQ43" i="21"/>
  <c r="BT55" i="21"/>
  <c r="AQ44" i="28"/>
  <c r="AM41" i="28"/>
  <c r="AN43" i="28"/>
  <c r="AO43" i="28"/>
  <c r="AP43" i="28"/>
  <c r="AQ43" i="28"/>
  <c r="AV54" i="28"/>
  <c r="AV14" i="28"/>
  <c r="AM42" i="26"/>
  <c r="AN42" i="26"/>
  <c r="AM43" i="26"/>
  <c r="AN43" i="26"/>
  <c r="AL43" i="26"/>
  <c r="AM41" i="26"/>
  <c r="AN41" i="26"/>
  <c r="AO44" i="26"/>
  <c r="AP44" i="26"/>
  <c r="AT41" i="26"/>
  <c r="AU54" i="26"/>
  <c r="AU14" i="26"/>
  <c r="AI14" i="26"/>
  <c r="AJ14" i="26"/>
  <c r="AK14" i="26"/>
  <c r="AL14" i="26"/>
  <c r="AM14" i="26" s="1"/>
  <c r="AN14" i="26" s="1"/>
  <c r="AO14" i="26" s="1"/>
  <c r="AP14" i="26" s="1"/>
  <c r="AQ14" i="26" s="1"/>
  <c r="AR14" i="26" s="1"/>
  <c r="AS14" i="26" s="1"/>
  <c r="AT14" i="26" s="1"/>
  <c r="B35" i="16"/>
  <c r="F29" i="16"/>
  <c r="C10" i="12"/>
  <c r="H27" i="4"/>
  <c r="G31" i="4"/>
  <c r="G25" i="4"/>
  <c r="I24" i="4"/>
  <c r="I31" i="4" s="1"/>
  <c r="H24" i="4"/>
  <c r="H31" i="4" s="1"/>
  <c r="I23" i="4"/>
  <c r="I30" i="4" s="1"/>
  <c r="H23" i="4"/>
  <c r="H30" i="4" s="1"/>
  <c r="I22" i="4"/>
  <c r="I29" i="4" s="1"/>
  <c r="H22" i="4"/>
  <c r="I21" i="4"/>
  <c r="I28" i="4" s="1"/>
  <c r="H28" i="4"/>
  <c r="I20" i="4"/>
  <c r="J20" i="4" s="1"/>
  <c r="B4" i="30" l="1"/>
  <c r="D4" i="30" s="1"/>
  <c r="D9" i="30" s="1"/>
  <c r="B4" i="29"/>
  <c r="E4" i="29" s="1"/>
  <c r="E9" i="29" s="1"/>
  <c r="D54" i="29"/>
  <c r="B68" i="29"/>
  <c r="C61" i="29" s="1"/>
  <c r="G28" i="16"/>
  <c r="G27" i="16"/>
  <c r="G26" i="16"/>
  <c r="G24" i="16"/>
  <c r="G25" i="16"/>
  <c r="I25" i="4"/>
  <c r="AO44" i="28"/>
  <c r="BP46" i="21"/>
  <c r="BP45" i="21"/>
  <c r="BP44" i="21"/>
  <c r="BP42" i="21"/>
  <c r="BO46" i="21"/>
  <c r="BO44" i="21"/>
  <c r="BO42" i="21"/>
  <c r="AS45" i="26"/>
  <c r="AS44" i="26"/>
  <c r="AS43" i="26"/>
  <c r="AS42" i="26"/>
  <c r="AS41" i="26"/>
  <c r="AR45" i="26"/>
  <c r="AR44" i="26"/>
  <c r="AR43" i="26"/>
  <c r="AR42" i="26"/>
  <c r="AR41" i="26"/>
  <c r="AQ41" i="28"/>
  <c r="BN46" i="21"/>
  <c r="AQ45" i="26"/>
  <c r="AQ44" i="26"/>
  <c r="AQ43" i="26"/>
  <c r="AQ42" i="26"/>
  <c r="AQ41" i="26"/>
  <c r="BO45" i="21"/>
  <c r="BN44" i="21"/>
  <c r="AP45" i="26"/>
  <c r="AP43" i="26"/>
  <c r="AP42" i="26"/>
  <c r="AP41" i="26"/>
  <c r="AQ45" i="28"/>
  <c r="BN45" i="21"/>
  <c r="AN45" i="26"/>
  <c r="AO45" i="26"/>
  <c r="AO43" i="26"/>
  <c r="AO42" i="26"/>
  <c r="AO41" i="26"/>
  <c r="AP44" i="28"/>
  <c r="AP41" i="28"/>
  <c r="BM45" i="21"/>
  <c r="BM46" i="21"/>
  <c r="AM45" i="26"/>
  <c r="AO41" i="28"/>
  <c r="BM42" i="21"/>
  <c r="AN44" i="28"/>
  <c r="AN41" i="28"/>
  <c r="AL44" i="26"/>
  <c r="AL45" i="26"/>
  <c r="AL42" i="26"/>
  <c r="AU45" i="28"/>
  <c r="AU44" i="28"/>
  <c r="AU43" i="28"/>
  <c r="AU42" i="28"/>
  <c r="AU41" i="28"/>
  <c r="AL41" i="26"/>
  <c r="AT44" i="28"/>
  <c r="AT42" i="28"/>
  <c r="AT41" i="28"/>
  <c r="AN44" i="26"/>
  <c r="AS45" i="28"/>
  <c r="AS44" i="28"/>
  <c r="AS42" i="28"/>
  <c r="AS41" i="28"/>
  <c r="AS43" i="28"/>
  <c r="BS46" i="21"/>
  <c r="BS45" i="21"/>
  <c r="BS44" i="21"/>
  <c r="BS43" i="21"/>
  <c r="BS42" i="21"/>
  <c r="AT45" i="28"/>
  <c r="AT43" i="28"/>
  <c r="AM44" i="26"/>
  <c r="AR45" i="28"/>
  <c r="AR44" i="28"/>
  <c r="AR42" i="28"/>
  <c r="AR41" i="28"/>
  <c r="AR43" i="28"/>
  <c r="BR46" i="21"/>
  <c r="BR45" i="21"/>
  <c r="BR43" i="21"/>
  <c r="BR44" i="21"/>
  <c r="BR42" i="21"/>
  <c r="BQ46" i="21"/>
  <c r="BQ45" i="21"/>
  <c r="BQ44" i="21"/>
  <c r="BQ42" i="21"/>
  <c r="BN42" i="21"/>
  <c r="BM44" i="21"/>
  <c r="BL45" i="21"/>
  <c r="BL42" i="21"/>
  <c r="BK46" i="21"/>
  <c r="BK45" i="21"/>
  <c r="BK44" i="21"/>
  <c r="BK43" i="21"/>
  <c r="BL46" i="21"/>
  <c r="BL44" i="21"/>
  <c r="AQ42" i="28"/>
  <c r="AP45" i="28"/>
  <c r="AP42" i="28"/>
  <c r="AO45" i="28"/>
  <c r="AO42" i="28"/>
  <c r="AN45" i="28"/>
  <c r="AN42" i="28"/>
  <c r="AM45" i="28"/>
  <c r="AM44" i="28"/>
  <c r="AM43" i="28"/>
  <c r="AM42" i="28"/>
  <c r="AT45" i="26"/>
  <c r="AT44" i="26"/>
  <c r="AT43" i="26"/>
  <c r="AT42" i="26"/>
  <c r="G29" i="4"/>
  <c r="J22" i="4"/>
  <c r="J29" i="4" s="1"/>
  <c r="H29" i="4"/>
  <c r="J23" i="4"/>
  <c r="J30" i="4" s="1"/>
  <c r="G30" i="4"/>
  <c r="I27" i="4"/>
  <c r="J24" i="4"/>
  <c r="J31" i="4" s="1"/>
  <c r="D9" i="4" s="1"/>
  <c r="C20" i="5" s="1"/>
  <c r="G28" i="4"/>
  <c r="H25" i="4"/>
  <c r="J21" i="4"/>
  <c r="J28" i="4" s="1"/>
  <c r="B9" i="30" l="1"/>
  <c r="B9" i="29"/>
  <c r="D8" i="4"/>
  <c r="C19" i="5" s="1"/>
  <c r="D6" i="4"/>
  <c r="C17" i="5" s="1"/>
  <c r="G29" i="16"/>
  <c r="H24" i="16"/>
  <c r="C30" i="16" s="1"/>
  <c r="D7" i="4"/>
  <c r="C18" i="5" s="1"/>
  <c r="J25" i="4"/>
  <c r="J27" i="4"/>
  <c r="D5" i="4" s="1"/>
  <c r="D10" i="4" l="1"/>
  <c r="D11" i="4" s="1"/>
  <c r="C16" i="5"/>
  <c r="O29" i="11"/>
  <c r="F29" i="11" l="1"/>
  <c r="M64" i="26" l="1"/>
  <c r="N64" i="28"/>
  <c r="AM77" i="22"/>
  <c r="AH54" i="26"/>
  <c r="AH54" i="28"/>
  <c r="AF54" i="26"/>
  <c r="AF54" i="28"/>
  <c r="AD54" i="26"/>
  <c r="AD54" i="28"/>
  <c r="AB54" i="26"/>
  <c r="AB54" i="28"/>
  <c r="Z54" i="26"/>
  <c r="Z54" i="28"/>
  <c r="X54" i="26"/>
  <c r="X54" i="28"/>
  <c r="L31" i="21" l="1"/>
  <c r="AX46" i="22"/>
  <c r="X29" i="28"/>
  <c r="X41" i="28" s="1"/>
  <c r="AQ29" i="11"/>
  <c r="AS29" i="11"/>
  <c r="AU29" i="11"/>
  <c r="AW29" i="11"/>
  <c r="AY29" i="11"/>
  <c r="BA29" i="11"/>
  <c r="BC29" i="11"/>
  <c r="BE29" i="11"/>
  <c r="BG29" i="11"/>
  <c r="BI29" i="11"/>
  <c r="BK29" i="11"/>
  <c r="BM29" i="11"/>
  <c r="BO29" i="11"/>
  <c r="BQ29" i="11"/>
  <c r="BS29" i="11"/>
  <c r="BU29" i="11"/>
  <c r="CG29" i="11"/>
  <c r="CG42" i="11" s="1"/>
  <c r="CI29" i="11"/>
  <c r="CI42" i="11" s="1"/>
  <c r="CK29" i="11"/>
  <c r="CK42" i="11" s="1"/>
  <c r="CM29" i="11"/>
  <c r="CM42" i="11" s="1"/>
  <c r="CO29" i="11"/>
  <c r="CO42" i="11" s="1"/>
  <c r="CQ42" i="11"/>
  <c r="AP30" i="11"/>
  <c r="AR30" i="11"/>
  <c r="AT30" i="11"/>
  <c r="AV30" i="11"/>
  <c r="AX30" i="11"/>
  <c r="AZ30" i="11"/>
  <c r="BB30" i="11"/>
  <c r="BD30" i="11"/>
  <c r="BF30" i="11"/>
  <c r="BH30" i="11"/>
  <c r="BJ30" i="11"/>
  <c r="BL30" i="11"/>
  <c r="BN30" i="11"/>
  <c r="BP30" i="11"/>
  <c r="BR30" i="11"/>
  <c r="BT30" i="11"/>
  <c r="BV30" i="11"/>
  <c r="CF30" i="11"/>
  <c r="CF43" i="11" s="1"/>
  <c r="CH30" i="11"/>
  <c r="CH43" i="11" s="1"/>
  <c r="CJ30" i="11"/>
  <c r="CJ43" i="11" s="1"/>
  <c r="CL30" i="11"/>
  <c r="CL43" i="11" s="1"/>
  <c r="CN30" i="11"/>
  <c r="CN43" i="11" s="1"/>
  <c r="CP30" i="11"/>
  <c r="CP43" i="11" s="1"/>
  <c r="X29" i="21"/>
  <c r="AQ31" i="11"/>
  <c r="AS31" i="11"/>
  <c r="AU31" i="11"/>
  <c r="AW31" i="11"/>
  <c r="AY31" i="11"/>
  <c r="BA31" i="11"/>
  <c r="BC31" i="11"/>
  <c r="BE31" i="11"/>
  <c r="BG31" i="11"/>
  <c r="BI31" i="11"/>
  <c r="BK31" i="11"/>
  <c r="BM31" i="11"/>
  <c r="BO31" i="11"/>
  <c r="BQ31" i="11"/>
  <c r="BS31" i="11"/>
  <c r="BU31" i="11"/>
  <c r="CG31" i="11"/>
  <c r="CG44" i="11" s="1"/>
  <c r="CI31" i="11"/>
  <c r="CI44" i="11" s="1"/>
  <c r="CK31" i="11"/>
  <c r="CK44" i="11" s="1"/>
  <c r="CM31" i="11"/>
  <c r="CM44" i="11" s="1"/>
  <c r="CO31" i="11"/>
  <c r="CO44" i="11" s="1"/>
  <c r="CQ31" i="11"/>
  <c r="AP32" i="11"/>
  <c r="AR32" i="11"/>
  <c r="AT32" i="11"/>
  <c r="AV32" i="11"/>
  <c r="AX32" i="11"/>
  <c r="AZ32" i="11"/>
  <c r="BB32" i="11"/>
  <c r="BD32" i="11"/>
  <c r="BF32" i="11"/>
  <c r="BH32" i="11"/>
  <c r="BJ32" i="11"/>
  <c r="BL32" i="11"/>
  <c r="BN32" i="11"/>
  <c r="BP32" i="11"/>
  <c r="BR32" i="11"/>
  <c r="BT32" i="11"/>
  <c r="BV32" i="11"/>
  <c r="CF32" i="11"/>
  <c r="CF45" i="11" s="1"/>
  <c r="CH32" i="11"/>
  <c r="CH45" i="11" s="1"/>
  <c r="CJ32" i="11"/>
  <c r="CJ45" i="11" s="1"/>
  <c r="CL32" i="11"/>
  <c r="CL45" i="11" s="1"/>
  <c r="CN32" i="11"/>
  <c r="CN45" i="11" s="1"/>
  <c r="CP32" i="11"/>
  <c r="CP45" i="11" s="1"/>
  <c r="AQ33" i="11"/>
  <c r="AS33" i="11"/>
  <c r="AU33" i="11"/>
  <c r="AW33" i="11"/>
  <c r="AY33" i="11"/>
  <c r="BA33" i="11"/>
  <c r="BC33" i="11"/>
  <c r="BE33" i="11"/>
  <c r="BG33" i="11"/>
  <c r="BI33" i="11"/>
  <c r="BK33" i="11"/>
  <c r="BM33" i="11"/>
  <c r="BO33" i="11"/>
  <c r="BQ33" i="11"/>
  <c r="BS33" i="11"/>
  <c r="BU33" i="11"/>
  <c r="CG33" i="11"/>
  <c r="CG46" i="11" s="1"/>
  <c r="CI33" i="11"/>
  <c r="CI46" i="11" s="1"/>
  <c r="CK33" i="11"/>
  <c r="CK46" i="11" s="1"/>
  <c r="CM33" i="11"/>
  <c r="CM46" i="11" s="1"/>
  <c r="CO33" i="11"/>
  <c r="CO46" i="11" s="1"/>
  <c r="CQ33" i="11"/>
  <c r="CQ46" i="11" s="1"/>
  <c r="W29" i="26"/>
  <c r="Y29" i="26"/>
  <c r="AA29" i="26"/>
  <c r="AA41" i="26" s="1"/>
  <c r="AC29" i="26"/>
  <c r="AC41" i="26" s="1"/>
  <c r="AE29" i="26"/>
  <c r="AE41" i="26" s="1"/>
  <c r="AG29" i="26"/>
  <c r="AG41" i="26" s="1"/>
  <c r="W30" i="26"/>
  <c r="Y30" i="26"/>
  <c r="AA30" i="26"/>
  <c r="AA42" i="26" s="1"/>
  <c r="AC30" i="26"/>
  <c r="AC42" i="26" s="1"/>
  <c r="AE30" i="26"/>
  <c r="AE42" i="26" s="1"/>
  <c r="AG30" i="26"/>
  <c r="AG42" i="26" s="1"/>
  <c r="W31" i="26"/>
  <c r="Y31" i="26"/>
  <c r="AA31" i="26"/>
  <c r="AA43" i="26" s="1"/>
  <c r="AC31" i="26"/>
  <c r="AC43" i="26" s="1"/>
  <c r="AE31" i="26"/>
  <c r="AE43" i="26" s="1"/>
  <c r="AG31" i="26"/>
  <c r="AG43" i="26" s="1"/>
  <c r="W32" i="26"/>
  <c r="Y32" i="26"/>
  <c r="AA32" i="26"/>
  <c r="AA44" i="26" s="1"/>
  <c r="AC32" i="26"/>
  <c r="AC44" i="26" s="1"/>
  <c r="AE32" i="26"/>
  <c r="AE44" i="26" s="1"/>
  <c r="AG32" i="26"/>
  <c r="AG44" i="26" s="1"/>
  <c r="W33" i="26"/>
  <c r="Y33" i="26"/>
  <c r="AA33" i="26"/>
  <c r="AA45" i="26" s="1"/>
  <c r="AC33" i="26"/>
  <c r="AC45" i="26" s="1"/>
  <c r="AE33" i="26"/>
  <c r="AE45" i="26" s="1"/>
  <c r="AG33" i="26"/>
  <c r="AG45" i="26" s="1"/>
  <c r="AP29" i="11"/>
  <c r="AR29" i="11"/>
  <c r="AT29" i="11"/>
  <c r="AV29" i="11"/>
  <c r="AX29" i="11"/>
  <c r="AZ29" i="11"/>
  <c r="BB29" i="11"/>
  <c r="BD29" i="11"/>
  <c r="BF29" i="11"/>
  <c r="BH29" i="11"/>
  <c r="BJ29" i="11"/>
  <c r="BL29" i="11"/>
  <c r="BN29" i="11"/>
  <c r="BP29" i="11"/>
  <c r="BR29" i="11"/>
  <c r="BT29" i="11"/>
  <c r="BV29" i="11"/>
  <c r="CF29" i="11"/>
  <c r="CF42" i="11" s="1"/>
  <c r="CH29" i="11"/>
  <c r="CH42" i="11" s="1"/>
  <c r="CJ29" i="11"/>
  <c r="CJ42" i="11" s="1"/>
  <c r="CL29" i="11"/>
  <c r="CL42" i="11" s="1"/>
  <c r="CN29" i="11"/>
  <c r="CN42" i="11" s="1"/>
  <c r="CP29" i="11"/>
  <c r="CP42" i="11" s="1"/>
  <c r="AQ30" i="11"/>
  <c r="AS30" i="11"/>
  <c r="AU30" i="11"/>
  <c r="AW30" i="11"/>
  <c r="AY30" i="11"/>
  <c r="BA30" i="11"/>
  <c r="BC30" i="11"/>
  <c r="BE30" i="11"/>
  <c r="BG30" i="11"/>
  <c r="BI30" i="11"/>
  <c r="BK30" i="11"/>
  <c r="BM30" i="11"/>
  <c r="BO30" i="11"/>
  <c r="BQ30" i="11"/>
  <c r="BS30" i="11"/>
  <c r="BU30" i="11"/>
  <c r="CG30" i="11"/>
  <c r="CG43" i="11" s="1"/>
  <c r="CI30" i="11"/>
  <c r="CI43" i="11" s="1"/>
  <c r="CK30" i="11"/>
  <c r="CK43" i="11" s="1"/>
  <c r="CM30" i="11"/>
  <c r="CM43" i="11" s="1"/>
  <c r="CO30" i="11"/>
  <c r="CO43" i="11" s="1"/>
  <c r="CQ30" i="11"/>
  <c r="CQ43" i="11" s="1"/>
  <c r="AP31" i="11"/>
  <c r="AR31" i="11"/>
  <c r="AT31" i="11"/>
  <c r="AV31" i="11"/>
  <c r="AX31" i="11"/>
  <c r="AZ31" i="11"/>
  <c r="BB31" i="11"/>
  <c r="BD31" i="11"/>
  <c r="BF31" i="11"/>
  <c r="BH31" i="11"/>
  <c r="BJ31" i="11"/>
  <c r="BL31" i="11"/>
  <c r="BN31" i="11"/>
  <c r="BP31" i="11"/>
  <c r="BR31" i="11"/>
  <c r="BT31" i="11"/>
  <c r="BV31" i="11"/>
  <c r="CF31" i="11"/>
  <c r="CF44" i="11" s="1"/>
  <c r="CH31" i="11"/>
  <c r="CH44" i="11" s="1"/>
  <c r="CJ31" i="11"/>
  <c r="CJ44" i="11" s="1"/>
  <c r="CL31" i="11"/>
  <c r="CL44" i="11" s="1"/>
  <c r="CN31" i="11"/>
  <c r="CN44" i="11" s="1"/>
  <c r="CP31" i="11"/>
  <c r="CP44" i="11" s="1"/>
  <c r="AQ32" i="11"/>
  <c r="AS32" i="11"/>
  <c r="AU32" i="11"/>
  <c r="AW32" i="11"/>
  <c r="AY32" i="11"/>
  <c r="BA32" i="11"/>
  <c r="BC32" i="11"/>
  <c r="BE32" i="11"/>
  <c r="BG32" i="11"/>
  <c r="BI32" i="11"/>
  <c r="BK32" i="11"/>
  <c r="BM32" i="11"/>
  <c r="BO32" i="11"/>
  <c r="BQ32" i="11"/>
  <c r="BS32" i="11"/>
  <c r="BU32" i="11"/>
  <c r="CG32" i="11"/>
  <c r="CG45" i="11" s="1"/>
  <c r="CI32" i="11"/>
  <c r="CI45" i="11" s="1"/>
  <c r="CK32" i="11"/>
  <c r="CK45" i="11" s="1"/>
  <c r="CM32" i="11"/>
  <c r="CM45" i="11" s="1"/>
  <c r="CO32" i="11"/>
  <c r="CO45" i="11" s="1"/>
  <c r="CQ32" i="11"/>
  <c r="CQ45" i="11" s="1"/>
  <c r="AP33" i="11"/>
  <c r="AR33" i="11"/>
  <c r="AT33" i="11"/>
  <c r="AV33" i="11"/>
  <c r="AX33" i="11"/>
  <c r="AZ33" i="11"/>
  <c r="BB33" i="11"/>
  <c r="BD33" i="11"/>
  <c r="BF33" i="11"/>
  <c r="BH33" i="11"/>
  <c r="BJ33" i="11"/>
  <c r="BL33" i="11"/>
  <c r="BN33" i="11"/>
  <c r="BP33" i="11"/>
  <c r="BR33" i="11"/>
  <c r="BT33" i="11"/>
  <c r="BV33" i="11"/>
  <c r="CF33" i="11"/>
  <c r="CF46" i="11" s="1"/>
  <c r="CH33" i="11"/>
  <c r="CH46" i="11" s="1"/>
  <c r="CJ33" i="11"/>
  <c r="CJ46" i="11" s="1"/>
  <c r="CL33" i="11"/>
  <c r="CL46" i="11" s="1"/>
  <c r="CN33" i="11"/>
  <c r="CN46" i="11" s="1"/>
  <c r="CP33" i="11"/>
  <c r="CP46" i="11" s="1"/>
  <c r="AW29" i="21"/>
  <c r="BA29" i="21"/>
  <c r="BE29" i="21"/>
  <c r="AW30" i="21"/>
  <c r="BA30" i="21"/>
  <c r="BE30" i="21"/>
  <c r="AW31" i="21"/>
  <c r="BA31" i="21"/>
  <c r="BE31" i="21"/>
  <c r="AW32" i="21"/>
  <c r="BA32" i="21"/>
  <c r="BE32" i="21"/>
  <c r="BE45" i="21" s="1"/>
  <c r="AW33" i="21"/>
  <c r="BA33" i="21"/>
  <c r="BA46" i="21" s="1"/>
  <c r="BE33" i="21"/>
  <c r="BE46" i="21" s="1"/>
  <c r="AB29" i="28"/>
  <c r="AB41" i="28" s="1"/>
  <c r="AF29" i="28"/>
  <c r="AF41" i="28" s="1"/>
  <c r="X30" i="28"/>
  <c r="AB30" i="28"/>
  <c r="AB42" i="28" s="1"/>
  <c r="AF30" i="28"/>
  <c r="AF42" i="28" s="1"/>
  <c r="X29" i="26"/>
  <c r="Z29" i="26"/>
  <c r="AB29" i="26"/>
  <c r="AD29" i="26"/>
  <c r="AF29" i="26"/>
  <c r="AH29" i="26"/>
  <c r="X30" i="26"/>
  <c r="Z30" i="26"/>
  <c r="AB30" i="26"/>
  <c r="AD30" i="26"/>
  <c r="AF30" i="26"/>
  <c r="AH30" i="26"/>
  <c r="X31" i="26"/>
  <c r="Z31" i="26"/>
  <c r="Z43" i="26" s="1"/>
  <c r="AB31" i="26"/>
  <c r="AB43" i="26" s="1"/>
  <c r="AD31" i="26"/>
  <c r="AD43" i="26" s="1"/>
  <c r="AF31" i="26"/>
  <c r="AF43" i="26" s="1"/>
  <c r="AH31" i="26"/>
  <c r="AH43" i="26" s="1"/>
  <c r="X32" i="26"/>
  <c r="Z32" i="26"/>
  <c r="AB32" i="26"/>
  <c r="AD32" i="26"/>
  <c r="AF32" i="26"/>
  <c r="AH32" i="26"/>
  <c r="X33" i="26"/>
  <c r="Z33" i="26"/>
  <c r="AB33" i="26"/>
  <c r="AD33" i="26"/>
  <c r="AF33" i="26"/>
  <c r="AH33" i="26"/>
  <c r="AY29" i="21"/>
  <c r="BC29" i="21"/>
  <c r="BG29" i="21"/>
  <c r="AY30" i="21"/>
  <c r="BC30" i="21"/>
  <c r="BG30" i="21"/>
  <c r="AY31" i="21"/>
  <c r="BC31" i="21"/>
  <c r="BG31" i="21"/>
  <c r="AY32" i="21"/>
  <c r="BC32" i="21"/>
  <c r="BG32" i="21"/>
  <c r="BG45" i="21" s="1"/>
  <c r="AY33" i="21"/>
  <c r="AY46" i="21" s="1"/>
  <c r="BC33" i="21"/>
  <c r="BC46" i="21" s="1"/>
  <c r="BG33" i="21"/>
  <c r="BG46" i="21" s="1"/>
  <c r="AV29" i="21"/>
  <c r="AX29" i="21"/>
  <c r="AZ29" i="21"/>
  <c r="AZ42" i="21" s="1"/>
  <c r="BB29" i="21"/>
  <c r="BB42" i="21" s="1"/>
  <c r="BD29" i="21"/>
  <c r="BD42" i="21" s="1"/>
  <c r="BF29" i="21"/>
  <c r="BF42" i="21" s="1"/>
  <c r="AV30" i="21"/>
  <c r="AX30" i="21"/>
  <c r="AZ30" i="21"/>
  <c r="AZ43" i="21" s="1"/>
  <c r="BB30" i="21"/>
  <c r="BB43" i="21" s="1"/>
  <c r="BD30" i="21"/>
  <c r="BD43" i="21" s="1"/>
  <c r="BF30" i="21"/>
  <c r="BF43" i="21" s="1"/>
  <c r="AV31" i="21"/>
  <c r="AX31" i="21"/>
  <c r="AZ31" i="21"/>
  <c r="AZ44" i="21" s="1"/>
  <c r="BB31" i="21"/>
  <c r="BB44" i="21" s="1"/>
  <c r="BD31" i="21"/>
  <c r="BD44" i="21" s="1"/>
  <c r="BF31" i="21"/>
  <c r="BF44" i="21" s="1"/>
  <c r="AV32" i="21"/>
  <c r="AX32" i="21"/>
  <c r="AZ32" i="21"/>
  <c r="AZ45" i="21" s="1"/>
  <c r="BB32" i="21"/>
  <c r="BB45" i="21" s="1"/>
  <c r="BD32" i="21"/>
  <c r="BD45" i="21" s="1"/>
  <c r="BF32" i="21"/>
  <c r="BF45" i="21" s="1"/>
  <c r="AV33" i="21"/>
  <c r="AX33" i="21"/>
  <c r="AZ33" i="21"/>
  <c r="AZ46" i="21" s="1"/>
  <c r="BB33" i="21"/>
  <c r="BB46" i="21" s="1"/>
  <c r="BD33" i="21"/>
  <c r="BD46" i="21" s="1"/>
  <c r="BF33" i="21"/>
  <c r="BF46" i="21" s="1"/>
  <c r="X33" i="28"/>
  <c r="X31" i="28"/>
  <c r="Z33" i="28"/>
  <c r="Z31" i="28"/>
  <c r="AB33" i="28"/>
  <c r="AB45" i="28" s="1"/>
  <c r="AB31" i="28"/>
  <c r="AB43" i="28" s="1"/>
  <c r="AD33" i="28"/>
  <c r="AD45" i="28" s="1"/>
  <c r="AD31" i="28"/>
  <c r="AD43" i="28" s="1"/>
  <c r="AF33" i="28"/>
  <c r="AF45" i="28" s="1"/>
  <c r="AF31" i="28"/>
  <c r="AF43" i="28" s="1"/>
  <c r="AH33" i="28"/>
  <c r="AH45" i="28" s="1"/>
  <c r="AH31" i="28"/>
  <c r="AH43" i="28" s="1"/>
  <c r="AH30" i="28"/>
  <c r="AH42" i="28" s="1"/>
  <c r="X32" i="28"/>
  <c r="Z32" i="28"/>
  <c r="AB32" i="28"/>
  <c r="AB44" i="28" s="1"/>
  <c r="AD32" i="28"/>
  <c r="AD44" i="28" s="1"/>
  <c r="AF32" i="28"/>
  <c r="AF44" i="28" s="1"/>
  <c r="AH32" i="28"/>
  <c r="AH44" i="28" s="1"/>
  <c r="Y29" i="28"/>
  <c r="AA29" i="28"/>
  <c r="AA41" i="28" s="1"/>
  <c r="AC29" i="28"/>
  <c r="AC41" i="28" s="1"/>
  <c r="AE29" i="28"/>
  <c r="AG29" i="28"/>
  <c r="AI29" i="28"/>
  <c r="Y30" i="28"/>
  <c r="AA30" i="28"/>
  <c r="AC30" i="28"/>
  <c r="AE30" i="28"/>
  <c r="AG30" i="28"/>
  <c r="AI30" i="28"/>
  <c r="Y31" i="28"/>
  <c r="AA31" i="28"/>
  <c r="AC31" i="28"/>
  <c r="AE31" i="28"/>
  <c r="AG31" i="28"/>
  <c r="AI31" i="28"/>
  <c r="Y32" i="28"/>
  <c r="AA32" i="28"/>
  <c r="AC32" i="28"/>
  <c r="AE32" i="28"/>
  <c r="AG32" i="28"/>
  <c r="AI32" i="28"/>
  <c r="Y33" i="28"/>
  <c r="AA33" i="28"/>
  <c r="AC33" i="28"/>
  <c r="AE33" i="28"/>
  <c r="AG33" i="28"/>
  <c r="AI33" i="28"/>
  <c r="Z29" i="28"/>
  <c r="AD29" i="28"/>
  <c r="AD41" i="28" s="1"/>
  <c r="AH29" i="28"/>
  <c r="AH41" i="28" s="1"/>
  <c r="Z30" i="28"/>
  <c r="AD30" i="28"/>
  <c r="AD42" i="28" s="1"/>
  <c r="AV42" i="22"/>
  <c r="BH42" i="22"/>
  <c r="AW42" i="22"/>
  <c r="AU21" i="22"/>
  <c r="Y54" i="26"/>
  <c r="AC54" i="26"/>
  <c r="AG54" i="26"/>
  <c r="AW55" i="21"/>
  <c r="AY55" i="21"/>
  <c r="BA55" i="21"/>
  <c r="BC55" i="21"/>
  <c r="BE55" i="21"/>
  <c r="BG55" i="21"/>
  <c r="W54" i="26"/>
  <c r="AA54" i="26"/>
  <c r="AE54" i="26"/>
  <c r="AV55" i="21"/>
  <c r="AX55" i="21"/>
  <c r="AZ55" i="21"/>
  <c r="BB55" i="21"/>
  <c r="BD55" i="21"/>
  <c r="BF55" i="21"/>
  <c r="Y54" i="28"/>
  <c r="AA54" i="28"/>
  <c r="AC54" i="28"/>
  <c r="AE54" i="28"/>
  <c r="AG54" i="28"/>
  <c r="AI54" i="28"/>
  <c r="BH25" i="22"/>
  <c r="BF25" i="22"/>
  <c r="BE25" i="22"/>
  <c r="BD25" i="22"/>
  <c r="BB25" i="22"/>
  <c r="BA25" i="22"/>
  <c r="AZ25" i="22"/>
  <c r="AX25" i="22"/>
  <c r="AW25" i="22"/>
  <c r="BH21" i="22"/>
  <c r="BG21" i="22"/>
  <c r="BF21" i="22"/>
  <c r="BE21" i="22"/>
  <c r="BD21" i="22"/>
  <c r="BC21" i="22"/>
  <c r="BB21" i="22"/>
  <c r="BA21" i="22"/>
  <c r="AZ21" i="22"/>
  <c r="AY21" i="22"/>
  <c r="AX21" i="22"/>
  <c r="C22" i="5"/>
  <c r="D22" i="5"/>
  <c r="AX42" i="22" l="1"/>
  <c r="AX54" i="22" s="1"/>
  <c r="AZ42" i="22"/>
  <c r="AZ54" i="22" s="1"/>
  <c r="BB42" i="22"/>
  <c r="BB54" i="22" s="1"/>
  <c r="BD42" i="22"/>
  <c r="BD54" i="22" s="1"/>
  <c r="BF42" i="22"/>
  <c r="BF54" i="22" s="1"/>
  <c r="BH54" i="22"/>
  <c r="AX43" i="22"/>
  <c r="AZ43" i="22"/>
  <c r="BB43" i="22"/>
  <c r="BD43" i="22"/>
  <c r="BF43" i="22"/>
  <c r="BH43" i="22"/>
  <c r="AX44" i="22"/>
  <c r="AZ44" i="22"/>
  <c r="BB44" i="22"/>
  <c r="BD44" i="22"/>
  <c r="BF44" i="22"/>
  <c r="BH44" i="22"/>
  <c r="AX45" i="22"/>
  <c r="AZ45" i="22"/>
  <c r="BB45" i="22"/>
  <c r="BD45" i="22"/>
  <c r="AY22" i="22"/>
  <c r="BC22" i="22"/>
  <c r="BG22" i="22"/>
  <c r="AY23" i="22"/>
  <c r="BC23" i="22"/>
  <c r="BG23" i="22"/>
  <c r="AY24" i="22"/>
  <c r="BC24" i="22"/>
  <c r="BG24" i="22"/>
  <c r="AY25" i="22"/>
  <c r="BC25" i="22"/>
  <c r="BG25" i="22"/>
  <c r="AW21" i="22"/>
  <c r="AW54" i="22" s="1"/>
  <c r="AW22" i="22"/>
  <c r="BA22" i="22"/>
  <c r="BE22" i="22"/>
  <c r="AW23" i="22"/>
  <c r="BA23" i="22"/>
  <c r="BE23" i="22"/>
  <c r="AW24" i="22"/>
  <c r="BA24" i="22"/>
  <c r="BE24" i="22"/>
  <c r="AY42" i="22"/>
  <c r="AY54" i="22" s="1"/>
  <c r="BA42" i="22"/>
  <c r="BA54" i="22" s="1"/>
  <c r="BC42" i="22"/>
  <c r="BC54" i="22" s="1"/>
  <c r="BE42" i="22"/>
  <c r="BE54" i="22" s="1"/>
  <c r="BG42" i="22"/>
  <c r="BG54" i="22" s="1"/>
  <c r="AW43" i="22"/>
  <c r="AY43" i="22"/>
  <c r="BA43" i="22"/>
  <c r="BC43" i="22"/>
  <c r="BE43" i="22"/>
  <c r="BG43" i="22"/>
  <c r="AW44" i="22"/>
  <c r="AY44" i="22"/>
  <c r="BA44" i="22"/>
  <c r="BC44" i="22"/>
  <c r="BE44" i="22"/>
  <c r="BG44" i="22"/>
  <c r="AW45" i="22"/>
  <c r="AY45" i="22"/>
  <c r="BA45" i="22"/>
  <c r="BC45" i="22"/>
  <c r="BE45" i="22"/>
  <c r="BG45" i="22"/>
  <c r="AW46" i="22"/>
  <c r="AW58" i="22" s="1"/>
  <c r="AY46" i="22"/>
  <c r="BA46" i="22"/>
  <c r="BA58" i="22" s="1"/>
  <c r="BC46" i="22"/>
  <c r="BE46" i="22"/>
  <c r="BE58" i="22" s="1"/>
  <c r="BG46" i="22"/>
  <c r="AX22" i="22"/>
  <c r="AZ22" i="22"/>
  <c r="BB22" i="22"/>
  <c r="BD22" i="22"/>
  <c r="BF22" i="22"/>
  <c r="BH22" i="22"/>
  <c r="AX23" i="22"/>
  <c r="AZ23" i="22"/>
  <c r="BB23" i="22"/>
  <c r="BD23" i="22"/>
  <c r="BF23" i="22"/>
  <c r="BH23" i="22"/>
  <c r="AX24" i="22"/>
  <c r="AZ24" i="22"/>
  <c r="BB24" i="22"/>
  <c r="BD24" i="22"/>
  <c r="BF24" i="22"/>
  <c r="BH24" i="22"/>
  <c r="BF45" i="22"/>
  <c r="BH45" i="22"/>
  <c r="AX58" i="22"/>
  <c r="AZ46" i="22"/>
  <c r="AZ58" i="22" s="1"/>
  <c r="BB46" i="22"/>
  <c r="BB58" i="22" s="1"/>
  <c r="BD46" i="22"/>
  <c r="BD58" i="22" s="1"/>
  <c r="BF46" i="22"/>
  <c r="BF58" i="22" s="1"/>
  <c r="BH46" i="22"/>
  <c r="BH58" i="22" s="1"/>
  <c r="AF41" i="26"/>
  <c r="AB45" i="26"/>
  <c r="Z42" i="26"/>
  <c r="AB42" i="26"/>
  <c r="AD42" i="26"/>
  <c r="AF42" i="26"/>
  <c r="AH42" i="26"/>
  <c r="Z44" i="26"/>
  <c r="AB44" i="26"/>
  <c r="AD44" i="26"/>
  <c r="AF44" i="26"/>
  <c r="AH44" i="26"/>
  <c r="AB41" i="26"/>
  <c r="AF45" i="26"/>
  <c r="Z45" i="26"/>
  <c r="Z41" i="26"/>
  <c r="AD45" i="26"/>
  <c r="AD41" i="26"/>
  <c r="AH45" i="26"/>
  <c r="AH41" i="26"/>
  <c r="AY42" i="21"/>
  <c r="BA42" i="21"/>
  <c r="BC42" i="21"/>
  <c r="BE42" i="21"/>
  <c r="BG42" i="21"/>
  <c r="AY43" i="21"/>
  <c r="BA43" i="21"/>
  <c r="BC43" i="21"/>
  <c r="BE43" i="21"/>
  <c r="BG43" i="21"/>
  <c r="AY44" i="21"/>
  <c r="BA44" i="21"/>
  <c r="BC44" i="21"/>
  <c r="BE44" i="21"/>
  <c r="BG44" i="21"/>
  <c r="AY45" i="21"/>
  <c r="BA45" i="21"/>
  <c r="BC45" i="21"/>
  <c r="AE41" i="28"/>
  <c r="AG41" i="28"/>
  <c r="AI41" i="28"/>
  <c r="AA42" i="28"/>
  <c r="AC42" i="28"/>
  <c r="AE42" i="28"/>
  <c r="AG42" i="28"/>
  <c r="AI42" i="28"/>
  <c r="AA43" i="28"/>
  <c r="AC43" i="28"/>
  <c r="AE43" i="28"/>
  <c r="AG43" i="28"/>
  <c r="AI43" i="28"/>
  <c r="AA44" i="28"/>
  <c r="AC44" i="28"/>
  <c r="AE44" i="28"/>
  <c r="AG44" i="28"/>
  <c r="AI44" i="28"/>
  <c r="AA45" i="28"/>
  <c r="AC45" i="28"/>
  <c r="AE45" i="28"/>
  <c r="AG45" i="28"/>
  <c r="AI45" i="28"/>
  <c r="BC56" i="22" l="1"/>
  <c r="AY57" i="22"/>
  <c r="BG57" i="22"/>
  <c r="AY55" i="22"/>
  <c r="BB57" i="22"/>
  <c r="AX57" i="22"/>
  <c r="BF56" i="22"/>
  <c r="BB56" i="22"/>
  <c r="AX56" i="22"/>
  <c r="BF55" i="22"/>
  <c r="BB55" i="22"/>
  <c r="AX55" i="22"/>
  <c r="BC58" i="22"/>
  <c r="BG55" i="22"/>
  <c r="BD57" i="22"/>
  <c r="AZ57" i="22"/>
  <c r="BH56" i="22"/>
  <c r="BD56" i="22"/>
  <c r="AZ56" i="22"/>
  <c r="BH55" i="22"/>
  <c r="BD55" i="22"/>
  <c r="AZ55" i="22"/>
  <c r="BG58" i="22"/>
  <c r="AY58" i="22"/>
  <c r="BC57" i="22"/>
  <c r="BG56" i="22"/>
  <c r="AY56" i="22"/>
  <c r="BC55" i="22"/>
  <c r="BF57" i="22"/>
  <c r="BE57" i="22"/>
  <c r="AW57" i="22"/>
  <c r="BA56" i="22"/>
  <c r="BE55" i="22"/>
  <c r="AW55" i="22"/>
  <c r="BH57" i="22"/>
  <c r="BA57" i="22"/>
  <c r="BE56" i="22"/>
  <c r="AW56" i="22"/>
  <c r="BA55" i="22"/>
  <c r="X44" i="26" l="1"/>
  <c r="Y44" i="28"/>
  <c r="AW45" i="21"/>
  <c r="X42" i="26"/>
  <c r="AW43" i="21"/>
  <c r="Y42" i="28"/>
  <c r="Y45" i="26"/>
  <c r="Z45" i="28"/>
  <c r="AX46" i="21"/>
  <c r="Y44" i="26"/>
  <c r="Z44" i="28"/>
  <c r="AX45" i="21"/>
  <c r="Y43" i="26"/>
  <c r="Z43" i="28"/>
  <c r="AX44" i="21"/>
  <c r="Y42" i="26"/>
  <c r="Z42" i="28"/>
  <c r="AX43" i="21"/>
  <c r="Y41" i="26"/>
  <c r="Z41" i="28"/>
  <c r="AX42" i="21"/>
  <c r="W45" i="26"/>
  <c r="X45" i="28"/>
  <c r="AV46" i="21"/>
  <c r="W43" i="26"/>
  <c r="X43" i="28"/>
  <c r="AV44" i="21"/>
  <c r="W41" i="26"/>
  <c r="AV42" i="21"/>
  <c r="X45" i="26"/>
  <c r="Y45" i="28"/>
  <c r="AW46" i="21"/>
  <c r="Y43" i="28"/>
  <c r="AW44" i="21"/>
  <c r="X43" i="26"/>
  <c r="X41" i="26"/>
  <c r="Y41" i="28"/>
  <c r="AW42" i="21"/>
  <c r="W44" i="26"/>
  <c r="X44" i="28"/>
  <c r="AV45" i="21"/>
  <c r="W42" i="26"/>
  <c r="X42" i="28"/>
  <c r="AV43" i="21"/>
  <c r="AC18" i="22" l="1"/>
  <c r="AC17" i="22"/>
  <c r="AC16" i="22"/>
  <c r="AC15" i="22"/>
  <c r="J15" i="26" l="1"/>
  <c r="C4" i="26" s="1"/>
  <c r="J19" i="26" l="1"/>
  <c r="C8" i="26" s="1"/>
  <c r="J18" i="26"/>
  <c r="C7" i="26" s="1"/>
  <c r="J17" i="26"/>
  <c r="C6" i="26" s="1"/>
  <c r="J16" i="26"/>
  <c r="C5" i="26" s="1"/>
  <c r="E22" i="5" l="1"/>
  <c r="C9" i="26" l="1"/>
  <c r="J54" i="26" l="1"/>
  <c r="I54" i="26"/>
  <c r="H54" i="26"/>
  <c r="G54" i="26"/>
  <c r="F54" i="26"/>
  <c r="E54" i="26"/>
  <c r="D54" i="26"/>
  <c r="C54" i="26"/>
  <c r="B54" i="26"/>
  <c r="Z55" i="21"/>
  <c r="Y55" i="21"/>
  <c r="X55" i="21"/>
  <c r="W55" i="21"/>
  <c r="V55" i="21"/>
  <c r="U55" i="21"/>
  <c r="T55" i="21"/>
  <c r="S55" i="21"/>
  <c r="R55" i="21"/>
  <c r="Q55" i="21"/>
  <c r="P55" i="21"/>
  <c r="O55" i="21"/>
  <c r="N55" i="21"/>
  <c r="M55" i="21"/>
  <c r="L55" i="21"/>
  <c r="K55" i="21"/>
  <c r="J55" i="21"/>
  <c r="I55" i="21"/>
  <c r="H55" i="21"/>
  <c r="G55" i="21"/>
  <c r="F55" i="21"/>
  <c r="E55" i="21"/>
  <c r="X30" i="21" l="1"/>
  <c r="B29" i="26"/>
  <c r="Z32" i="21"/>
  <c r="K30" i="21"/>
  <c r="I29" i="28"/>
  <c r="X32" i="21"/>
  <c r="R32" i="21"/>
  <c r="AF31" i="21"/>
  <c r="U30" i="21"/>
  <c r="Z29" i="21"/>
  <c r="Y32" i="21"/>
  <c r="K31" i="21"/>
  <c r="F29" i="21"/>
  <c r="N29" i="21"/>
  <c r="X33" i="21"/>
  <c r="AD55" i="21"/>
  <c r="G31" i="21"/>
  <c r="AB30" i="21"/>
  <c r="J33" i="21"/>
  <c r="R33" i="21"/>
  <c r="Y30" i="21"/>
  <c r="Y33" i="21"/>
  <c r="F33" i="21"/>
  <c r="R31" i="21"/>
  <c r="Z33" i="21"/>
  <c r="Z31" i="21"/>
  <c r="Y31" i="21"/>
  <c r="W33" i="21"/>
  <c r="K33" i="21"/>
  <c r="R29" i="21"/>
  <c r="Y29" i="21"/>
  <c r="AH29" i="21"/>
  <c r="AF29" i="21"/>
  <c r="S32" i="21"/>
  <c r="R30" i="21"/>
  <c r="Z30" i="21"/>
  <c r="M29" i="21"/>
  <c r="K32" i="21"/>
  <c r="K29" i="21"/>
  <c r="AB29" i="21"/>
  <c r="AH31" i="21"/>
  <c r="AB32" i="21"/>
  <c r="AF33" i="21"/>
  <c r="J32" i="21"/>
  <c r="AH33" i="21"/>
  <c r="B32" i="26"/>
  <c r="J32" i="26"/>
  <c r="I33" i="26"/>
  <c r="S29" i="21"/>
  <c r="X31" i="21"/>
  <c r="G29" i="26"/>
  <c r="F30" i="26"/>
  <c r="I31" i="28"/>
  <c r="E29" i="26"/>
  <c r="D30" i="26"/>
  <c r="C31" i="26"/>
  <c r="AF55" i="21"/>
  <c r="C29" i="28"/>
  <c r="K29" i="28"/>
  <c r="J30" i="28"/>
  <c r="G33" i="28"/>
  <c r="D29" i="28"/>
  <c r="C30" i="28"/>
  <c r="K30" i="28"/>
  <c r="J31" i="28"/>
  <c r="I32" i="28"/>
  <c r="H33" i="28"/>
  <c r="AB55" i="21"/>
  <c r="F29" i="26"/>
  <c r="C33" i="28"/>
  <c r="K33" i="28"/>
  <c r="H30" i="28"/>
  <c r="E33" i="28"/>
  <c r="J29" i="28"/>
  <c r="H30" i="26"/>
  <c r="H31" i="28"/>
  <c r="F33" i="28"/>
  <c r="AA55" i="21"/>
  <c r="AI55" i="21"/>
  <c r="D29" i="26"/>
  <c r="C30" i="26"/>
  <c r="B31" i="26"/>
  <c r="J31" i="26"/>
  <c r="I32" i="26"/>
  <c r="H33" i="26"/>
  <c r="W31" i="21"/>
  <c r="V33" i="21"/>
  <c r="U33" i="21"/>
  <c r="T30" i="21"/>
  <c r="S30" i="21"/>
  <c r="M30" i="21"/>
  <c r="H32" i="21"/>
  <c r="P32" i="21"/>
  <c r="F32" i="21"/>
  <c r="N32" i="21"/>
  <c r="I33" i="21"/>
  <c r="Q33" i="21"/>
  <c r="C32" i="28"/>
  <c r="F29" i="28"/>
  <c r="G30" i="28"/>
  <c r="J33" i="28"/>
  <c r="E54" i="28"/>
  <c r="F31" i="21"/>
  <c r="N31" i="21"/>
  <c r="G29" i="28"/>
  <c r="J32" i="28"/>
  <c r="F54" i="28"/>
  <c r="AC55" i="21"/>
  <c r="E30" i="26"/>
  <c r="D31" i="26"/>
  <c r="C32" i="26"/>
  <c r="B33" i="26"/>
  <c r="J33" i="26"/>
  <c r="H29" i="28"/>
  <c r="I30" i="28"/>
  <c r="K32" i="28"/>
  <c r="G54" i="28"/>
  <c r="E31" i="26"/>
  <c r="D32" i="26"/>
  <c r="C33" i="26"/>
  <c r="D30" i="28"/>
  <c r="K31" i="28"/>
  <c r="H54" i="28"/>
  <c r="AB31" i="21"/>
  <c r="AE55" i="21"/>
  <c r="AG32" i="21"/>
  <c r="H29" i="26"/>
  <c r="AF30" i="21"/>
  <c r="G30" i="26"/>
  <c r="AE32" i="21"/>
  <c r="F31" i="26"/>
  <c r="AD31" i="21"/>
  <c r="E32" i="26"/>
  <c r="AC33" i="21"/>
  <c r="D33" i="26"/>
  <c r="I32" i="21"/>
  <c r="Q32" i="21"/>
  <c r="O31" i="21"/>
  <c r="M33" i="21"/>
  <c r="D31" i="28"/>
  <c r="E32" i="28"/>
  <c r="I54" i="28"/>
  <c r="AH32" i="21"/>
  <c r="I29" i="26"/>
  <c r="G31" i="26"/>
  <c r="F32" i="26"/>
  <c r="AD33" i="21"/>
  <c r="E33" i="26"/>
  <c r="J30" i="21"/>
  <c r="N33" i="21"/>
  <c r="D32" i="28"/>
  <c r="E31" i="28"/>
  <c r="F32" i="28"/>
  <c r="B54" i="28"/>
  <c r="J54" i="28"/>
  <c r="AB33" i="21"/>
  <c r="AG55" i="21"/>
  <c r="AA33" i="21"/>
  <c r="AI33" i="21"/>
  <c r="J29" i="26"/>
  <c r="J41" i="26" s="1"/>
  <c r="AH30" i="21"/>
  <c r="I30" i="26"/>
  <c r="H31" i="26"/>
  <c r="AF32" i="21"/>
  <c r="G32" i="26"/>
  <c r="AE33" i="21"/>
  <c r="F33" i="26"/>
  <c r="D33" i="28"/>
  <c r="E30" i="28"/>
  <c r="F31" i="28"/>
  <c r="G32" i="28"/>
  <c r="C54" i="28"/>
  <c r="K54" i="28"/>
  <c r="AH55" i="21"/>
  <c r="C29" i="26"/>
  <c r="B30" i="26"/>
  <c r="J30" i="26"/>
  <c r="I31" i="26"/>
  <c r="H32" i="26"/>
  <c r="G33" i="26"/>
  <c r="L30" i="21"/>
  <c r="G30" i="21"/>
  <c r="O32" i="21"/>
  <c r="J31" i="21"/>
  <c r="M32" i="21"/>
  <c r="H33" i="21"/>
  <c r="P33" i="21"/>
  <c r="C31" i="28"/>
  <c r="E29" i="28"/>
  <c r="F30" i="28"/>
  <c r="G31" i="28"/>
  <c r="H32" i="28"/>
  <c r="I33" i="28"/>
  <c r="D54" i="28"/>
  <c r="F30" i="21"/>
  <c r="O29" i="21"/>
  <c r="M31" i="21"/>
  <c r="L32" i="21"/>
  <c r="H29" i="21"/>
  <c r="P29" i="21"/>
  <c r="N30" i="21"/>
  <c r="G32" i="21"/>
  <c r="G33" i="21"/>
  <c r="L33" i="21"/>
  <c r="I29" i="21"/>
  <c r="Q29" i="21"/>
  <c r="O30" i="21"/>
  <c r="H30" i="21"/>
  <c r="H31" i="21"/>
  <c r="O33" i="21"/>
  <c r="J29" i="21"/>
  <c r="P30" i="21"/>
  <c r="P31" i="21"/>
  <c r="G29" i="21"/>
  <c r="I30" i="21"/>
  <c r="Q30" i="21"/>
  <c r="I31" i="21"/>
  <c r="Q31" i="21"/>
  <c r="L29" i="21"/>
  <c r="T29" i="21"/>
  <c r="V30" i="21"/>
  <c r="T32" i="21"/>
  <c r="U29" i="21"/>
  <c r="W30" i="21"/>
  <c r="S31" i="21"/>
  <c r="U32" i="21"/>
  <c r="V29" i="21"/>
  <c r="T31" i="21"/>
  <c r="V32" i="21"/>
  <c r="W29" i="21"/>
  <c r="U31" i="21"/>
  <c r="W32" i="21"/>
  <c r="S33" i="21"/>
  <c r="V31" i="21"/>
  <c r="T33" i="21"/>
  <c r="AE29" i="21"/>
  <c r="AA30" i="21"/>
  <c r="AI30" i="21"/>
  <c r="AE31" i="21"/>
  <c r="AA32" i="21"/>
  <c r="AI32" i="21"/>
  <c r="AG29" i="21"/>
  <c r="AC30" i="21"/>
  <c r="AG31" i="21"/>
  <c r="AC32" i="21"/>
  <c r="AG33" i="21"/>
  <c r="AA29" i="21"/>
  <c r="AI29" i="21"/>
  <c r="AE30" i="21"/>
  <c r="AA31" i="21"/>
  <c r="AI31" i="21"/>
  <c r="AD30" i="21"/>
  <c r="AC29" i="21"/>
  <c r="AG30" i="21"/>
  <c r="AC31" i="21"/>
  <c r="AD32" i="21"/>
  <c r="AD29" i="21"/>
  <c r="L33" i="26" l="1"/>
  <c r="M33" i="28"/>
  <c r="AK33" i="21"/>
  <c r="AM30" i="21"/>
  <c r="N30" i="26"/>
  <c r="O30" i="28"/>
  <c r="U33" i="26"/>
  <c r="V33" i="28"/>
  <c r="AT33" i="21"/>
  <c r="K32" i="26"/>
  <c r="L32" i="28"/>
  <c r="AJ32" i="21"/>
  <c r="T31" i="26"/>
  <c r="AS31" i="21"/>
  <c r="U31" i="28"/>
  <c r="V33" i="26"/>
  <c r="AU33" i="21"/>
  <c r="W33" i="28"/>
  <c r="K33" i="26"/>
  <c r="AJ33" i="21"/>
  <c r="L33" i="28"/>
  <c r="S29" i="26"/>
  <c r="AR29" i="21"/>
  <c r="T29" i="28"/>
  <c r="P30" i="26"/>
  <c r="Q30" i="28"/>
  <c r="AO30" i="21"/>
  <c r="U31" i="26"/>
  <c r="V31" i="28"/>
  <c r="AT31" i="21"/>
  <c r="R32" i="26"/>
  <c r="S32" i="28"/>
  <c r="AQ32" i="21"/>
  <c r="O33" i="26"/>
  <c r="P33" i="28"/>
  <c r="AN33" i="21"/>
  <c r="S54" i="26"/>
  <c r="T54" i="28"/>
  <c r="AR55" i="21"/>
  <c r="L29" i="26"/>
  <c r="AK29" i="21"/>
  <c r="M29" i="28"/>
  <c r="T29" i="26"/>
  <c r="AS29" i="21"/>
  <c r="U29" i="28"/>
  <c r="Q30" i="26"/>
  <c r="AP30" i="21"/>
  <c r="R30" i="28"/>
  <c r="N31" i="26"/>
  <c r="O31" i="28"/>
  <c r="AM31" i="21"/>
  <c r="V31" i="26"/>
  <c r="W31" i="28"/>
  <c r="AU31" i="21"/>
  <c r="S32" i="26"/>
  <c r="T32" i="28"/>
  <c r="AR32" i="21"/>
  <c r="P33" i="26"/>
  <c r="Q33" i="28"/>
  <c r="AO33" i="21"/>
  <c r="L54" i="26"/>
  <c r="AK55" i="21"/>
  <c r="M54" i="28"/>
  <c r="T54" i="26"/>
  <c r="AS55" i="21"/>
  <c r="U54" i="28"/>
  <c r="U30" i="26"/>
  <c r="V30" i="28"/>
  <c r="AT30" i="21"/>
  <c r="K31" i="26"/>
  <c r="AJ31" i="21"/>
  <c r="L31" i="28"/>
  <c r="U29" i="26"/>
  <c r="AT29" i="21"/>
  <c r="V29" i="28"/>
  <c r="M54" i="26"/>
  <c r="AL55" i="21"/>
  <c r="N54" i="28"/>
  <c r="K30" i="26"/>
  <c r="AJ30" i="21"/>
  <c r="L30" i="28"/>
  <c r="S31" i="26"/>
  <c r="T31" i="28"/>
  <c r="AR31" i="21"/>
  <c r="L31" i="26"/>
  <c r="AK31" i="21"/>
  <c r="M31" i="28"/>
  <c r="M29" i="26"/>
  <c r="N29" i="28"/>
  <c r="AL29" i="21"/>
  <c r="O31" i="26"/>
  <c r="AN31" i="21"/>
  <c r="P31" i="28"/>
  <c r="T32" i="26"/>
  <c r="AS32" i="21"/>
  <c r="U32" i="28"/>
  <c r="U54" i="26"/>
  <c r="AT55" i="21"/>
  <c r="V54" i="28"/>
  <c r="N29" i="26"/>
  <c r="O29" i="28"/>
  <c r="AM29" i="21"/>
  <c r="V29" i="26"/>
  <c r="W29" i="28"/>
  <c r="W41" i="28" s="1"/>
  <c r="AU29" i="21"/>
  <c r="S30" i="26"/>
  <c r="AR30" i="21"/>
  <c r="T30" i="28"/>
  <c r="P31" i="26"/>
  <c r="AO31" i="21"/>
  <c r="Q31" i="28"/>
  <c r="M32" i="26"/>
  <c r="AL32" i="21"/>
  <c r="N32" i="28"/>
  <c r="U32" i="26"/>
  <c r="AT32" i="21"/>
  <c r="V32" i="28"/>
  <c r="AQ33" i="21"/>
  <c r="AQ46" i="21" s="1"/>
  <c r="R33" i="26"/>
  <c r="S33" i="28"/>
  <c r="N54" i="26"/>
  <c r="AM55" i="21"/>
  <c r="O54" i="28"/>
  <c r="V54" i="26"/>
  <c r="AU55" i="21"/>
  <c r="W54" i="28"/>
  <c r="AW54" i="28" s="1"/>
  <c r="AX54" i="28" s="1"/>
  <c r="R31" i="26"/>
  <c r="AQ31" i="21"/>
  <c r="S31" i="28"/>
  <c r="M33" i="26"/>
  <c r="N33" i="28"/>
  <c r="AL33" i="21"/>
  <c r="O30" i="26"/>
  <c r="P30" i="28"/>
  <c r="AN30" i="21"/>
  <c r="N33" i="26"/>
  <c r="AM33" i="21"/>
  <c r="O33" i="28"/>
  <c r="R30" i="26"/>
  <c r="S30" i="28"/>
  <c r="AQ30" i="21"/>
  <c r="L32" i="26"/>
  <c r="AK32" i="21"/>
  <c r="M32" i="28"/>
  <c r="Q33" i="26"/>
  <c r="R33" i="28"/>
  <c r="AP33" i="21"/>
  <c r="K29" i="26"/>
  <c r="L29" i="28"/>
  <c r="AJ29" i="21"/>
  <c r="O29" i="26"/>
  <c r="AN29" i="21"/>
  <c r="P29" i="28"/>
  <c r="L30" i="26"/>
  <c r="AK30" i="21"/>
  <c r="M30" i="28"/>
  <c r="T30" i="26"/>
  <c r="AS30" i="21"/>
  <c r="U30" i="28"/>
  <c r="Q31" i="26"/>
  <c r="AP31" i="21"/>
  <c r="R31" i="28"/>
  <c r="N32" i="26"/>
  <c r="AM32" i="21"/>
  <c r="O32" i="28"/>
  <c r="V32" i="26"/>
  <c r="W32" i="28"/>
  <c r="AU32" i="21"/>
  <c r="S33" i="26"/>
  <c r="T33" i="28"/>
  <c r="AR33" i="21"/>
  <c r="O54" i="26"/>
  <c r="AN55" i="21"/>
  <c r="P54" i="28"/>
  <c r="P29" i="26"/>
  <c r="AO29" i="21"/>
  <c r="Q29" i="28"/>
  <c r="M30" i="26"/>
  <c r="AL30" i="21"/>
  <c r="N30" i="28"/>
  <c r="T33" i="26"/>
  <c r="AS33" i="21"/>
  <c r="U33" i="28"/>
  <c r="V30" i="26"/>
  <c r="AU30" i="21"/>
  <c r="W30" i="28"/>
  <c r="O32" i="26"/>
  <c r="AN32" i="21"/>
  <c r="P32" i="28"/>
  <c r="Q29" i="26"/>
  <c r="AP29" i="21"/>
  <c r="R29" i="28"/>
  <c r="Q54" i="26"/>
  <c r="AP55" i="21"/>
  <c r="R54" i="28"/>
  <c r="R29" i="26"/>
  <c r="AQ29" i="21"/>
  <c r="S29" i="28"/>
  <c r="Q32" i="26"/>
  <c r="AP32" i="21"/>
  <c r="R32" i="28"/>
  <c r="R54" i="26"/>
  <c r="S54" i="28"/>
  <c r="AQ55" i="21"/>
  <c r="P54" i="26"/>
  <c r="AO55" i="21"/>
  <c r="Q54" i="28"/>
  <c r="AO32" i="21"/>
  <c r="P32" i="26"/>
  <c r="Q32" i="28"/>
  <c r="CE29" i="11"/>
  <c r="M31" i="26"/>
  <c r="N31" i="28"/>
  <c r="AL31" i="21"/>
  <c r="K54" i="26"/>
  <c r="L54" i="28"/>
  <c r="AJ55" i="21"/>
  <c r="BV67" i="22" l="1"/>
  <c r="BV55" i="21"/>
  <c r="BU55" i="21"/>
  <c r="AW54" i="26"/>
  <c r="AV54" i="26"/>
  <c r="CD29" i="11" l="1"/>
  <c r="CC29" i="11"/>
  <c r="CB29" i="11"/>
  <c r="CA29" i="11"/>
  <c r="BZ29" i="11"/>
  <c r="BY29" i="11"/>
  <c r="BX29" i="11"/>
  <c r="BX42" i="11" s="1"/>
  <c r="BW29" i="11"/>
  <c r="AL43" i="22" l="1"/>
  <c r="BX30" i="11"/>
  <c r="BX31" i="11"/>
  <c r="BX32" i="11"/>
  <c r="BX33" i="11"/>
  <c r="BY30" i="11"/>
  <c r="BY31" i="11"/>
  <c r="BY32" i="11"/>
  <c r="BY33" i="11"/>
  <c r="BZ30" i="11"/>
  <c r="BZ31" i="11"/>
  <c r="BZ32" i="11"/>
  <c r="BZ33" i="11"/>
  <c r="CA30" i="11"/>
  <c r="CA31" i="11"/>
  <c r="CA32" i="11"/>
  <c r="CA33" i="11"/>
  <c r="BW30" i="11"/>
  <c r="CB30" i="11"/>
  <c r="CB31" i="11"/>
  <c r="CB32" i="11"/>
  <c r="CB33" i="11"/>
  <c r="BW31" i="11"/>
  <c r="CC30" i="11"/>
  <c r="CC31" i="11"/>
  <c r="CC32" i="11"/>
  <c r="CC33" i="11"/>
  <c r="BW32" i="11"/>
  <c r="CD30" i="11"/>
  <c r="CD31" i="11"/>
  <c r="CD32" i="11"/>
  <c r="CD33" i="11"/>
  <c r="BW33" i="11"/>
  <c r="CE30" i="11"/>
  <c r="CE31" i="11"/>
  <c r="CE32" i="11"/>
  <c r="CE33" i="11"/>
  <c r="I6" i="4" l="1"/>
  <c r="H8" i="4"/>
  <c r="H6" i="4"/>
  <c r="H7" i="4"/>
  <c r="AK21" i="22"/>
  <c r="R44" i="26"/>
  <c r="R41" i="26"/>
  <c r="BX43" i="11"/>
  <c r="BX45" i="11"/>
  <c r="N43" i="26"/>
  <c r="BY43" i="11"/>
  <c r="BY45" i="11"/>
  <c r="BY42" i="11"/>
  <c r="AM43" i="21"/>
  <c r="AU43" i="21"/>
  <c r="AM45" i="21"/>
  <c r="AU45" i="21"/>
  <c r="V43" i="26"/>
  <c r="N41" i="26"/>
  <c r="V44" i="26"/>
  <c r="O41" i="28"/>
  <c r="O43" i="28"/>
  <c r="W43" i="28"/>
  <c r="O45" i="28"/>
  <c r="W45" i="28"/>
  <c r="O44" i="28"/>
  <c r="BX44" i="11"/>
  <c r="V41" i="26"/>
  <c r="W44" i="28"/>
  <c r="V42" i="26"/>
  <c r="U41" i="28"/>
  <c r="U43" i="28"/>
  <c r="U45" i="28"/>
  <c r="CA46" i="11"/>
  <c r="CA43" i="11"/>
  <c r="CA45" i="11"/>
  <c r="S45" i="28"/>
  <c r="S42" i="28"/>
  <c r="S44" i="28"/>
  <c r="O42" i="26"/>
  <c r="S41" i="28"/>
  <c r="AT43" i="21"/>
  <c r="BY44" i="11"/>
  <c r="R42" i="26"/>
  <c r="U42" i="28"/>
  <c r="AT46" i="21"/>
  <c r="CB45" i="11"/>
  <c r="CB42" i="11"/>
  <c r="CB44" i="11"/>
  <c r="CB46" i="11"/>
  <c r="AT42" i="21"/>
  <c r="N42" i="26"/>
  <c r="N44" i="26"/>
  <c r="Q43" i="28"/>
  <c r="AP42" i="21"/>
  <c r="AP44" i="21"/>
  <c r="AP46" i="21"/>
  <c r="AP43" i="21"/>
  <c r="CE43" i="11"/>
  <c r="T42" i="26"/>
  <c r="BW45" i="11"/>
  <c r="N45" i="26"/>
  <c r="Q42" i="28"/>
  <c r="Q41" i="28"/>
  <c r="CD42" i="11"/>
  <c r="CD44" i="11"/>
  <c r="CD46" i="11"/>
  <c r="BW42" i="11"/>
  <c r="CE42" i="11"/>
  <c r="BW44" i="11"/>
  <c r="CE44" i="11"/>
  <c r="BW46" i="11"/>
  <c r="CE46" i="11"/>
  <c r="P41" i="26"/>
  <c r="U42" i="26"/>
  <c r="T44" i="28"/>
  <c r="AR42" i="21"/>
  <c r="AN43" i="21"/>
  <c r="AR44" i="21"/>
  <c r="AN45" i="21"/>
  <c r="AR46" i="21"/>
  <c r="AN44" i="21"/>
  <c r="CA44" i="11"/>
  <c r="W42" i="28"/>
  <c r="AS44" i="21"/>
  <c r="BW43" i="11"/>
  <c r="CE45" i="11"/>
  <c r="U41" i="26"/>
  <c r="R41" i="28"/>
  <c r="V42" i="28"/>
  <c r="R43" i="28"/>
  <c r="V44" i="28"/>
  <c r="R45" i="28"/>
  <c r="P43" i="26"/>
  <c r="P45" i="26"/>
  <c r="AM42" i="21"/>
  <c r="AU42" i="21"/>
  <c r="AM44" i="21"/>
  <c r="AU44" i="21"/>
  <c r="AM46" i="21"/>
  <c r="AU46" i="21"/>
  <c r="AN46" i="21"/>
  <c r="O42" i="28"/>
  <c r="T45" i="26"/>
  <c r="U45" i="26"/>
  <c r="AS42" i="21"/>
  <c r="U43" i="26"/>
  <c r="P43" i="28"/>
  <c r="AS46" i="21"/>
  <c r="AS43" i="21"/>
  <c r="AS45" i="21"/>
  <c r="R42" i="28"/>
  <c r="R44" i="28"/>
  <c r="P44" i="26"/>
  <c r="T44" i="26"/>
  <c r="S43" i="28"/>
  <c r="Q41" i="26"/>
  <c r="Q43" i="26"/>
  <c r="P41" i="28"/>
  <c r="CC45" i="11"/>
  <c r="BY46" i="11"/>
  <c r="CC42" i="11"/>
  <c r="CC44" i="11"/>
  <c r="CC46" i="11"/>
  <c r="AQ43" i="21"/>
  <c r="AQ45" i="21"/>
  <c r="CA42" i="11"/>
  <c r="CC43" i="11"/>
  <c r="S43" i="26"/>
  <c r="T41" i="26"/>
  <c r="P42" i="26"/>
  <c r="T43" i="26"/>
  <c r="AR43" i="21"/>
  <c r="S41" i="26"/>
  <c r="O44" i="26"/>
  <c r="U44" i="26"/>
  <c r="Q45" i="26"/>
  <c r="Q42" i="26"/>
  <c r="Q44" i="26"/>
  <c r="T42" i="28"/>
  <c r="P45" i="28"/>
  <c r="T41" i="28"/>
  <c r="P42" i="28"/>
  <c r="T43" i="28"/>
  <c r="P44" i="28"/>
  <c r="T45" i="28"/>
  <c r="AO43" i="21"/>
  <c r="AO45" i="21"/>
  <c r="AO42" i="21"/>
  <c r="AO44" i="21"/>
  <c r="AO46" i="21"/>
  <c r="U44" i="28"/>
  <c r="Q45" i="28"/>
  <c r="Q44" i="28"/>
  <c r="AT44" i="21"/>
  <c r="AP45" i="21"/>
  <c r="AT45" i="21"/>
  <c r="BZ43" i="11"/>
  <c r="BZ45" i="11"/>
  <c r="BZ42" i="11"/>
  <c r="CD43" i="11"/>
  <c r="BZ44" i="11"/>
  <c r="CD45" i="11"/>
  <c r="BZ46" i="11"/>
  <c r="R43" i="26"/>
  <c r="S45" i="26"/>
  <c r="O41" i="26"/>
  <c r="S42" i="26"/>
  <c r="O43" i="26"/>
  <c r="S44" i="26"/>
  <c r="V41" i="28"/>
  <c r="V43" i="28"/>
  <c r="V45" i="28"/>
  <c r="AQ42" i="21"/>
  <c r="AQ44" i="21"/>
  <c r="V45" i="26"/>
  <c r="AN42" i="21"/>
  <c r="AR45" i="21"/>
  <c r="CB43" i="11"/>
  <c r="BX46" i="11"/>
  <c r="AP21" i="22"/>
  <c r="AN21" i="22"/>
  <c r="AV21" i="22"/>
  <c r="AR43" i="22"/>
  <c r="AS24" i="22"/>
  <c r="AO25" i="22"/>
  <c r="AQ42" i="22"/>
  <c r="AO21" i="22"/>
  <c r="AR21" i="22"/>
  <c r="AT21" i="22"/>
  <c r="AP24" i="22"/>
  <c r="AT23" i="22"/>
  <c r="AQ21" i="22"/>
  <c r="AN24" i="22"/>
  <c r="AQ46" i="22"/>
  <c r="AP42" i="22"/>
  <c r="AT22" i="22"/>
  <c r="AP23" i="22"/>
  <c r="AT24" i="22"/>
  <c r="AP46" i="22"/>
  <c r="AT42" i="22"/>
  <c r="AP43" i="22"/>
  <c r="AT44" i="22"/>
  <c r="AP45" i="22"/>
  <c r="AT46" i="22"/>
  <c r="AU22" i="22"/>
  <c r="AQ44" i="22"/>
  <c r="AU24" i="22"/>
  <c r="AQ25" i="22"/>
  <c r="AU42" i="22"/>
  <c r="AQ43" i="22"/>
  <c r="AU44" i="22"/>
  <c r="AQ45" i="22"/>
  <c r="AU46" i="22"/>
  <c r="AV24" i="22"/>
  <c r="AR25" i="22"/>
  <c r="AS21" i="22"/>
  <c r="AS42" i="22"/>
  <c r="AO43" i="22"/>
  <c r="AS44" i="22"/>
  <c r="AO45" i="22"/>
  <c r="AS46" i="22"/>
  <c r="AO42" i="22"/>
  <c r="AS43" i="22"/>
  <c r="AO44" i="22"/>
  <c r="AS45" i="22"/>
  <c r="AO46" i="22"/>
  <c r="AQ24" i="22"/>
  <c r="AU25" i="22"/>
  <c r="AT45" i="22"/>
  <c r="AN42" i="22"/>
  <c r="AN44" i="22"/>
  <c r="AV44" i="22"/>
  <c r="AR45" i="22"/>
  <c r="AN46" i="22"/>
  <c r="AV46" i="22"/>
  <c r="AR42" i="22"/>
  <c r="AN43" i="22"/>
  <c r="AV43" i="22"/>
  <c r="AR44" i="22"/>
  <c r="AN45" i="22"/>
  <c r="AV45" i="22"/>
  <c r="AR46" i="22"/>
  <c r="AU45" i="22"/>
  <c r="AT25" i="22"/>
  <c r="AP44" i="22"/>
  <c r="AO22" i="22"/>
  <c r="AS23" i="22"/>
  <c r="AO24" i="22"/>
  <c r="AS25" i="22"/>
  <c r="AU23" i="22"/>
  <c r="AR22" i="22"/>
  <c r="AN23" i="22"/>
  <c r="AV23" i="22"/>
  <c r="AR24" i="22"/>
  <c r="AN25" i="22"/>
  <c r="AV25" i="22"/>
  <c r="AP22" i="22"/>
  <c r="AT43" i="22"/>
  <c r="AQ22" i="22"/>
  <c r="AU43" i="22"/>
  <c r="AS22" i="22"/>
  <c r="AO23" i="22"/>
  <c r="AP25" i="22"/>
  <c r="AQ23" i="22"/>
  <c r="AN22" i="22"/>
  <c r="AV22" i="22"/>
  <c r="AR23" i="22"/>
  <c r="R45" i="26"/>
  <c r="O45" i="26"/>
  <c r="F22" i="5"/>
  <c r="F22" i="23"/>
  <c r="H9" i="4" l="1"/>
  <c r="AT56" i="22"/>
  <c r="AR55" i="22"/>
  <c r="AP54" i="22"/>
  <c r="AV54" i="22"/>
  <c r="AN54" i="22"/>
  <c r="AQ54" i="22"/>
  <c r="AO54" i="22"/>
  <c r="AT54" i="22"/>
  <c r="AO58" i="22"/>
  <c r="AS57" i="22"/>
  <c r="AU55" i="22"/>
  <c r="AQ55" i="22"/>
  <c r="AR54" i="22"/>
  <c r="AQ58" i="22"/>
  <c r="AV55" i="22"/>
  <c r="AP57" i="22"/>
  <c r="AN55" i="22"/>
  <c r="AU58" i="22"/>
  <c r="AS58" i="22"/>
  <c r="AQ57" i="22"/>
  <c r="AP58" i="22"/>
  <c r="AN57" i="22"/>
  <c r="AO57" i="22"/>
  <c r="AT58" i="22"/>
  <c r="AT55" i="22"/>
  <c r="AQ56" i="22"/>
  <c r="AP55" i="22"/>
  <c r="AU56" i="22"/>
  <c r="AV58" i="22"/>
  <c r="AU54" i="22"/>
  <c r="AO56" i="22"/>
  <c r="AO55" i="22"/>
  <c r="AS55" i="22"/>
  <c r="AR57" i="22"/>
  <c r="AP56" i="22"/>
  <c r="AT57" i="22"/>
  <c r="AU57" i="22"/>
  <c r="AR58" i="22"/>
  <c r="AV57" i="22"/>
  <c r="AR56" i="22"/>
  <c r="AV56" i="22"/>
  <c r="AN58" i="22"/>
  <c r="AN56" i="22"/>
  <c r="AS56" i="22"/>
  <c r="AS54" i="22"/>
  <c r="D11" i="13" l="1"/>
  <c r="E11" i="13"/>
  <c r="F11" i="13"/>
  <c r="G11" i="13"/>
  <c r="B59" i="28" l="1"/>
  <c r="AW14" i="28"/>
  <c r="AX14" i="28" s="1"/>
  <c r="B45" i="28"/>
  <c r="B44" i="28"/>
  <c r="B43" i="28"/>
  <c r="B42" i="28"/>
  <c r="B41" i="28"/>
  <c r="A36" i="28"/>
  <c r="D5" i="28" l="1"/>
  <c r="D7" i="28"/>
  <c r="B55" i="28"/>
  <c r="D4" i="28"/>
  <c r="D8" i="28"/>
  <c r="D6" i="28"/>
  <c r="B56" i="28"/>
  <c r="B58" i="28"/>
  <c r="B57" i="28"/>
  <c r="B63" i="28" l="1"/>
  <c r="B61" i="28"/>
  <c r="D9" i="28"/>
  <c r="B60" i="28" l="1"/>
  <c r="F43" i="28" l="1"/>
  <c r="J42" i="28"/>
  <c r="I45" i="28"/>
  <c r="K44" i="28"/>
  <c r="J45" i="28"/>
  <c r="G43" i="28"/>
  <c r="F41" i="28"/>
  <c r="G41" i="28"/>
  <c r="D42" i="28"/>
  <c r="I43" i="28"/>
  <c r="F44" i="28"/>
  <c r="C45" i="28"/>
  <c r="C52" i="28" s="1"/>
  <c r="K45" i="28"/>
  <c r="D41" i="28"/>
  <c r="H45" i="28"/>
  <c r="E41" i="28"/>
  <c r="K42" i="28"/>
  <c r="J43" i="28"/>
  <c r="G44" i="28"/>
  <c r="D45" i="28"/>
  <c r="I42" i="28"/>
  <c r="C42" i="28"/>
  <c r="C49" i="28" s="1"/>
  <c r="E44" i="28"/>
  <c r="H41" i="28"/>
  <c r="I41" i="28"/>
  <c r="F42" i="28"/>
  <c r="C43" i="28"/>
  <c r="C50" i="28" s="1"/>
  <c r="C57" i="28" s="1"/>
  <c r="K43" i="28"/>
  <c r="H44" i="28"/>
  <c r="E45" i="28"/>
  <c r="C44" i="28"/>
  <c r="C51" i="28" s="1"/>
  <c r="C58" i="28" s="1"/>
  <c r="H43" i="28"/>
  <c r="J41" i="28"/>
  <c r="G42" i="28"/>
  <c r="D43" i="28"/>
  <c r="I44" i="28"/>
  <c r="F45" i="28"/>
  <c r="D44" i="28"/>
  <c r="E42" i="28"/>
  <c r="C41" i="28"/>
  <c r="C48" i="28" s="1"/>
  <c r="K41" i="28"/>
  <c r="H42" i="28"/>
  <c r="E43" i="28"/>
  <c r="J44" i="28"/>
  <c r="G45" i="28"/>
  <c r="AH42" i="21"/>
  <c r="BR42" i="11"/>
  <c r="AB44" i="21"/>
  <c r="BL44" i="11"/>
  <c r="AG45" i="21"/>
  <c r="BQ45" i="11"/>
  <c r="X42" i="21"/>
  <c r="BH42" i="11"/>
  <c r="Y43" i="21"/>
  <c r="BI43" i="11"/>
  <c r="AD44" i="21"/>
  <c r="BN44" i="11"/>
  <c r="AA45" i="21"/>
  <c r="BK45" i="11"/>
  <c r="AF46" i="21"/>
  <c r="BP46" i="11"/>
  <c r="AA43" i="21"/>
  <c r="BK43" i="11"/>
  <c r="Z42" i="21"/>
  <c r="BJ42" i="11"/>
  <c r="Y45" i="21"/>
  <c r="BI45" i="11"/>
  <c r="AB42" i="21"/>
  <c r="BL42" i="11"/>
  <c r="AG43" i="21"/>
  <c r="BQ43" i="11"/>
  <c r="X43" i="21"/>
  <c r="BH43" i="11"/>
  <c r="AC42" i="21"/>
  <c r="BM42" i="11"/>
  <c r="Z43" i="21"/>
  <c r="BJ43" i="11"/>
  <c r="AH43" i="21"/>
  <c r="BR43" i="11"/>
  <c r="AE44" i="21"/>
  <c r="BO44" i="11"/>
  <c r="AB45" i="21"/>
  <c r="BL45" i="11"/>
  <c r="Y46" i="21"/>
  <c r="BI46" i="11"/>
  <c r="AG46" i="21"/>
  <c r="BQ46" i="11"/>
  <c r="X44" i="21"/>
  <c r="BH44" i="11"/>
  <c r="AF44" i="21"/>
  <c r="BP44" i="11"/>
  <c r="Z46" i="21"/>
  <c r="BJ46" i="11"/>
  <c r="X45" i="21"/>
  <c r="BH45" i="11"/>
  <c r="AB43" i="21"/>
  <c r="BL43" i="11"/>
  <c r="Y44" i="21"/>
  <c r="BI44" i="11"/>
  <c r="AD45" i="21"/>
  <c r="BN45" i="11"/>
  <c r="AA46" i="21"/>
  <c r="BK46" i="11"/>
  <c r="X46" i="21"/>
  <c r="BH46" i="11"/>
  <c r="AF42" i="21"/>
  <c r="BP42" i="11"/>
  <c r="AC43" i="21"/>
  <c r="BM43" i="11"/>
  <c r="Z44" i="21"/>
  <c r="BJ44" i="11"/>
  <c r="AH44" i="21"/>
  <c r="BR44" i="11"/>
  <c r="AE45" i="21"/>
  <c r="BO45" i="11"/>
  <c r="AB46" i="21"/>
  <c r="BL46" i="11"/>
  <c r="AD42" i="21"/>
  <c r="BN42" i="11"/>
  <c r="AC45" i="21"/>
  <c r="BM45" i="11"/>
  <c r="AH46" i="21"/>
  <c r="BR46" i="11"/>
  <c r="AE42" i="21"/>
  <c r="BO42" i="11"/>
  <c r="AG44" i="21"/>
  <c r="BQ44" i="11"/>
  <c r="Y42" i="21"/>
  <c r="BI42" i="11"/>
  <c r="AG42" i="21"/>
  <c r="BQ42" i="11"/>
  <c r="AD43" i="21"/>
  <c r="BN43" i="11"/>
  <c r="AA44" i="21"/>
  <c r="BK44" i="11"/>
  <c r="AF45" i="21"/>
  <c r="BP45" i="11"/>
  <c r="AC46" i="21"/>
  <c r="BM46" i="11"/>
  <c r="BS43" i="11"/>
  <c r="AE43" i="21"/>
  <c r="BO43" i="11"/>
  <c r="AD46" i="21"/>
  <c r="BN46" i="11"/>
  <c r="AA42" i="21"/>
  <c r="BK42" i="11"/>
  <c r="BS42" i="11"/>
  <c r="AF43" i="21"/>
  <c r="BP43" i="11"/>
  <c r="AC44" i="21"/>
  <c r="BM44" i="11"/>
  <c r="Z45" i="21"/>
  <c r="BJ45" i="11"/>
  <c r="AH45" i="21"/>
  <c r="BR45" i="11"/>
  <c r="AE46" i="21"/>
  <c r="BO46" i="11"/>
  <c r="B17" i="16"/>
  <c r="D51" i="28" l="1"/>
  <c r="D58" i="28" s="1"/>
  <c r="E51" i="28" s="1"/>
  <c r="D50" i="28"/>
  <c r="D57" i="28" s="1"/>
  <c r="E50" i="28" s="1"/>
  <c r="E57" i="28" s="1"/>
  <c r="F50" i="28" s="1"/>
  <c r="F57" i="28" s="1"/>
  <c r="G50" i="28" s="1"/>
  <c r="G57" i="28" s="1"/>
  <c r="H50" i="28" s="1"/>
  <c r="H57" i="28" s="1"/>
  <c r="I50" i="28" s="1"/>
  <c r="I57" i="28" s="1"/>
  <c r="J50" i="28" s="1"/>
  <c r="J57" i="28" s="1"/>
  <c r="K50" i="28" s="1"/>
  <c r="K57" i="28" s="1"/>
  <c r="C56" i="28"/>
  <c r="D49" i="28" s="1"/>
  <c r="D56" i="28" s="1"/>
  <c r="E49" i="28" s="1"/>
  <c r="E56" i="28" s="1"/>
  <c r="F49" i="28" s="1"/>
  <c r="F56" i="28" s="1"/>
  <c r="G49" i="28" s="1"/>
  <c r="G56" i="28" s="1"/>
  <c r="H49" i="28" s="1"/>
  <c r="H56" i="28" s="1"/>
  <c r="I49" i="28" s="1"/>
  <c r="I56" i="28" s="1"/>
  <c r="J49" i="28" s="1"/>
  <c r="C55" i="28"/>
  <c r="D48" i="28" s="1"/>
  <c r="C59" i="28"/>
  <c r="D52" i="28" s="1"/>
  <c r="D59" i="28" s="1"/>
  <c r="E52" i="28" s="1"/>
  <c r="E59" i="28" s="1"/>
  <c r="F52" i="28" s="1"/>
  <c r="F59" i="28" s="1"/>
  <c r="G52" i="28" s="1"/>
  <c r="G59" i="28" s="1"/>
  <c r="H52" i="28" s="1"/>
  <c r="H59" i="28" s="1"/>
  <c r="I52" i="28" s="1"/>
  <c r="I59" i="28" s="1"/>
  <c r="J52" i="28" s="1"/>
  <c r="J59" i="28" s="1"/>
  <c r="K52" i="28" s="1"/>
  <c r="K59" i="28" s="1"/>
  <c r="AE45" i="22"/>
  <c r="AE24" i="22"/>
  <c r="AD42" i="22"/>
  <c r="AD21" i="22"/>
  <c r="AE44" i="22"/>
  <c r="AE23" i="22"/>
  <c r="AJ42" i="22"/>
  <c r="AJ21" i="22"/>
  <c r="AB23" i="22"/>
  <c r="AB44" i="22"/>
  <c r="AE21" i="22"/>
  <c r="AE42" i="22"/>
  <c r="AJ25" i="22"/>
  <c r="AJ46" i="22"/>
  <c r="Y44" i="22"/>
  <c r="Y23" i="22"/>
  <c r="AI22" i="22"/>
  <c r="AI43" i="22"/>
  <c r="AG25" i="22"/>
  <c r="AG46" i="22"/>
  <c r="AD23" i="22"/>
  <c r="AD44" i="22"/>
  <c r="AE46" i="22"/>
  <c r="AE25" i="22"/>
  <c r="Z24" i="22"/>
  <c r="Z45" i="22"/>
  <c r="AF25" i="22"/>
  <c r="AF46" i="22"/>
  <c r="AF43" i="22"/>
  <c r="AF22" i="22"/>
  <c r="Z42" i="22"/>
  <c r="Z21" i="22"/>
  <c r="AI44" i="22"/>
  <c r="AI23" i="22"/>
  <c r="Z44" i="22"/>
  <c r="Z23" i="22"/>
  <c r="Y22" i="22"/>
  <c r="Y43" i="22"/>
  <c r="AA42" i="22"/>
  <c r="AA21" i="22"/>
  <c r="Z22" i="22"/>
  <c r="Z43" i="22"/>
  <c r="AA46" i="22"/>
  <c r="AA25" i="22"/>
  <c r="AC45" i="22"/>
  <c r="AC24" i="22"/>
  <c r="AB42" i="22"/>
  <c r="AB21" i="22"/>
  <c r="AE22" i="22"/>
  <c r="AE43" i="22"/>
  <c r="AB25" i="22"/>
  <c r="AB46" i="22"/>
  <c r="AA43" i="22"/>
  <c r="AA22" i="22"/>
  <c r="AB24" i="22"/>
  <c r="AB45" i="22"/>
  <c r="AI45" i="22"/>
  <c r="AI24" i="22"/>
  <c r="AJ22" i="22"/>
  <c r="AJ43" i="22"/>
  <c r="AH23" i="22"/>
  <c r="AH44" i="22"/>
  <c r="AA44" i="22"/>
  <c r="AA23" i="22"/>
  <c r="AC43" i="22"/>
  <c r="AC22" i="22"/>
  <c r="AH46" i="22"/>
  <c r="AH25" i="22"/>
  <c r="AJ45" i="22"/>
  <c r="AJ24" i="22"/>
  <c r="AB43" i="22"/>
  <c r="AB22" i="22"/>
  <c r="Y42" i="22"/>
  <c r="Y21" i="22"/>
  <c r="AC25" i="22"/>
  <c r="AC46" i="22"/>
  <c r="AC21" i="22"/>
  <c r="AC42" i="22"/>
  <c r="AG43" i="22"/>
  <c r="AG22" i="22"/>
  <c r="AJ44" i="22"/>
  <c r="AJ23" i="22"/>
  <c r="AD45" i="22"/>
  <c r="AD24" i="22"/>
  <c r="Y25" i="22"/>
  <c r="Y46" i="22"/>
  <c r="AG44" i="22"/>
  <c r="AG23" i="22"/>
  <c r="AF44" i="22"/>
  <c r="AF23" i="22"/>
  <c r="AI42" i="22"/>
  <c r="AI21" i="22"/>
  <c r="AG24" i="22"/>
  <c r="AG45" i="22"/>
  <c r="AI46" i="22"/>
  <c r="AI25" i="22"/>
  <c r="AG21" i="22"/>
  <c r="AG42" i="22"/>
  <c r="AC23" i="22"/>
  <c r="AC44" i="22"/>
  <c r="AH42" i="22"/>
  <c r="AH21" i="22"/>
  <c r="AF24" i="22"/>
  <c r="AF45" i="22"/>
  <c r="AA24" i="22"/>
  <c r="AA45" i="22"/>
  <c r="AD46" i="22"/>
  <c r="AD25" i="22"/>
  <c r="AF21" i="22"/>
  <c r="AF42" i="22"/>
  <c r="AD43" i="22"/>
  <c r="AD22" i="22"/>
  <c r="Y24" i="22"/>
  <c r="Y45" i="22"/>
  <c r="Z46" i="22"/>
  <c r="Z25" i="22"/>
  <c r="AH43" i="22"/>
  <c r="AH22" i="22"/>
  <c r="AH45" i="22"/>
  <c r="AH24" i="22"/>
  <c r="AH56" i="22" l="1"/>
  <c r="AE58" i="22"/>
  <c r="AF56" i="22"/>
  <c r="AJ56" i="22"/>
  <c r="Y54" i="22"/>
  <c r="AC55" i="22"/>
  <c r="AI56" i="22"/>
  <c r="AA58" i="22"/>
  <c r="AD54" i="22"/>
  <c r="AH57" i="22"/>
  <c r="AD55" i="22"/>
  <c r="AG56" i="22"/>
  <c r="AB55" i="22"/>
  <c r="AA56" i="22"/>
  <c r="AD57" i="22"/>
  <c r="AH58" i="22"/>
  <c r="Y57" i="22"/>
  <c r="E58" i="28"/>
  <c r="F51" i="28" s="1"/>
  <c r="AB54" i="22"/>
  <c r="AH54" i="22"/>
  <c r="AF55" i="22"/>
  <c r="D55" i="28"/>
  <c r="D61" i="28" s="1"/>
  <c r="C63" i="28"/>
  <c r="C61" i="28"/>
  <c r="J56" i="28"/>
  <c r="K49" i="28" s="1"/>
  <c r="K56" i="28" s="1"/>
  <c r="AC56" i="22"/>
  <c r="AG54" i="22"/>
  <c r="AJ57" i="22"/>
  <c r="AA55" i="22"/>
  <c r="AC57" i="22"/>
  <c r="AA54" i="22"/>
  <c r="Z54" i="22"/>
  <c r="AF54" i="22"/>
  <c r="AC58" i="22"/>
  <c r="AD56" i="22"/>
  <c r="AJ58" i="22"/>
  <c r="AE56" i="22"/>
  <c r="AI57" i="22"/>
  <c r="AG58" i="22"/>
  <c r="AE54" i="22"/>
  <c r="AA57" i="22"/>
  <c r="AI58" i="22"/>
  <c r="Z56" i="22"/>
  <c r="AF58" i="22"/>
  <c r="AB58" i="22"/>
  <c r="AG57" i="22"/>
  <c r="AC54" i="22"/>
  <c r="Z57" i="22"/>
  <c r="AI55" i="22"/>
  <c r="AB56" i="22"/>
  <c r="Z55" i="22"/>
  <c r="AH55" i="22"/>
  <c r="AG55" i="22"/>
  <c r="AE55" i="22"/>
  <c r="Y56" i="22"/>
  <c r="AJ54" i="22"/>
  <c r="AE57" i="22"/>
  <c r="Z58" i="22"/>
  <c r="AD58" i="22"/>
  <c r="AF57" i="22"/>
  <c r="AI54" i="22"/>
  <c r="Y58" i="22"/>
  <c r="AJ55" i="22"/>
  <c r="AB57" i="22"/>
  <c r="Y55" i="22"/>
  <c r="E48" i="28" l="1"/>
  <c r="F58" i="28"/>
  <c r="G51" i="28" s="1"/>
  <c r="D63" i="28"/>
  <c r="C60" i="28"/>
  <c r="A36" i="26"/>
  <c r="C14" i="26"/>
  <c r="D14" i="26" s="1"/>
  <c r="E14" i="26" s="1"/>
  <c r="F14" i="26" s="1"/>
  <c r="G14" i="26" s="1"/>
  <c r="H14" i="26" s="1"/>
  <c r="I14" i="26" s="1"/>
  <c r="J14" i="26" s="1"/>
  <c r="K14" i="26" s="1"/>
  <c r="L14" i="26" s="1"/>
  <c r="M14" i="26" s="1"/>
  <c r="N14" i="26" s="1"/>
  <c r="O14" i="26" s="1"/>
  <c r="P14" i="26" s="1"/>
  <c r="Q14" i="26" s="1"/>
  <c r="R14" i="26" s="1"/>
  <c r="S14" i="26" s="1"/>
  <c r="T14" i="26" s="1"/>
  <c r="U14" i="26" s="1"/>
  <c r="V14" i="26" s="1"/>
  <c r="W14" i="26" s="1"/>
  <c r="X14" i="26" s="1"/>
  <c r="Y14" i="26" s="1"/>
  <c r="Z14" i="26" s="1"/>
  <c r="AA14" i="26" s="1"/>
  <c r="AB14" i="26" s="1"/>
  <c r="AC14" i="26" s="1"/>
  <c r="AD14" i="26" s="1"/>
  <c r="AE14" i="26" s="1"/>
  <c r="AF14" i="26" s="1"/>
  <c r="AG14" i="26" s="1"/>
  <c r="AH14" i="26" s="1"/>
  <c r="D60" i="28" l="1"/>
  <c r="G58" i="28"/>
  <c r="H51" i="28" s="1"/>
  <c r="E55" i="28"/>
  <c r="E61" i="28" s="1"/>
  <c r="AV14" i="26"/>
  <c r="AW14" i="26" s="1"/>
  <c r="F48" i="28" l="1"/>
  <c r="F55" i="28" s="1"/>
  <c r="F61" i="28" s="1"/>
  <c r="H58" i="28"/>
  <c r="I51" i="28" s="1"/>
  <c r="E63" i="28"/>
  <c r="G48" i="28" l="1"/>
  <c r="G55" i="28" s="1"/>
  <c r="H48" i="28" s="1"/>
  <c r="H55" i="28" s="1"/>
  <c r="I48" i="28" s="1"/>
  <c r="I55" i="28" s="1"/>
  <c r="J48" i="28" s="1"/>
  <c r="J55" i="28" s="1"/>
  <c r="K48" i="28" s="1"/>
  <c r="K55" i="28" s="1"/>
  <c r="E60" i="28"/>
  <c r="F63" i="28"/>
  <c r="I58" i="28"/>
  <c r="J51" i="28" s="1"/>
  <c r="L46" i="22"/>
  <c r="K46" i="22"/>
  <c r="J46" i="22"/>
  <c r="I46" i="22"/>
  <c r="H46" i="22"/>
  <c r="G46" i="22"/>
  <c r="L45" i="22"/>
  <c r="K45" i="22"/>
  <c r="J45" i="22"/>
  <c r="I45" i="22"/>
  <c r="H45" i="22"/>
  <c r="G45" i="22"/>
  <c r="L44" i="22"/>
  <c r="K44" i="22"/>
  <c r="J44" i="22"/>
  <c r="I44" i="22"/>
  <c r="H44" i="22"/>
  <c r="G44" i="22"/>
  <c r="L43" i="22"/>
  <c r="K43" i="22"/>
  <c r="J43" i="22"/>
  <c r="I43" i="22"/>
  <c r="H43" i="22"/>
  <c r="G43" i="22"/>
  <c r="L42" i="22"/>
  <c r="K42" i="22"/>
  <c r="J42" i="22"/>
  <c r="I42" i="22"/>
  <c r="H42" i="22"/>
  <c r="G42" i="22"/>
  <c r="G61" i="28" l="1"/>
  <c r="H61" i="28"/>
  <c r="I61" i="28"/>
  <c r="J58" i="28"/>
  <c r="J61" i="28" s="1"/>
  <c r="F60" i="28"/>
  <c r="G63" i="28"/>
  <c r="K51" i="28" l="1"/>
  <c r="K58" i="28" s="1"/>
  <c r="K61" i="28" s="1"/>
  <c r="G60" i="28"/>
  <c r="H63" i="28"/>
  <c r="B23" i="22"/>
  <c r="B56" i="22" s="1"/>
  <c r="B63" i="22" s="1"/>
  <c r="B70" i="22" s="1"/>
  <c r="B24" i="22"/>
  <c r="B57" i="22" s="1"/>
  <c r="B64" i="22" s="1"/>
  <c r="B71" i="22" s="1"/>
  <c r="B25" i="22"/>
  <c r="B58" i="22" s="1"/>
  <c r="B65" i="22" s="1"/>
  <c r="B72" i="22" s="1"/>
  <c r="B22" i="22"/>
  <c r="B55" i="22" s="1"/>
  <c r="B62" i="22" s="1"/>
  <c r="B69" i="22" s="1"/>
  <c r="B21" i="22"/>
  <c r="B54" i="22" s="1"/>
  <c r="B61" i="22" s="1"/>
  <c r="B68" i="22" s="1"/>
  <c r="I63" i="28" l="1"/>
  <c r="H60" i="28"/>
  <c r="B76" i="22"/>
  <c r="G21" i="22"/>
  <c r="G54" i="22" s="1"/>
  <c r="I60" i="28" l="1"/>
  <c r="J63" i="28"/>
  <c r="K21" i="22"/>
  <c r="K54" i="22" s="1"/>
  <c r="H21" i="22"/>
  <c r="H54" i="22" s="1"/>
  <c r="I21" i="22"/>
  <c r="I54" i="22" s="1"/>
  <c r="D21" i="22"/>
  <c r="D54" i="22" s="1"/>
  <c r="C21" i="22"/>
  <c r="C54" i="22" s="1"/>
  <c r="K24" i="22"/>
  <c r="K57" i="22" s="1"/>
  <c r="K25" i="22"/>
  <c r="K58" i="22" s="1"/>
  <c r="K22" i="22"/>
  <c r="K55" i="22" s="1"/>
  <c r="K23" i="22"/>
  <c r="K56" i="22" s="1"/>
  <c r="D25" i="22"/>
  <c r="D58" i="22" s="1"/>
  <c r="D22" i="22"/>
  <c r="D55" i="22" s="1"/>
  <c r="D23" i="22"/>
  <c r="D56" i="22" s="1"/>
  <c r="D24" i="22"/>
  <c r="D57" i="22" s="1"/>
  <c r="F22" i="22"/>
  <c r="F55" i="22" s="1"/>
  <c r="F23" i="22"/>
  <c r="F56" i="22" s="1"/>
  <c r="F24" i="22"/>
  <c r="F57" i="22" s="1"/>
  <c r="F25" i="22"/>
  <c r="F58" i="22" s="1"/>
  <c r="C24" i="22"/>
  <c r="C57" i="22" s="1"/>
  <c r="C25" i="22"/>
  <c r="C58" i="22" s="1"/>
  <c r="C22" i="22"/>
  <c r="C55" i="22" s="1"/>
  <c r="C23" i="22"/>
  <c r="C56" i="22" s="1"/>
  <c r="L25" i="22"/>
  <c r="L58" i="22" s="1"/>
  <c r="L22" i="22"/>
  <c r="L55" i="22" s="1"/>
  <c r="L23" i="22"/>
  <c r="L56" i="22" s="1"/>
  <c r="L24" i="22"/>
  <c r="L57" i="22" s="1"/>
  <c r="J21" i="22"/>
  <c r="J54" i="22" s="1"/>
  <c r="E21" i="22"/>
  <c r="E54" i="22" s="1"/>
  <c r="F21" i="22"/>
  <c r="F54" i="22" s="1"/>
  <c r="G22" i="22"/>
  <c r="G55" i="22" s="1"/>
  <c r="G23" i="22"/>
  <c r="G56" i="22" s="1"/>
  <c r="G24" i="22"/>
  <c r="G57" i="22" s="1"/>
  <c r="G25" i="22"/>
  <c r="G58" i="22" s="1"/>
  <c r="E22" i="22"/>
  <c r="E55" i="22" s="1"/>
  <c r="E23" i="22"/>
  <c r="E56" i="22" s="1"/>
  <c r="E24" i="22"/>
  <c r="E57" i="22" s="1"/>
  <c r="E25" i="22"/>
  <c r="E58" i="22" s="1"/>
  <c r="H22" i="22"/>
  <c r="H55" i="22" s="1"/>
  <c r="H23" i="22"/>
  <c r="H56" i="22" s="1"/>
  <c r="H24" i="22"/>
  <c r="H57" i="22" s="1"/>
  <c r="H25" i="22"/>
  <c r="H58" i="22" s="1"/>
  <c r="J56" i="22"/>
  <c r="J24" i="22"/>
  <c r="J57" i="22" s="1"/>
  <c r="J25" i="22"/>
  <c r="J58" i="22" s="1"/>
  <c r="J22" i="22"/>
  <c r="J55" i="22" s="1"/>
  <c r="L21" i="22"/>
  <c r="L54" i="22" s="1"/>
  <c r="I22" i="22"/>
  <c r="I55" i="22" s="1"/>
  <c r="I23" i="22"/>
  <c r="I56" i="22" s="1"/>
  <c r="I24" i="22"/>
  <c r="I57" i="22" s="1"/>
  <c r="I25" i="22"/>
  <c r="I58" i="22" s="1"/>
  <c r="J60" i="28" l="1"/>
  <c r="K63" i="28"/>
  <c r="K60" i="28" l="1"/>
  <c r="F11" i="16"/>
  <c r="G6" i="16" s="1"/>
  <c r="H6" i="16" s="1"/>
  <c r="G9" i="16" l="1"/>
  <c r="G8" i="16"/>
  <c r="G10" i="16"/>
  <c r="G7" i="16"/>
  <c r="H28" i="16" l="1"/>
  <c r="C34" i="16" s="1"/>
  <c r="H27" i="16"/>
  <c r="C33" i="16" s="1"/>
  <c r="H26" i="16"/>
  <c r="C32" i="16" s="1"/>
  <c r="H25" i="16"/>
  <c r="C31" i="16" s="1"/>
  <c r="W42" i="21"/>
  <c r="W46" i="21"/>
  <c r="W43" i="21"/>
  <c r="W44" i="21"/>
  <c r="W45" i="21"/>
  <c r="BG42" i="11"/>
  <c r="BG45" i="11"/>
  <c r="BG46" i="11"/>
  <c r="BG43" i="11"/>
  <c r="BG44" i="11"/>
  <c r="C35" i="16" l="1"/>
  <c r="C36" i="16" s="1"/>
  <c r="H29" i="16"/>
  <c r="X23" i="22"/>
  <c r="X44" i="22"/>
  <c r="X22" i="22"/>
  <c r="X43" i="22"/>
  <c r="X24" i="22"/>
  <c r="X45" i="22"/>
  <c r="X25" i="22"/>
  <c r="X46" i="22"/>
  <c r="X21" i="22"/>
  <c r="X42" i="22"/>
  <c r="X54" i="22" l="1"/>
  <c r="X57" i="22"/>
  <c r="X55" i="22"/>
  <c r="X58" i="22"/>
  <c r="X56" i="22"/>
  <c r="F41" i="26" l="1"/>
  <c r="D42" i="26"/>
  <c r="H44" i="26"/>
  <c r="F45" i="26"/>
  <c r="G41" i="26"/>
  <c r="E42" i="26"/>
  <c r="C43" i="26"/>
  <c r="I44" i="26"/>
  <c r="G45" i="26"/>
  <c r="H41" i="26"/>
  <c r="F42" i="26"/>
  <c r="D43" i="26"/>
  <c r="H45" i="26"/>
  <c r="I41" i="26"/>
  <c r="G42" i="26"/>
  <c r="E43" i="26"/>
  <c r="C44" i="26"/>
  <c r="I45" i="26"/>
  <c r="H42" i="26"/>
  <c r="F43" i="26"/>
  <c r="D44" i="26"/>
  <c r="N42" i="21"/>
  <c r="C41" i="26"/>
  <c r="V42" i="21"/>
  <c r="I42" i="26"/>
  <c r="G43" i="26"/>
  <c r="E44" i="26"/>
  <c r="C45" i="26"/>
  <c r="O42" i="21"/>
  <c r="D41" i="26"/>
  <c r="H43" i="26"/>
  <c r="F44" i="26"/>
  <c r="D45" i="26"/>
  <c r="E41" i="26"/>
  <c r="C42" i="26"/>
  <c r="I43" i="26"/>
  <c r="G44" i="26"/>
  <c r="E45" i="26"/>
  <c r="M42" i="21"/>
  <c r="S43" i="21"/>
  <c r="Q44" i="21"/>
  <c r="O45" i="21"/>
  <c r="M46" i="21"/>
  <c r="U46" i="21"/>
  <c r="T43" i="21"/>
  <c r="R44" i="21"/>
  <c r="P45" i="21"/>
  <c r="N46" i="21"/>
  <c r="V46" i="21"/>
  <c r="M43" i="21"/>
  <c r="U43" i="21"/>
  <c r="S44" i="21"/>
  <c r="Q45" i="21"/>
  <c r="O46" i="21"/>
  <c r="L42" i="21"/>
  <c r="P42" i="21"/>
  <c r="N43" i="21"/>
  <c r="V43" i="21"/>
  <c r="T44" i="21"/>
  <c r="R45" i="21"/>
  <c r="P46" i="21"/>
  <c r="L43" i="21"/>
  <c r="Q42" i="21"/>
  <c r="O43" i="21"/>
  <c r="M44" i="21"/>
  <c r="U44" i="21"/>
  <c r="S45" i="21"/>
  <c r="Q46" i="21"/>
  <c r="L44" i="21"/>
  <c r="R42" i="21"/>
  <c r="P43" i="21"/>
  <c r="N44" i="21"/>
  <c r="V44" i="21"/>
  <c r="T45" i="21"/>
  <c r="R46" i="21"/>
  <c r="L45" i="21"/>
  <c r="S42" i="21"/>
  <c r="Q43" i="21"/>
  <c r="O44" i="21"/>
  <c r="M45" i="21"/>
  <c r="U45" i="21"/>
  <c r="S46" i="21"/>
  <c r="L46" i="21"/>
  <c r="T42" i="21"/>
  <c r="R43" i="21"/>
  <c r="P44" i="21"/>
  <c r="N45" i="21"/>
  <c r="V45" i="21"/>
  <c r="T46" i="21"/>
  <c r="U42" i="21"/>
  <c r="BB42" i="11"/>
  <c r="BD45" i="11"/>
  <c r="BD42" i="11"/>
  <c r="BB43" i="11"/>
  <c r="AX45" i="11"/>
  <c r="BF45" i="11"/>
  <c r="BD46" i="11"/>
  <c r="AX42" i="11"/>
  <c r="BD43" i="11"/>
  <c r="BB44" i="11"/>
  <c r="AX43" i="11"/>
  <c r="BF43" i="11"/>
  <c r="AZ45" i="11"/>
  <c r="BB46" i="11"/>
  <c r="BD44" i="11"/>
  <c r="BF44" i="11"/>
  <c r="AX44" i="11"/>
  <c r="BA42" i="11"/>
  <c r="AX46" i="11"/>
  <c r="BF42" i="11"/>
  <c r="BF46" i="11"/>
  <c r="AY45" i="11"/>
  <c r="BE46" i="11"/>
  <c r="AW42" i="11"/>
  <c r="BB45" i="11"/>
  <c r="BC45" i="11"/>
  <c r="BC46" i="11"/>
  <c r="AY44" i="11"/>
  <c r="BC42" i="11"/>
  <c r="BC43" i="11"/>
  <c r="BC44" i="11"/>
  <c r="BA45" i="11"/>
  <c r="BA46" i="11"/>
  <c r="AZ44" i="11"/>
  <c r="BE42" i="11"/>
  <c r="BE43" i="11"/>
  <c r="BE44" i="11"/>
  <c r="AW43" i="11"/>
  <c r="AW44" i="11"/>
  <c r="AW45" i="11"/>
  <c r="BE45" i="11"/>
  <c r="BA43" i="11"/>
  <c r="BA44" i="11"/>
  <c r="AW46" i="11"/>
  <c r="AY42" i="11"/>
  <c r="AY46" i="11"/>
  <c r="AZ42" i="11"/>
  <c r="AZ46" i="11"/>
  <c r="AY43" i="11"/>
  <c r="AZ43" i="11"/>
  <c r="AV43" i="11"/>
  <c r="AV46" i="11"/>
  <c r="P42" i="22" l="1"/>
  <c r="R43" i="22"/>
  <c r="W44" i="22"/>
  <c r="M44" i="22"/>
  <c r="S45" i="22"/>
  <c r="W46" i="22"/>
  <c r="U43" i="22"/>
  <c r="N46" i="22"/>
  <c r="S43" i="22"/>
  <c r="T45" i="22"/>
  <c r="N43" i="22"/>
  <c r="P44" i="22"/>
  <c r="M42" i="22"/>
  <c r="N42" i="22"/>
  <c r="O44" i="22"/>
  <c r="R42" i="22"/>
  <c r="U44" i="22"/>
  <c r="O46" i="22"/>
  <c r="W42" i="22"/>
  <c r="P45" i="22"/>
  <c r="M45" i="22"/>
  <c r="T42" i="22"/>
  <c r="T46" i="22"/>
  <c r="P46" i="22"/>
  <c r="W45" i="22"/>
  <c r="S46" i="22"/>
  <c r="Q43" i="22"/>
  <c r="M43" i="22"/>
  <c r="Q45" i="22"/>
  <c r="O42" i="22"/>
  <c r="R44" i="22"/>
  <c r="U46" i="22"/>
  <c r="M46" i="22"/>
  <c r="W43" i="22"/>
  <c r="V45" i="22"/>
  <c r="V44" i="22"/>
  <c r="O43" i="22"/>
  <c r="R45" i="22"/>
  <c r="Q44" i="22"/>
  <c r="R46" i="22"/>
  <c r="T44" i="22"/>
  <c r="U45" i="22"/>
  <c r="S42" i="22"/>
  <c r="Q46" i="22"/>
  <c r="S44" i="22"/>
  <c r="V46" i="22"/>
  <c r="T43" i="22"/>
  <c r="O45" i="22"/>
  <c r="P43" i="22"/>
  <c r="V43" i="22"/>
  <c r="N45" i="22"/>
  <c r="N44" i="22"/>
  <c r="Q42" i="22"/>
  <c r="V42" i="22"/>
  <c r="U42" i="22"/>
  <c r="AV42" i="11"/>
  <c r="G11" i="16" l="1"/>
  <c r="F30" i="11" l="1"/>
  <c r="G29" i="11"/>
  <c r="H11" i="13" l="1"/>
  <c r="F32" i="13" l="1"/>
  <c r="G32" i="13" l="1"/>
  <c r="I5" i="4" l="1"/>
  <c r="I7" i="4"/>
  <c r="I8" i="4"/>
  <c r="G9" i="4" l="1"/>
  <c r="J8" i="4"/>
  <c r="J7" i="4"/>
  <c r="J6" i="4"/>
  <c r="J5" i="4"/>
  <c r="I9" i="4" l="1"/>
  <c r="J9" i="4"/>
  <c r="E32" i="13" l="1"/>
  <c r="G31" i="23"/>
  <c r="D9" i="23"/>
  <c r="C9" i="23"/>
  <c r="G8" i="23"/>
  <c r="G7" i="23"/>
  <c r="G6" i="23"/>
  <c r="G5" i="23"/>
  <c r="J21" i="23" l="1"/>
  <c r="D32" i="13"/>
  <c r="F42" i="21" l="1"/>
  <c r="C14" i="22" l="1"/>
  <c r="D14" i="22" s="1"/>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Y14" i="22" l="1"/>
  <c r="Z14" i="22" s="1"/>
  <c r="AA14" i="22" s="1"/>
  <c r="AB14" i="22" s="1"/>
  <c r="AC14" i="22" s="1"/>
  <c r="AD14" i="22" s="1"/>
  <c r="AE14" i="22" s="1"/>
  <c r="AF14" i="22" s="1"/>
  <c r="AG14" i="22" s="1"/>
  <c r="AH14" i="22" s="1"/>
  <c r="AI14" i="22" s="1"/>
  <c r="AJ14" i="22" s="1"/>
  <c r="AK14" i="22" s="1"/>
  <c r="AL14" i="22" s="1"/>
  <c r="AM14" i="22" s="1"/>
  <c r="AN14" i="22" s="1"/>
  <c r="AO14" i="22" s="1"/>
  <c r="AP14" i="22" s="1"/>
  <c r="AQ14" i="22" s="1"/>
  <c r="AR14" i="22" s="1"/>
  <c r="AS14" i="22" s="1"/>
  <c r="AT14" i="22" s="1"/>
  <c r="AU14" i="22" s="1"/>
  <c r="AV14" i="22" s="1"/>
  <c r="AW14" i="22" s="1"/>
  <c r="AX14" i="22" s="1"/>
  <c r="AY14" i="22" s="1"/>
  <c r="AZ14" i="22" s="1"/>
  <c r="BA14" i="22" s="1"/>
  <c r="BB14" i="22" s="1"/>
  <c r="BC14" i="22" s="1"/>
  <c r="BD14" i="22" s="1"/>
  <c r="BE14" i="22" s="1"/>
  <c r="BF14" i="22" s="1"/>
  <c r="BG14" i="22" s="1"/>
  <c r="BH14" i="22" s="1"/>
  <c r="AJ42" i="11" l="1"/>
  <c r="AK42" i="11"/>
  <c r="AL42" i="11"/>
  <c r="AM42" i="11"/>
  <c r="AN42" i="11"/>
  <c r="AO42" i="11"/>
  <c r="AP42" i="11"/>
  <c r="AQ42" i="11"/>
  <c r="AR42" i="11"/>
  <c r="AS42" i="11"/>
  <c r="AT42" i="11"/>
  <c r="AU42" i="11"/>
  <c r="AJ43" i="11"/>
  <c r="AK43" i="11"/>
  <c r="AL43" i="11"/>
  <c r="AM43" i="11"/>
  <c r="AN43" i="11"/>
  <c r="AO43" i="11"/>
  <c r="AP43" i="11"/>
  <c r="AQ43" i="11"/>
  <c r="AR43" i="11"/>
  <c r="AS43" i="11"/>
  <c r="AT43" i="11"/>
  <c r="AU43" i="11"/>
  <c r="AJ44" i="11"/>
  <c r="AK44" i="11"/>
  <c r="AL44" i="11"/>
  <c r="AM44" i="11"/>
  <c r="AN44" i="11"/>
  <c r="AO44" i="11"/>
  <c r="AP44" i="11"/>
  <c r="AQ44" i="11"/>
  <c r="AR44" i="11"/>
  <c r="AS44" i="11"/>
  <c r="AT44" i="11"/>
  <c r="AU44" i="11"/>
  <c r="AJ45" i="11"/>
  <c r="AK45" i="11"/>
  <c r="AL45" i="11"/>
  <c r="AM45" i="11"/>
  <c r="AN45" i="11"/>
  <c r="AO45" i="11"/>
  <c r="AP45" i="11"/>
  <c r="AQ45" i="11"/>
  <c r="AR45" i="11"/>
  <c r="AS45" i="11"/>
  <c r="AT45" i="11"/>
  <c r="AU45" i="11"/>
  <c r="AJ46" i="11"/>
  <c r="AK46" i="11"/>
  <c r="AL46" i="11"/>
  <c r="AM46" i="11"/>
  <c r="AN46" i="11"/>
  <c r="AO46" i="11"/>
  <c r="AP46" i="11"/>
  <c r="AQ46" i="11"/>
  <c r="AR46" i="11"/>
  <c r="AS46" i="11"/>
  <c r="AT46" i="11"/>
  <c r="AU46" i="11"/>
  <c r="C65" i="22"/>
  <c r="C72" i="22" s="1"/>
  <c r="C63" i="22"/>
  <c r="C70" i="22" s="1"/>
  <c r="A39" i="22"/>
  <c r="A38" i="22"/>
  <c r="A37" i="22"/>
  <c r="A36" i="22"/>
  <c r="A35" i="22"/>
  <c r="A49" i="22" s="1"/>
  <c r="E46" i="21"/>
  <c r="D46" i="21"/>
  <c r="C46" i="21"/>
  <c r="B46" i="21"/>
  <c r="B53" i="21" s="1"/>
  <c r="B60" i="21" s="1"/>
  <c r="E45" i="21"/>
  <c r="D45" i="21"/>
  <c r="C45" i="21"/>
  <c r="B45" i="21"/>
  <c r="B52" i="21" s="1"/>
  <c r="E44" i="21"/>
  <c r="D44" i="21"/>
  <c r="C44" i="21"/>
  <c r="B44" i="21"/>
  <c r="B51" i="21" s="1"/>
  <c r="E43" i="21"/>
  <c r="D43" i="21"/>
  <c r="C43" i="21"/>
  <c r="B43" i="21"/>
  <c r="B50" i="21" s="1"/>
  <c r="E42" i="21"/>
  <c r="D42" i="21"/>
  <c r="C42" i="21"/>
  <c r="B42" i="21"/>
  <c r="B49" i="21" s="1"/>
  <c r="B56" i="21" s="1"/>
  <c r="A36" i="21"/>
  <c r="K46" i="21"/>
  <c r="J46" i="21"/>
  <c r="I46" i="21"/>
  <c r="H46" i="21"/>
  <c r="G46" i="21"/>
  <c r="F46" i="21"/>
  <c r="K45" i="21"/>
  <c r="J45" i="21"/>
  <c r="I45" i="21"/>
  <c r="H45" i="21"/>
  <c r="G45" i="21"/>
  <c r="F45" i="21"/>
  <c r="K44" i="21"/>
  <c r="J44" i="21"/>
  <c r="I44" i="21"/>
  <c r="H44" i="21"/>
  <c r="F44" i="21"/>
  <c r="K43" i="21"/>
  <c r="J43" i="21"/>
  <c r="I43" i="21"/>
  <c r="H43" i="21"/>
  <c r="G43" i="21"/>
  <c r="F43" i="21"/>
  <c r="K42" i="21"/>
  <c r="J42" i="21"/>
  <c r="H42" i="21"/>
  <c r="G42" i="21"/>
  <c r="C14" i="21"/>
  <c r="D14" i="21" s="1"/>
  <c r="E14" i="21" s="1"/>
  <c r="F14" i="21" s="1"/>
  <c r="G14" i="21" s="1"/>
  <c r="H14" i="21" s="1"/>
  <c r="I14" i="21" s="1"/>
  <c r="J14" i="21" s="1"/>
  <c r="K14" i="21" l="1"/>
  <c r="BW67" i="22"/>
  <c r="BV14" i="22"/>
  <c r="BW14" i="22" s="1"/>
  <c r="D63" i="22"/>
  <c r="D70" i="22" s="1"/>
  <c r="C62" i="22"/>
  <c r="C69" i="22" s="1"/>
  <c r="C61" i="22"/>
  <c r="C68" i="22" s="1"/>
  <c r="C64" i="22"/>
  <c r="C71" i="22" s="1"/>
  <c r="B57" i="21"/>
  <c r="C50" i="21" s="1"/>
  <c r="I42" i="21"/>
  <c r="G44" i="21"/>
  <c r="B59" i="21"/>
  <c r="C52" i="21" s="1"/>
  <c r="C49" i="21"/>
  <c r="B58" i="21"/>
  <c r="C51" i="21" s="1"/>
  <c r="C53" i="21"/>
  <c r="L14" i="21" l="1"/>
  <c r="M14" i="21" s="1"/>
  <c r="N14" i="21" s="1"/>
  <c r="O14" i="21" s="1"/>
  <c r="P14" i="21" s="1"/>
  <c r="Q14" i="21" s="1"/>
  <c r="R14" i="21" s="1"/>
  <c r="S14" i="21" s="1"/>
  <c r="T14" i="21" s="1"/>
  <c r="U14" i="21" s="1"/>
  <c r="V14" i="21" s="1"/>
  <c r="W14" i="21" s="1"/>
  <c r="C76" i="22"/>
  <c r="D61" i="22"/>
  <c r="D68" i="22" s="1"/>
  <c r="D62" i="22"/>
  <c r="D69" i="22" s="1"/>
  <c r="E63" i="22"/>
  <c r="E70" i="22" s="1"/>
  <c r="D65" i="22"/>
  <c r="D72" i="22" s="1"/>
  <c r="B74" i="22"/>
  <c r="C58" i="21"/>
  <c r="D51" i="21" s="1"/>
  <c r="C57" i="21"/>
  <c r="D50" i="21" s="1"/>
  <c r="B62" i="21"/>
  <c r="C60" i="21"/>
  <c r="D53" i="21" s="1"/>
  <c r="C59" i="21"/>
  <c r="D52" i="21" s="1"/>
  <c r="B64" i="21"/>
  <c r="C56" i="21"/>
  <c r="D49" i="21" s="1"/>
  <c r="D56" i="21" s="1"/>
  <c r="B57" i="30" l="1"/>
  <c r="C50" i="30" s="1"/>
  <c r="B60" i="30"/>
  <c r="C53" i="30" s="1"/>
  <c r="X14" i="21"/>
  <c r="Y14" i="21" s="1"/>
  <c r="Z14" i="21" s="1"/>
  <c r="AA14" i="21" s="1"/>
  <c r="AB14" i="21" s="1"/>
  <c r="AC14" i="21" s="1"/>
  <c r="AD14" i="21" s="1"/>
  <c r="AE14" i="21" s="1"/>
  <c r="AF14" i="21" s="1"/>
  <c r="AG14" i="21" s="1"/>
  <c r="AH14" i="21" s="1"/>
  <c r="AI14" i="21" s="1"/>
  <c r="B73" i="22"/>
  <c r="F63" i="22"/>
  <c r="F70" i="22" s="1"/>
  <c r="E61" i="22"/>
  <c r="E68" i="22" s="1"/>
  <c r="E62" i="22"/>
  <c r="E69" i="22" s="1"/>
  <c r="D57" i="21"/>
  <c r="E50" i="21" s="1"/>
  <c r="D59" i="21"/>
  <c r="E52" i="21" s="1"/>
  <c r="C62" i="21"/>
  <c r="D60" i="21"/>
  <c r="E53" i="21" s="1"/>
  <c r="D58" i="21"/>
  <c r="E51" i="21" s="1"/>
  <c r="E49" i="21"/>
  <c r="B61" i="21"/>
  <c r="C64" i="21"/>
  <c r="B59" i="30" l="1"/>
  <c r="C52" i="30" s="1"/>
  <c r="C57" i="30"/>
  <c r="D50" i="30" s="1"/>
  <c r="D57" i="30" s="1"/>
  <c r="E5" i="30" s="1"/>
  <c r="F5" i="30" s="1"/>
  <c r="D27" i="5" s="1"/>
  <c r="B58" i="30"/>
  <c r="C51" i="30" s="1"/>
  <c r="C60" i="30"/>
  <c r="D53" i="30" s="1"/>
  <c r="D60" i="30" s="1"/>
  <c r="E8" i="30" s="1"/>
  <c r="F8" i="30" s="1"/>
  <c r="D30" i="5" s="1"/>
  <c r="AJ14" i="21"/>
  <c r="AK14" i="21" s="1"/>
  <c r="AL14" i="21" s="1"/>
  <c r="AM14" i="21" s="1"/>
  <c r="AN14" i="21" s="1"/>
  <c r="AO14" i="21" s="1"/>
  <c r="AP14" i="21" s="1"/>
  <c r="AQ14" i="21" s="1"/>
  <c r="AR14" i="21" s="1"/>
  <c r="AS14" i="21" s="1"/>
  <c r="AT14" i="21" s="1"/>
  <c r="AU14" i="21" s="1"/>
  <c r="C74" i="22"/>
  <c r="D64" i="22"/>
  <c r="D71" i="22" s="1"/>
  <c r="D76" i="22" s="1"/>
  <c r="D62" i="21"/>
  <c r="E65" i="22"/>
  <c r="E72" i="22" s="1"/>
  <c r="F61" i="22"/>
  <c r="F68" i="22" s="1"/>
  <c r="F62" i="22"/>
  <c r="F69" i="22" s="1"/>
  <c r="G63" i="22"/>
  <c r="G70" i="22" s="1"/>
  <c r="E56" i="21"/>
  <c r="F49" i="21" s="1"/>
  <c r="E60" i="21"/>
  <c r="F53" i="21" s="1"/>
  <c r="E59" i="21"/>
  <c r="F52" i="21" s="1"/>
  <c r="C61" i="21"/>
  <c r="D64" i="21"/>
  <c r="E58" i="21"/>
  <c r="F51" i="21" s="1"/>
  <c r="E57" i="21"/>
  <c r="C58" i="30" l="1"/>
  <c r="D51" i="30" s="1"/>
  <c r="D58" i="30" s="1"/>
  <c r="E6" i="30" s="1"/>
  <c r="F6" i="30" s="1"/>
  <c r="D28" i="5" s="1"/>
  <c r="C59" i="30"/>
  <c r="D52" i="30" s="1"/>
  <c r="D59" i="30" s="1"/>
  <c r="E7" i="30" s="1"/>
  <c r="F7" i="30" s="1"/>
  <c r="D29" i="5" s="1"/>
  <c r="AV14" i="21"/>
  <c r="AW14" i="21" s="1"/>
  <c r="AX14" i="21" s="1"/>
  <c r="AY14" i="21" s="1"/>
  <c r="AZ14" i="21" s="1"/>
  <c r="BA14" i="21" s="1"/>
  <c r="BB14" i="21" s="1"/>
  <c r="BC14" i="21" s="1"/>
  <c r="BD14" i="21" s="1"/>
  <c r="BE14" i="21" s="1"/>
  <c r="BF14" i="21" s="1"/>
  <c r="BG14" i="21" s="1"/>
  <c r="G62" i="22"/>
  <c r="G69" i="22" s="1"/>
  <c r="E64" i="22"/>
  <c r="E71" i="22" s="1"/>
  <c r="E76" i="22" s="1"/>
  <c r="C73" i="22"/>
  <c r="G61" i="22"/>
  <c r="G68" i="22" s="1"/>
  <c r="E62" i="21"/>
  <c r="D74" i="22"/>
  <c r="H63" i="22"/>
  <c r="H70" i="22" s="1"/>
  <c r="D61" i="21"/>
  <c r="E64" i="21"/>
  <c r="F50" i="21"/>
  <c r="F58" i="21"/>
  <c r="G51" i="21" s="1"/>
  <c r="F59" i="21"/>
  <c r="G52" i="21" s="1"/>
  <c r="F56" i="21"/>
  <c r="F60" i="21"/>
  <c r="G53" i="21" s="1"/>
  <c r="BH14" i="21" l="1"/>
  <c r="BI14" i="21" s="1"/>
  <c r="BJ14" i="21" s="1"/>
  <c r="BK14" i="21" s="1"/>
  <c r="BL14" i="21" s="1"/>
  <c r="BM14" i="21" s="1"/>
  <c r="BN14" i="21" s="1"/>
  <c r="BO14" i="21" s="1"/>
  <c r="BP14" i="21" s="1"/>
  <c r="BQ14" i="21" s="1"/>
  <c r="BR14" i="21" s="1"/>
  <c r="BS14" i="21" s="1"/>
  <c r="BT14" i="21" s="1"/>
  <c r="BU14" i="21" s="1"/>
  <c r="BV14" i="21" s="1"/>
  <c r="F64" i="22"/>
  <c r="F71" i="22" s="1"/>
  <c r="D73" i="22"/>
  <c r="G49" i="21"/>
  <c r="G56" i="21" s="1"/>
  <c r="H49" i="21" s="1"/>
  <c r="I63" i="22"/>
  <c r="I70" i="22" s="1"/>
  <c r="H62" i="22"/>
  <c r="H69" i="22" s="1"/>
  <c r="H61" i="22"/>
  <c r="H68" i="22" s="1"/>
  <c r="G59" i="21"/>
  <c r="H52" i="21" s="1"/>
  <c r="G60" i="21"/>
  <c r="H53" i="21" s="1"/>
  <c r="G58" i="21"/>
  <c r="H51" i="21" s="1"/>
  <c r="E61" i="21"/>
  <c r="F57" i="21"/>
  <c r="F64" i="21" s="1"/>
  <c r="G64" i="22" l="1"/>
  <c r="G71" i="22" s="1"/>
  <c r="E74" i="22"/>
  <c r="F65" i="22"/>
  <c r="F72" i="22" s="1"/>
  <c r="F76" i="22" s="1"/>
  <c r="F62" i="21"/>
  <c r="G50" i="21"/>
  <c r="G57" i="21" s="1"/>
  <c r="G62" i="21" s="1"/>
  <c r="I62" i="22"/>
  <c r="I69" i="22" s="1"/>
  <c r="J63" i="22"/>
  <c r="J70" i="22" s="1"/>
  <c r="I61" i="22"/>
  <c r="I68" i="22" s="1"/>
  <c r="H58" i="21"/>
  <c r="I51" i="21" s="1"/>
  <c r="F61" i="21"/>
  <c r="H60" i="21"/>
  <c r="I53" i="21" s="1"/>
  <c r="H56" i="21"/>
  <c r="I49" i="21" s="1"/>
  <c r="H59" i="21"/>
  <c r="I52" i="21" s="1"/>
  <c r="H64" i="22" l="1"/>
  <c r="H71" i="22" s="1"/>
  <c r="G65" i="22"/>
  <c r="G72" i="22" s="1"/>
  <c r="G76" i="22" s="1"/>
  <c r="H50" i="21"/>
  <c r="H57" i="21" s="1"/>
  <c r="H62" i="21" s="1"/>
  <c r="G64" i="21"/>
  <c r="E73" i="22"/>
  <c r="K63" i="22"/>
  <c r="K70" i="22" s="1"/>
  <c r="J61" i="22"/>
  <c r="J68" i="22" s="1"/>
  <c r="J62" i="22"/>
  <c r="J69" i="22" s="1"/>
  <c r="F74" i="22"/>
  <c r="I59" i="21"/>
  <c r="J52" i="21" s="1"/>
  <c r="I56" i="21"/>
  <c r="J49" i="21" s="1"/>
  <c r="I60" i="21"/>
  <c r="J53" i="21" s="1"/>
  <c r="I58" i="21"/>
  <c r="J51" i="21" s="1"/>
  <c r="G61" i="21" l="1"/>
  <c r="I64" i="22"/>
  <c r="I71" i="22" s="1"/>
  <c r="H65" i="22"/>
  <c r="H72" i="22" s="1"/>
  <c r="H76" i="22" s="1"/>
  <c r="I50" i="21"/>
  <c r="I57" i="21" s="1"/>
  <c r="J50" i="21" s="1"/>
  <c r="H64" i="21"/>
  <c r="L63" i="22"/>
  <c r="L70" i="22" s="1"/>
  <c r="G74" i="22"/>
  <c r="K62" i="22"/>
  <c r="K69" i="22" s="1"/>
  <c r="J58" i="21"/>
  <c r="K51" i="21" s="1"/>
  <c r="J56" i="21"/>
  <c r="K49" i="21" s="1"/>
  <c r="J59" i="21"/>
  <c r="K52" i="21" s="1"/>
  <c r="J60" i="21"/>
  <c r="K53" i="21" s="1"/>
  <c r="H61" i="21" l="1"/>
  <c r="J64" i="22"/>
  <c r="J71" i="22" s="1"/>
  <c r="F73" i="22"/>
  <c r="K56" i="21"/>
  <c r="I62" i="21"/>
  <c r="I64" i="21"/>
  <c r="L62" i="22"/>
  <c r="L69" i="22" s="1"/>
  <c r="H74" i="22"/>
  <c r="K61" i="22"/>
  <c r="K68" i="22" s="1"/>
  <c r="J57" i="21"/>
  <c r="K50" i="21" s="1"/>
  <c r="L49" i="21" l="1"/>
  <c r="L56" i="21" s="1"/>
  <c r="I61" i="21"/>
  <c r="K64" i="22"/>
  <c r="K71" i="22" s="1"/>
  <c r="I65" i="22"/>
  <c r="I72" i="22" s="1"/>
  <c r="I76" i="22" s="1"/>
  <c r="L61" i="22"/>
  <c r="L68" i="22" s="1"/>
  <c r="G73" i="22"/>
  <c r="J64" i="21"/>
  <c r="J62" i="21"/>
  <c r="M49" i="21" l="1"/>
  <c r="J61" i="21"/>
  <c r="L64" i="22"/>
  <c r="L71" i="22" s="1"/>
  <c r="J65" i="22"/>
  <c r="J72" i="22" s="1"/>
  <c r="J76" i="22" s="1"/>
  <c r="H73" i="22"/>
  <c r="K65" i="22" l="1"/>
  <c r="K72" i="22" s="1"/>
  <c r="K76" i="22" s="1"/>
  <c r="J74" i="22"/>
  <c r="I74" i="22"/>
  <c r="I73" i="22" l="1"/>
  <c r="J73" i="22" l="1"/>
  <c r="K74" i="22" l="1"/>
  <c r="L65" i="22"/>
  <c r="L72" i="22" s="1"/>
  <c r="L76" i="22" s="1"/>
  <c r="L74" i="22" l="1"/>
  <c r="K73" i="22"/>
  <c r="L73" i="22" l="1"/>
  <c r="K60" i="21" l="1"/>
  <c r="K58" i="21"/>
  <c r="L51" i="21" s="1"/>
  <c r="K59" i="21"/>
  <c r="G4" i="23"/>
  <c r="L52" i="21" l="1"/>
  <c r="L59" i="21" s="1"/>
  <c r="L58" i="21"/>
  <c r="L53" i="21"/>
  <c r="L60" i="21" s="1"/>
  <c r="B4" i="11"/>
  <c r="M51" i="21" l="1"/>
  <c r="M58" i="21" s="1"/>
  <c r="N51" i="21" s="1"/>
  <c r="M53" i="21"/>
  <c r="M60" i="21" s="1"/>
  <c r="N53" i="21" s="1"/>
  <c r="M52" i="21"/>
  <c r="M59" i="21" s="1"/>
  <c r="N52" i="21" s="1"/>
  <c r="K57" i="21"/>
  <c r="G31" i="5"/>
  <c r="J31" i="23" s="1"/>
  <c r="G21" i="5"/>
  <c r="N58" i="21" l="1"/>
  <c r="O51" i="21" s="1"/>
  <c r="N59" i="21"/>
  <c r="O52" i="21" s="1"/>
  <c r="N60" i="21"/>
  <c r="O53" i="21" s="1"/>
  <c r="O60" i="21" s="1"/>
  <c r="L50" i="21"/>
  <c r="L57" i="21" s="1"/>
  <c r="K64" i="21"/>
  <c r="K62" i="21"/>
  <c r="L64" i="21" l="1"/>
  <c r="K61" i="21"/>
  <c r="L62" i="21"/>
  <c r="M56" i="21"/>
  <c r="N49" i="21" s="1"/>
  <c r="P53" i="21"/>
  <c r="O59" i="21"/>
  <c r="P52" i="21" s="1"/>
  <c r="O58" i="21"/>
  <c r="P51" i="21" s="1"/>
  <c r="N56" i="21" l="1"/>
  <c r="L61" i="21"/>
  <c r="M50" i="21"/>
  <c r="M57" i="21" s="1"/>
  <c r="M62" i="21" s="1"/>
  <c r="P59" i="21"/>
  <c r="Q52" i="21" s="1"/>
  <c r="P60" i="21"/>
  <c r="Q53" i="21" s="1"/>
  <c r="P58" i="21"/>
  <c r="Q51" i="21" s="1"/>
  <c r="B69" i="29" l="1"/>
  <c r="B71" i="29"/>
  <c r="C64" i="29" s="1"/>
  <c r="B70" i="29"/>
  <c r="C63" i="29" s="1"/>
  <c r="B72" i="29"/>
  <c r="C65" i="29" s="1"/>
  <c r="O49" i="21"/>
  <c r="O56" i="21" s="1"/>
  <c r="N50" i="21"/>
  <c r="N57" i="21" s="1"/>
  <c r="N62" i="21" s="1"/>
  <c r="M64" i="21"/>
  <c r="Q58" i="21"/>
  <c r="R51" i="21" s="1"/>
  <c r="Q60" i="21"/>
  <c r="R53" i="21" s="1"/>
  <c r="Q59" i="21"/>
  <c r="R52" i="21" s="1"/>
  <c r="C62" i="29" l="1"/>
  <c r="C69" i="29" s="1"/>
  <c r="D62" i="29" s="1"/>
  <c r="D69" i="29" s="1"/>
  <c r="F5" i="29" s="1"/>
  <c r="G5" i="29" s="1"/>
  <c r="C27" i="5" s="1"/>
  <c r="B76" i="29"/>
  <c r="C70" i="29"/>
  <c r="D63" i="29" s="1"/>
  <c r="D70" i="29" s="1"/>
  <c r="F6" i="29" s="1"/>
  <c r="G6" i="29" s="1"/>
  <c r="C28" i="5" s="1"/>
  <c r="C72" i="29"/>
  <c r="D65" i="29" s="1"/>
  <c r="D72" i="29" s="1"/>
  <c r="F8" i="29" s="1"/>
  <c r="G8" i="29" s="1"/>
  <c r="C30" i="5" s="1"/>
  <c r="C71" i="29"/>
  <c r="D64" i="29" s="1"/>
  <c r="D71" i="29" s="1"/>
  <c r="F7" i="29" s="1"/>
  <c r="G7" i="29" s="1"/>
  <c r="C29" i="5" s="1"/>
  <c r="N64" i="21"/>
  <c r="M61" i="21"/>
  <c r="O50" i="21"/>
  <c r="R59" i="21"/>
  <c r="S52" i="21" s="1"/>
  <c r="R60" i="21"/>
  <c r="S53" i="21" s="1"/>
  <c r="R58" i="21"/>
  <c r="S51" i="21" s="1"/>
  <c r="N61" i="21" l="1"/>
  <c r="P49" i="21"/>
  <c r="S60" i="21"/>
  <c r="T53" i="21" s="1"/>
  <c r="S59" i="21"/>
  <c r="T52" i="21" s="1"/>
  <c r="S58" i="21"/>
  <c r="T51" i="21" s="1"/>
  <c r="O57" i="21"/>
  <c r="O64" i="21" s="1"/>
  <c r="O62" i="21" l="1"/>
  <c r="P56" i="21"/>
  <c r="Q49" i="21" s="1"/>
  <c r="P50" i="21"/>
  <c r="T59" i="21"/>
  <c r="U52" i="21" s="1"/>
  <c r="T58" i="21"/>
  <c r="U51" i="21" s="1"/>
  <c r="T60" i="21"/>
  <c r="U53" i="21" s="1"/>
  <c r="O61" i="21"/>
  <c r="Q56" i="21" l="1"/>
  <c r="R49" i="21" s="1"/>
  <c r="U60" i="21"/>
  <c r="V53" i="21" s="1"/>
  <c r="U58" i="21"/>
  <c r="V51" i="21" s="1"/>
  <c r="U59" i="21"/>
  <c r="V52" i="21" s="1"/>
  <c r="P57" i="21"/>
  <c r="P62" i="21" s="1"/>
  <c r="Q50" i="21" l="1"/>
  <c r="P64" i="21"/>
  <c r="V59" i="21"/>
  <c r="V58" i="21"/>
  <c r="V60" i="21"/>
  <c r="R56" i="21"/>
  <c r="S49" i="21" s="1"/>
  <c r="P61" i="21" l="1"/>
  <c r="W51" i="21"/>
  <c r="W52" i="21"/>
  <c r="W53" i="21"/>
  <c r="Q57" i="21"/>
  <c r="R50" i="21" s="1"/>
  <c r="B56" i="30" l="1"/>
  <c r="B64" i="30" s="1"/>
  <c r="W60" i="21"/>
  <c r="X53" i="21" s="1"/>
  <c r="X60" i="21" s="1"/>
  <c r="W59" i="21"/>
  <c r="X52" i="21" s="1"/>
  <c r="X59" i="21" s="1"/>
  <c r="W58" i="21"/>
  <c r="X51" i="21" s="1"/>
  <c r="X58" i="21" s="1"/>
  <c r="S56" i="21"/>
  <c r="T49" i="21" s="1"/>
  <c r="Q62" i="21"/>
  <c r="Q64" i="21"/>
  <c r="C49" i="30" l="1"/>
  <c r="C56" i="30" s="1"/>
  <c r="Y51" i="21"/>
  <c r="Y52" i="21"/>
  <c r="Y53" i="21"/>
  <c r="R57" i="21"/>
  <c r="R64" i="21" s="1"/>
  <c r="Q61" i="21"/>
  <c r="D49" i="30" l="1"/>
  <c r="D56" i="30" s="1"/>
  <c r="C64" i="30"/>
  <c r="B61" i="30"/>
  <c r="C68" i="29"/>
  <c r="Y59" i="21"/>
  <c r="Z52" i="21" s="1"/>
  <c r="Y60" i="21"/>
  <c r="Z53" i="21" s="1"/>
  <c r="Y58" i="21"/>
  <c r="Z51" i="21" s="1"/>
  <c r="R62" i="21"/>
  <c r="S50" i="21"/>
  <c r="T56" i="21"/>
  <c r="U49" i="21" s="1"/>
  <c r="R61" i="21"/>
  <c r="AI42" i="11"/>
  <c r="AI43" i="11"/>
  <c r="AI44" i="11"/>
  <c r="AI45" i="11"/>
  <c r="AI46" i="11"/>
  <c r="X42" i="11"/>
  <c r="Y42" i="11"/>
  <c r="Z42" i="11"/>
  <c r="AA42" i="11"/>
  <c r="AB42" i="11"/>
  <c r="AC42" i="11"/>
  <c r="AD42" i="11"/>
  <c r="AE42" i="11"/>
  <c r="AF42" i="11"/>
  <c r="AG42" i="11"/>
  <c r="AH42" i="11"/>
  <c r="X43" i="11"/>
  <c r="Y43" i="11"/>
  <c r="Z43" i="11"/>
  <c r="AA43" i="11"/>
  <c r="AB43" i="11"/>
  <c r="AC43" i="11"/>
  <c r="AD43" i="11"/>
  <c r="AE43" i="11"/>
  <c r="AF43" i="11"/>
  <c r="AG43" i="11"/>
  <c r="AH43" i="11"/>
  <c r="X44" i="11"/>
  <c r="Y44" i="11"/>
  <c r="Z44" i="11"/>
  <c r="AA44" i="11"/>
  <c r="AB44" i="11"/>
  <c r="AC44" i="11"/>
  <c r="AD44" i="11"/>
  <c r="AE44" i="11"/>
  <c r="AF44" i="11"/>
  <c r="AG44" i="11"/>
  <c r="AH44" i="11"/>
  <c r="X45" i="11"/>
  <c r="Y45" i="11"/>
  <c r="Z45" i="11"/>
  <c r="AA45" i="11"/>
  <c r="AB45" i="11"/>
  <c r="AC45" i="11"/>
  <c r="AD45" i="11"/>
  <c r="AE45" i="11"/>
  <c r="AF45" i="11"/>
  <c r="AG45" i="11"/>
  <c r="AH45" i="11"/>
  <c r="X46" i="11"/>
  <c r="Y46" i="11"/>
  <c r="Z46" i="11"/>
  <c r="AA46" i="11"/>
  <c r="AB46" i="11"/>
  <c r="AC46" i="11"/>
  <c r="AD46" i="11"/>
  <c r="AE46" i="11"/>
  <c r="AF46" i="11"/>
  <c r="AG46" i="11"/>
  <c r="AH46" i="11"/>
  <c r="C61" i="30" l="1"/>
  <c r="D64" i="30"/>
  <c r="E4" i="30"/>
  <c r="F4" i="30" s="1"/>
  <c r="D26" i="5" s="1"/>
  <c r="D61" i="29"/>
  <c r="D68" i="29" s="1"/>
  <c r="B73" i="29"/>
  <c r="C76" i="29"/>
  <c r="Z58" i="21"/>
  <c r="AA51" i="21" s="1"/>
  <c r="Z60" i="21"/>
  <c r="AA53" i="21" s="1"/>
  <c r="Z59" i="21"/>
  <c r="AA52" i="21" s="1"/>
  <c r="S57" i="21"/>
  <c r="T50" i="21" s="1"/>
  <c r="E9" i="30" l="1"/>
  <c r="F9" i="30"/>
  <c r="D61" i="30"/>
  <c r="F4" i="29"/>
  <c r="G4" i="29" s="1"/>
  <c r="C26" i="5" s="1"/>
  <c r="D76" i="29"/>
  <c r="C73" i="29"/>
  <c r="AA59" i="21"/>
  <c r="AB52" i="21" s="1"/>
  <c r="AA60" i="21"/>
  <c r="AB53" i="21" s="1"/>
  <c r="AA58" i="21"/>
  <c r="AB51" i="21" s="1"/>
  <c r="U56" i="21"/>
  <c r="V49" i="21" s="1"/>
  <c r="S62" i="21"/>
  <c r="S64" i="21"/>
  <c r="D73" i="29" l="1"/>
  <c r="F9" i="29"/>
  <c r="G9" i="29"/>
  <c r="AB58" i="21"/>
  <c r="AC51" i="21" s="1"/>
  <c r="AB60" i="21"/>
  <c r="AC53" i="21" s="1"/>
  <c r="AB59" i="21"/>
  <c r="AC52" i="21" s="1"/>
  <c r="S61" i="21"/>
  <c r="T57" i="21"/>
  <c r="AC60" i="21" l="1"/>
  <c r="AD53" i="21" s="1"/>
  <c r="AC58" i="21"/>
  <c r="AD51" i="21" s="1"/>
  <c r="AC59" i="21"/>
  <c r="AD52" i="21" s="1"/>
  <c r="T62" i="21"/>
  <c r="U50" i="21"/>
  <c r="V56" i="21"/>
  <c r="W49" i="21" s="1"/>
  <c r="T64" i="21"/>
  <c r="AD59" i="21" l="1"/>
  <c r="AE52" i="21" s="1"/>
  <c r="AD58" i="21"/>
  <c r="AE51" i="21" s="1"/>
  <c r="AD60" i="21"/>
  <c r="AE53" i="21" s="1"/>
  <c r="T61" i="21"/>
  <c r="U57" i="21"/>
  <c r="U62" i="21" s="1"/>
  <c r="W56" i="21"/>
  <c r="X49" i="21" s="1"/>
  <c r="X56" i="21" s="1"/>
  <c r="Y49" i="21" l="1"/>
  <c r="AE60" i="21"/>
  <c r="AF53" i="21" s="1"/>
  <c r="AE58" i="21"/>
  <c r="AF51" i="21" s="1"/>
  <c r="AE59" i="21"/>
  <c r="AF52" i="21" s="1"/>
  <c r="V50" i="21"/>
  <c r="U64" i="21"/>
  <c r="AF59" i="21" l="1"/>
  <c r="AG52" i="21" s="1"/>
  <c r="AF58" i="21"/>
  <c r="AG51" i="21" s="1"/>
  <c r="AF60" i="21"/>
  <c r="AG53" i="21" s="1"/>
  <c r="Y56" i="21"/>
  <c r="Z49" i="21" s="1"/>
  <c r="U61" i="21"/>
  <c r="V57" i="21"/>
  <c r="W50" i="21" s="1"/>
  <c r="Z56" i="21" l="1"/>
  <c r="AG59" i="21"/>
  <c r="AH52" i="21" s="1"/>
  <c r="AG60" i="21"/>
  <c r="AH53" i="21" s="1"/>
  <c r="AG58" i="21"/>
  <c r="AH51" i="21" s="1"/>
  <c r="V62" i="21"/>
  <c r="V64" i="21"/>
  <c r="W57" i="21"/>
  <c r="X50" i="21" s="1"/>
  <c r="X57" i="21" s="1"/>
  <c r="X62" i="21" s="1"/>
  <c r="AH60" i="21" l="1"/>
  <c r="AH59" i="21"/>
  <c r="AH58" i="21"/>
  <c r="AA49" i="21"/>
  <c r="W62" i="21"/>
  <c r="W64" i="21"/>
  <c r="V61" i="21"/>
  <c r="Y50" i="21" l="1"/>
  <c r="X64" i="21"/>
  <c r="AA56" i="21"/>
  <c r="W61" i="21"/>
  <c r="X61" i="21" l="1"/>
  <c r="AB49" i="21"/>
  <c r="Y57" i="21"/>
  <c r="Y62" i="21" s="1"/>
  <c r="Z50" i="21" l="1"/>
  <c r="Y64" i="21"/>
  <c r="AB56" i="21"/>
  <c r="Y61" i="21" l="1"/>
  <c r="AC49" i="21"/>
  <c r="Z57" i="21"/>
  <c r="Z62" i="21" s="1"/>
  <c r="AC56" i="21" l="1"/>
  <c r="AA50" i="21"/>
  <c r="Z64" i="21"/>
  <c r="Z61" i="21" l="1"/>
  <c r="AA57" i="21"/>
  <c r="AA62" i="21" s="1"/>
  <c r="AD49" i="21"/>
  <c r="AB50" i="21" l="1"/>
  <c r="AB57" i="21" s="1"/>
  <c r="AD56" i="21"/>
  <c r="AE49" i="21" s="1"/>
  <c r="AA64" i="21"/>
  <c r="AB62" i="21" l="1"/>
  <c r="AC50" i="21"/>
  <c r="AC57" i="21" s="1"/>
  <c r="AC62" i="21" s="1"/>
  <c r="AA61" i="21"/>
  <c r="AB64" i="21"/>
  <c r="AB61" i="21" l="1"/>
  <c r="AC64" i="21"/>
  <c r="AE56" i="21"/>
  <c r="AF49" i="21" s="1"/>
  <c r="AD50" i="21"/>
  <c r="AF56" i="21" l="1"/>
  <c r="AG49" i="21" s="1"/>
  <c r="AD57" i="21"/>
  <c r="AD62" i="21" s="1"/>
  <c r="AC61" i="21"/>
  <c r="AD64" i="21" l="1"/>
  <c r="AG56" i="21"/>
  <c r="AE50" i="21"/>
  <c r="W42" i="11"/>
  <c r="R42" i="11"/>
  <c r="S42" i="11"/>
  <c r="T42" i="11"/>
  <c r="R43" i="11"/>
  <c r="S43" i="11"/>
  <c r="T43" i="11"/>
  <c r="U43" i="11"/>
  <c r="V43" i="11"/>
  <c r="W43" i="11"/>
  <c r="R44" i="11"/>
  <c r="S44" i="11"/>
  <c r="T44" i="11"/>
  <c r="U44" i="11"/>
  <c r="V44" i="11"/>
  <c r="W44" i="11"/>
  <c r="R45" i="11"/>
  <c r="S45" i="11"/>
  <c r="U45" i="11"/>
  <c r="V45" i="11"/>
  <c r="W45" i="11"/>
  <c r="R46" i="11"/>
  <c r="S46" i="11"/>
  <c r="T46" i="11"/>
  <c r="U46" i="11"/>
  <c r="V46" i="11"/>
  <c r="W46" i="11"/>
  <c r="Q43" i="11"/>
  <c r="C42" i="11"/>
  <c r="D42" i="11"/>
  <c r="E42" i="11"/>
  <c r="F42" i="11"/>
  <c r="G42" i="11"/>
  <c r="C43" i="11"/>
  <c r="D43" i="11"/>
  <c r="E43" i="11"/>
  <c r="F43" i="11"/>
  <c r="C44" i="11"/>
  <c r="D44" i="11"/>
  <c r="E44" i="11"/>
  <c r="C45" i="11"/>
  <c r="D45" i="11"/>
  <c r="E45" i="11"/>
  <c r="C46" i="11"/>
  <c r="D46" i="11"/>
  <c r="E46" i="11"/>
  <c r="B43" i="11"/>
  <c r="B44" i="11"/>
  <c r="B45" i="11"/>
  <c r="B46" i="11"/>
  <c r="B42" i="11"/>
  <c r="P33" i="11"/>
  <c r="P46" i="11" s="1"/>
  <c r="O33" i="11"/>
  <c r="O46" i="11" s="1"/>
  <c r="N33" i="11"/>
  <c r="N46" i="11" s="1"/>
  <c r="M33" i="11"/>
  <c r="M46" i="11" s="1"/>
  <c r="L33" i="11"/>
  <c r="L46" i="11" s="1"/>
  <c r="K33" i="11"/>
  <c r="K46" i="11" s="1"/>
  <c r="J33" i="11"/>
  <c r="J46" i="11" s="1"/>
  <c r="I33" i="11"/>
  <c r="I46" i="11" s="1"/>
  <c r="H33" i="11"/>
  <c r="H46" i="11" s="1"/>
  <c r="G33" i="11"/>
  <c r="G46" i="11" s="1"/>
  <c r="F33" i="11"/>
  <c r="F46" i="11" s="1"/>
  <c r="T45" i="11"/>
  <c r="P32" i="11"/>
  <c r="P45" i="11" s="1"/>
  <c r="O32" i="11"/>
  <c r="O45" i="11" s="1"/>
  <c r="N32" i="11"/>
  <c r="N45" i="11" s="1"/>
  <c r="M32" i="11"/>
  <c r="M45" i="11" s="1"/>
  <c r="L32" i="11"/>
  <c r="L45" i="11" s="1"/>
  <c r="K32" i="11"/>
  <c r="K45" i="11" s="1"/>
  <c r="J32" i="11"/>
  <c r="J45" i="11" s="1"/>
  <c r="I32" i="11"/>
  <c r="I45" i="11" s="1"/>
  <c r="H32" i="11"/>
  <c r="H45" i="11" s="1"/>
  <c r="G32" i="11"/>
  <c r="G45" i="11" s="1"/>
  <c r="F32" i="11"/>
  <c r="F45" i="11" s="1"/>
  <c r="P31" i="11"/>
  <c r="P44" i="11" s="1"/>
  <c r="O31" i="11"/>
  <c r="O44" i="11" s="1"/>
  <c r="N31" i="11"/>
  <c r="N44" i="11" s="1"/>
  <c r="M31" i="11"/>
  <c r="M44" i="11" s="1"/>
  <c r="L31" i="11"/>
  <c r="L44" i="11" s="1"/>
  <c r="K31" i="11"/>
  <c r="K44" i="11" s="1"/>
  <c r="J31" i="11"/>
  <c r="J44" i="11" s="1"/>
  <c r="I31" i="11"/>
  <c r="I44" i="11" s="1"/>
  <c r="H31" i="11"/>
  <c r="H44" i="11" s="1"/>
  <c r="G31" i="11"/>
  <c r="G44" i="11" s="1"/>
  <c r="F31" i="11"/>
  <c r="F44" i="11" s="1"/>
  <c r="P30" i="11"/>
  <c r="P43" i="11" s="1"/>
  <c r="O30" i="11"/>
  <c r="O43" i="11" s="1"/>
  <c r="N30" i="11"/>
  <c r="N43" i="11" s="1"/>
  <c r="M30" i="11"/>
  <c r="M43" i="11" s="1"/>
  <c r="L30" i="11"/>
  <c r="L43" i="11" s="1"/>
  <c r="K30" i="11"/>
  <c r="K43" i="11" s="1"/>
  <c r="J30" i="11"/>
  <c r="J43" i="11" s="1"/>
  <c r="I30" i="11"/>
  <c r="I43" i="11" s="1"/>
  <c r="H30" i="11"/>
  <c r="H43" i="11" s="1"/>
  <c r="G30" i="11"/>
  <c r="G43" i="11" s="1"/>
  <c r="V42" i="11"/>
  <c r="U42" i="11"/>
  <c r="P29" i="11"/>
  <c r="P42" i="11" s="1"/>
  <c r="O42" i="11"/>
  <c r="N29" i="11"/>
  <c r="N42" i="11" s="1"/>
  <c r="M29" i="11"/>
  <c r="M42" i="11" s="1"/>
  <c r="L29" i="11"/>
  <c r="L42" i="11" s="1"/>
  <c r="K29" i="11"/>
  <c r="K42" i="11" s="1"/>
  <c r="J29" i="11"/>
  <c r="J42" i="11" s="1"/>
  <c r="I29" i="11"/>
  <c r="I42" i="11" s="1"/>
  <c r="H29" i="11"/>
  <c r="H42" i="11" s="1"/>
  <c r="A36" i="11"/>
  <c r="AD61" i="21" l="1"/>
  <c r="AE57" i="21"/>
  <c r="AH49" i="21"/>
  <c r="Q42" i="11"/>
  <c r="Q46" i="11"/>
  <c r="Q45" i="11"/>
  <c r="Q44" i="11"/>
  <c r="AH56" i="21" l="1"/>
  <c r="AE62" i="21"/>
  <c r="AE64" i="21"/>
  <c r="AF50" i="21"/>
  <c r="AF57" i="21" l="1"/>
  <c r="AF62" i="21" s="1"/>
  <c r="AE61" i="21"/>
  <c r="AF64" i="21" l="1"/>
  <c r="AG50" i="21"/>
  <c r="AF61" i="21" l="1"/>
  <c r="AG57" i="21"/>
  <c r="AG62" i="21" l="1"/>
  <c r="AG64" i="21"/>
  <c r="AH50" i="21"/>
  <c r="AH57" i="21" l="1"/>
  <c r="AH62" i="21" s="1"/>
  <c r="AG61" i="21"/>
  <c r="AH64" i="21" l="1"/>
  <c r="AH61" i="21" l="1"/>
  <c r="C9" i="5" l="1"/>
  <c r="D9" i="5"/>
  <c r="G8" i="5"/>
  <c r="G7" i="5"/>
  <c r="G6" i="5"/>
  <c r="G5" i="5"/>
  <c r="B53" i="11"/>
  <c r="B52" i="11"/>
  <c r="B51" i="11"/>
  <c r="B50" i="11"/>
  <c r="B49" i="11"/>
  <c r="C14" i="11"/>
  <c r="D14" i="11" s="1"/>
  <c r="E14" i="11" s="1"/>
  <c r="F14" i="11" s="1"/>
  <c r="G14" i="11" s="1"/>
  <c r="H14" i="11" s="1"/>
  <c r="I14" i="11" s="1"/>
  <c r="J14" i="11" s="1"/>
  <c r="K14" i="11" s="1"/>
  <c r="B10" i="4"/>
  <c r="B58" i="11" l="1"/>
  <c r="C51" i="11" s="1"/>
  <c r="C58" i="11" s="1"/>
  <c r="D51" i="11" s="1"/>
  <c r="B60" i="11"/>
  <c r="C53" i="11" s="1"/>
  <c r="C60" i="11" s="1"/>
  <c r="D53" i="11" s="1"/>
  <c r="L14" i="11"/>
  <c r="M14" i="11" s="1"/>
  <c r="N14" i="11" s="1"/>
  <c r="O14" i="11" s="1"/>
  <c r="P14" i="11" s="1"/>
  <c r="Q14" i="11" s="1"/>
  <c r="R14" i="11" s="1"/>
  <c r="S14" i="11" s="1"/>
  <c r="T14" i="11" s="1"/>
  <c r="U14" i="11" s="1"/>
  <c r="V14" i="11" s="1"/>
  <c r="W14" i="11" s="1"/>
  <c r="B56" i="11"/>
  <c r="J21" i="5"/>
  <c r="B57" i="11"/>
  <c r="C50" i="11" s="1"/>
  <c r="C57" i="11" s="1"/>
  <c r="B59" i="11"/>
  <c r="C52" i="11" s="1"/>
  <c r="C59" i="11" s="1"/>
  <c r="D52" i="11" s="1"/>
  <c r="G4" i="5"/>
  <c r="H32" i="13"/>
  <c r="X14" i="11" l="1"/>
  <c r="Y14" i="11" s="1"/>
  <c r="Z14" i="11" s="1"/>
  <c r="AA14" i="11" s="1"/>
  <c r="AB14" i="11" s="1"/>
  <c r="AC14" i="11" s="1"/>
  <c r="AD14" i="11" s="1"/>
  <c r="AE14" i="11" s="1"/>
  <c r="AF14" i="11" s="1"/>
  <c r="AG14" i="11" s="1"/>
  <c r="AH14" i="11" s="1"/>
  <c r="AI14" i="11" s="1"/>
  <c r="C49" i="11"/>
  <c r="C56" i="11" s="1"/>
  <c r="C62" i="11" s="1"/>
  <c r="B64" i="11"/>
  <c r="B61" i="11" s="1"/>
  <c r="D50" i="11"/>
  <c r="D57" i="11" s="1"/>
  <c r="E50" i="11" s="1"/>
  <c r="B62" i="11"/>
  <c r="D59" i="11"/>
  <c r="D58" i="11"/>
  <c r="D60" i="11"/>
  <c r="AJ14" i="11" l="1"/>
  <c r="AK14" i="11" s="1"/>
  <c r="AL14" i="11" s="1"/>
  <c r="AM14" i="11" s="1"/>
  <c r="AN14" i="11" s="1"/>
  <c r="AO14" i="11" s="1"/>
  <c r="AP14" i="11" s="1"/>
  <c r="AQ14" i="11" s="1"/>
  <c r="AR14" i="11" s="1"/>
  <c r="AS14" i="11" s="1"/>
  <c r="AT14" i="11" s="1"/>
  <c r="AU14" i="11" s="1"/>
  <c r="AV14" i="11" s="1"/>
  <c r="AW14" i="11" s="1"/>
  <c r="AX14" i="11" s="1"/>
  <c r="AY14" i="11" s="1"/>
  <c r="AZ14" i="11" s="1"/>
  <c r="BA14" i="11" s="1"/>
  <c r="BB14" i="11" s="1"/>
  <c r="BC14" i="11" s="1"/>
  <c r="BD14" i="11" s="1"/>
  <c r="BE14" i="11" s="1"/>
  <c r="BF14" i="11" s="1"/>
  <c r="BG14" i="11" s="1"/>
  <c r="D49" i="11"/>
  <c r="D56" i="11" s="1"/>
  <c r="E49" i="11" s="1"/>
  <c r="E56" i="11" s="1"/>
  <c r="F49" i="11" s="1"/>
  <c r="C64" i="11"/>
  <c r="C61" i="11" s="1"/>
  <c r="E52" i="11"/>
  <c r="E57" i="11"/>
  <c r="F50" i="11" s="1"/>
  <c r="E53" i="11"/>
  <c r="E51" i="11"/>
  <c r="BH14" i="11" l="1"/>
  <c r="BI14" i="11" s="1"/>
  <c r="BJ14" i="11" s="1"/>
  <c r="BK14" i="11" s="1"/>
  <c r="BL14" i="11" s="1"/>
  <c r="BM14" i="11" s="1"/>
  <c r="BN14" i="11" s="1"/>
  <c r="BO14" i="11" s="1"/>
  <c r="BP14" i="11" s="1"/>
  <c r="BQ14" i="11" s="1"/>
  <c r="BR14" i="11" s="1"/>
  <c r="BS14" i="11" s="1"/>
  <c r="D62" i="11"/>
  <c r="D64" i="11"/>
  <c r="D61" i="11" s="1"/>
  <c r="E60" i="11"/>
  <c r="F53" i="11" s="1"/>
  <c r="F57" i="11"/>
  <c r="G50" i="11" s="1"/>
  <c r="E58" i="11"/>
  <c r="F51" i="11" s="1"/>
  <c r="E59" i="11"/>
  <c r="F52" i="11" s="1"/>
  <c r="F56" i="11"/>
  <c r="G49" i="11" s="1"/>
  <c r="BT14" i="11" l="1"/>
  <c r="BU14" i="11" s="1"/>
  <c r="BV14" i="11" s="1"/>
  <c r="BW14" i="11" s="1"/>
  <c r="BX14" i="11" s="1"/>
  <c r="BY14" i="11" s="1"/>
  <c r="BZ14" i="11" s="1"/>
  <c r="CA14" i="11" s="1"/>
  <c r="CB14" i="11" s="1"/>
  <c r="CC14" i="11" s="1"/>
  <c r="CD14" i="11" s="1"/>
  <c r="CE14" i="11" s="1"/>
  <c r="CF14" i="11" s="1"/>
  <c r="CG14" i="11" s="1"/>
  <c r="CH14" i="11" s="1"/>
  <c r="CI14" i="11" s="1"/>
  <c r="CJ14" i="11" s="1"/>
  <c r="CK14" i="11" s="1"/>
  <c r="CL14" i="11" s="1"/>
  <c r="CM14" i="11" s="1"/>
  <c r="CN14" i="11" s="1"/>
  <c r="CO14" i="11" s="1"/>
  <c r="CP14" i="11" s="1"/>
  <c r="CQ14" i="11" s="1"/>
  <c r="E62" i="11"/>
  <c r="G57" i="11"/>
  <c r="H50" i="11" s="1"/>
  <c r="F58" i="11"/>
  <c r="G51" i="11" s="1"/>
  <c r="F59" i="11"/>
  <c r="E64" i="11"/>
  <c r="F60" i="11"/>
  <c r="G53" i="11" s="1"/>
  <c r="G56" i="11"/>
  <c r="F62" i="11" l="1"/>
  <c r="E61" i="11"/>
  <c r="F64" i="11"/>
  <c r="G58" i="11"/>
  <c r="H51" i="11" s="1"/>
  <c r="H57" i="11"/>
  <c r="I50" i="11" s="1"/>
  <c r="G52" i="11"/>
  <c r="H49" i="11"/>
  <c r="G60" i="11"/>
  <c r="H53" i="11" s="1"/>
  <c r="H60" i="11" l="1"/>
  <c r="I53" i="11" s="1"/>
  <c r="G59" i="11"/>
  <c r="G62" i="11" s="1"/>
  <c r="H58" i="11"/>
  <c r="I51" i="11" s="1"/>
  <c r="F61" i="11"/>
  <c r="H56" i="11"/>
  <c r="I49" i="11" s="1"/>
  <c r="I57" i="11"/>
  <c r="J50" i="11" s="1"/>
  <c r="G64" i="11" l="1"/>
  <c r="H52" i="11"/>
  <c r="H59" i="11" s="1"/>
  <c r="I60" i="11"/>
  <c r="J53" i="11" s="1"/>
  <c r="I56" i="11"/>
  <c r="J49" i="11" s="1"/>
  <c r="I58" i="11"/>
  <c r="J51" i="11" s="1"/>
  <c r="J57" i="11"/>
  <c r="K50" i="11" s="1"/>
  <c r="G61" i="11" l="1"/>
  <c r="H64" i="11"/>
  <c r="I52" i="11"/>
  <c r="I59" i="11" s="1"/>
  <c r="J52" i="11" s="1"/>
  <c r="H62" i="11"/>
  <c r="J58" i="11"/>
  <c r="K51" i="11" s="1"/>
  <c r="J56" i="11"/>
  <c r="K49" i="11" s="1"/>
  <c r="J60" i="11"/>
  <c r="K53" i="11" s="1"/>
  <c r="K57" i="11"/>
  <c r="H61" i="11" l="1"/>
  <c r="L50" i="11"/>
  <c r="L57" i="11" s="1"/>
  <c r="M50" i="11" s="1"/>
  <c r="J59" i="11"/>
  <c r="K52" i="11" s="1"/>
  <c r="I64" i="11"/>
  <c r="K56" i="11"/>
  <c r="L49" i="11" s="1"/>
  <c r="I62" i="11"/>
  <c r="K58" i="11"/>
  <c r="K60" i="11"/>
  <c r="L53" i="11" l="1"/>
  <c r="L60" i="11" s="1"/>
  <c r="M53" i="11" s="1"/>
  <c r="M60" i="11" s="1"/>
  <c r="N53" i="11" s="1"/>
  <c r="L56" i="11"/>
  <c r="M49" i="11" s="1"/>
  <c r="M57" i="11"/>
  <c r="N50" i="11" s="1"/>
  <c r="L51" i="11"/>
  <c r="L58" i="11" s="1"/>
  <c r="M51" i="11" s="1"/>
  <c r="J62" i="11"/>
  <c r="K59" i="11"/>
  <c r="I61" i="11"/>
  <c r="J64" i="11"/>
  <c r="N57" i="11" l="1"/>
  <c r="N60" i="11"/>
  <c r="M58" i="11"/>
  <c r="N51" i="11" s="1"/>
  <c r="M56" i="11"/>
  <c r="N49" i="11" s="1"/>
  <c r="L52" i="11"/>
  <c r="L59" i="11" s="1"/>
  <c r="M52" i="11" s="1"/>
  <c r="M59" i="11" s="1"/>
  <c r="N52" i="11" s="1"/>
  <c r="K62" i="11"/>
  <c r="J61" i="11"/>
  <c r="K64" i="11"/>
  <c r="L62" i="11" l="1"/>
  <c r="L64" i="11"/>
  <c r="N56" i="11"/>
  <c r="N58" i="11"/>
  <c r="N59" i="11"/>
  <c r="M62" i="11"/>
  <c r="K61" i="11"/>
  <c r="L61" i="11" l="1"/>
  <c r="M64" i="11"/>
  <c r="N62" i="11"/>
  <c r="M61" i="11" l="1"/>
  <c r="N64" i="11"/>
  <c r="N61" i="11" l="1"/>
  <c r="B8" i="11" l="1"/>
  <c r="O53" i="11" l="1"/>
  <c r="O60" i="11" s="1"/>
  <c r="B5" i="11"/>
  <c r="O50" i="11"/>
  <c r="O57" i="11" s="1"/>
  <c r="P53" i="11" l="1"/>
  <c r="P60" i="11" s="1"/>
  <c r="Q53" i="11" s="1"/>
  <c r="Q60" i="11" s="1"/>
  <c r="R53" i="11" s="1"/>
  <c r="R60" i="11" s="1"/>
  <c r="S53" i="11" s="1"/>
  <c r="S60" i="11" s="1"/>
  <c r="T53" i="11" s="1"/>
  <c r="T60" i="11" s="1"/>
  <c r="U53" i="11" s="1"/>
  <c r="U60" i="11" s="1"/>
  <c r="V53" i="11" s="1"/>
  <c r="V60" i="11" s="1"/>
  <c r="W53" i="11" s="1"/>
  <c r="B7" i="11"/>
  <c r="O52" i="11"/>
  <c r="O59" i="11" s="1"/>
  <c r="P52" i="11" s="1"/>
  <c r="P59" i="11" s="1"/>
  <c r="Q52" i="11" s="1"/>
  <c r="Q59" i="11" s="1"/>
  <c r="R52" i="11" s="1"/>
  <c r="R59" i="11" s="1"/>
  <c r="S52" i="11" s="1"/>
  <c r="S59" i="11" s="1"/>
  <c r="T52" i="11" s="1"/>
  <c r="T59" i="11" s="1"/>
  <c r="U52" i="11" s="1"/>
  <c r="U59" i="11" s="1"/>
  <c r="V52" i="11" s="1"/>
  <c r="P50" i="11"/>
  <c r="W60" i="11" l="1"/>
  <c r="X53" i="11" s="1"/>
  <c r="V59" i="11"/>
  <c r="W52" i="11" s="1"/>
  <c r="P57" i="11"/>
  <c r="Q50" i="11" s="1"/>
  <c r="Q57" i="11" s="1"/>
  <c r="R50" i="11" s="1"/>
  <c r="R57" i="11" s="1"/>
  <c r="S50" i="11" s="1"/>
  <c r="S57" i="11" s="1"/>
  <c r="T50" i="11" s="1"/>
  <c r="T57" i="11" s="1"/>
  <c r="U50" i="11" s="1"/>
  <c r="X60" i="11" l="1"/>
  <c r="W59" i="11"/>
  <c r="X52" i="11" s="1"/>
  <c r="U57" i="11"/>
  <c r="V50" i="11" s="1"/>
  <c r="V57" i="11" s="1"/>
  <c r="W50" i="11" s="1"/>
  <c r="X59" i="11" l="1"/>
  <c r="Y52" i="11" s="1"/>
  <c r="Y59" i="11" s="1"/>
  <c r="Z52" i="11" s="1"/>
  <c r="Z59" i="11" s="1"/>
  <c r="AA52" i="11" s="1"/>
  <c r="Y53" i="11"/>
  <c r="W57" i="11"/>
  <c r="X50" i="11" l="1"/>
  <c r="AA59" i="11"/>
  <c r="AB52" i="11" s="1"/>
  <c r="Y60" i="11"/>
  <c r="Z53" i="11" s="1"/>
  <c r="Z60" i="11" s="1"/>
  <c r="AA53" i="11" s="1"/>
  <c r="AA60" i="11" s="1"/>
  <c r="AB53" i="11" s="1"/>
  <c r="AB60" i="11" l="1"/>
  <c r="AC53" i="11" s="1"/>
  <c r="X57" i="11"/>
  <c r="Y50" i="11" s="1"/>
  <c r="Y57" i="11" s="1"/>
  <c r="Z50" i="11" s="1"/>
  <c r="AB59" i="11"/>
  <c r="AC52" i="11" s="1"/>
  <c r="AC59" i="11" s="1"/>
  <c r="AD52" i="11" s="1"/>
  <c r="AD59" i="11" s="1"/>
  <c r="AE52" i="11" s="1"/>
  <c r="Z57" i="11" l="1"/>
  <c r="AA50" i="11" s="1"/>
  <c r="AA57" i="11" s="1"/>
  <c r="AB50" i="11" s="1"/>
  <c r="AB57" i="11" s="1"/>
  <c r="AC50" i="11" s="1"/>
  <c r="AE59" i="11"/>
  <c r="AC60" i="11"/>
  <c r="AD53" i="11" s="1"/>
  <c r="AC57" i="11" l="1"/>
  <c r="AD50" i="11" s="1"/>
  <c r="AD60" i="11"/>
  <c r="AE53" i="11" s="1"/>
  <c r="AE60" i="11" s="1"/>
  <c r="AF53" i="11" s="1"/>
  <c r="AF52" i="11"/>
  <c r="AF59" i="11" l="1"/>
  <c r="AG52" i="11" s="1"/>
  <c r="AG59" i="11" s="1"/>
  <c r="AH52" i="11" s="1"/>
  <c r="AD57" i="11"/>
  <c r="AF60" i="11"/>
  <c r="AG53" i="11" s="1"/>
  <c r="AH59" i="11" l="1"/>
  <c r="AI52" i="11" s="1"/>
  <c r="AG60" i="11"/>
  <c r="AH53" i="11" s="1"/>
  <c r="AE50" i="11"/>
  <c r="AE57" i="11" s="1"/>
  <c r="AF50" i="11" s="1"/>
  <c r="AF57" i="11" s="1"/>
  <c r="AG50" i="11" s="1"/>
  <c r="AI59" i="11" l="1"/>
  <c r="AJ52" i="11" s="1"/>
  <c r="AH60" i="11"/>
  <c r="AI53" i="11" s="1"/>
  <c r="AG57" i="11"/>
  <c r="AH50" i="11" s="1"/>
  <c r="AJ59" i="11" l="1"/>
  <c r="AK52" i="11" s="1"/>
  <c r="AI60" i="11"/>
  <c r="AJ53" i="11" s="1"/>
  <c r="AH57" i="11"/>
  <c r="AI50" i="11" s="1"/>
  <c r="O49" i="11"/>
  <c r="O56" i="11" s="1"/>
  <c r="P49" i="11" s="1"/>
  <c r="AJ60" i="11" l="1"/>
  <c r="AK53" i="11" s="1"/>
  <c r="AK59" i="11"/>
  <c r="AI57" i="11"/>
  <c r="AJ50" i="11" s="1"/>
  <c r="P56" i="11"/>
  <c r="Q49" i="11" s="1"/>
  <c r="Q56" i="11" s="1"/>
  <c r="AK60" i="11" l="1"/>
  <c r="AL53" i="11" s="1"/>
  <c r="AL52" i="11"/>
  <c r="AJ57" i="11"/>
  <c r="AK50" i="11" s="1"/>
  <c r="R49" i="11"/>
  <c r="AK57" i="11" l="1"/>
  <c r="AL50" i="11" s="1"/>
  <c r="AL60" i="11"/>
  <c r="AL59" i="11"/>
  <c r="R56" i="11"/>
  <c r="S49" i="11" s="1"/>
  <c r="S56" i="11" s="1"/>
  <c r="AL57" i="11" l="1"/>
  <c r="AM53" i="11"/>
  <c r="AM52" i="11"/>
  <c r="T49" i="11"/>
  <c r="T56" i="11" s="1"/>
  <c r="AM59" i="11" l="1"/>
  <c r="AM60" i="11"/>
  <c r="AN53" i="11" s="1"/>
  <c r="AM50" i="11"/>
  <c r="U49" i="11"/>
  <c r="U56" i="11" s="1"/>
  <c r="AN60" i="11" l="1"/>
  <c r="AM57" i="11"/>
  <c r="AN50" i="11" s="1"/>
  <c r="AN52" i="11"/>
  <c r="V49" i="11"/>
  <c r="AN57" i="11" l="1"/>
  <c r="AO50" i="11" s="1"/>
  <c r="AN59" i="11"/>
  <c r="AO52" i="11" s="1"/>
  <c r="AO53" i="11"/>
  <c r="V56" i="11"/>
  <c r="W49" i="11" s="1"/>
  <c r="AO59" i="11" l="1"/>
  <c r="AP52" i="11" s="1"/>
  <c r="AO57" i="11"/>
  <c r="AO60" i="11"/>
  <c r="W56" i="11"/>
  <c r="AP59" i="11" l="1"/>
  <c r="AQ52" i="11" s="1"/>
  <c r="AP50" i="11"/>
  <c r="AP53" i="11"/>
  <c r="X49" i="11"/>
  <c r="AQ59" i="11" l="1"/>
  <c r="AR52" i="11" s="1"/>
  <c r="AP60" i="11"/>
  <c r="AP57" i="11"/>
  <c r="AQ50" i="11" s="1"/>
  <c r="X56" i="11"/>
  <c r="Y49" i="11" s="1"/>
  <c r="AQ57" i="11" l="1"/>
  <c r="AR50" i="11" s="1"/>
  <c r="AR57" i="11" s="1"/>
  <c r="AR59" i="11"/>
  <c r="AS52" i="11" s="1"/>
  <c r="AQ53" i="11"/>
  <c r="Y56" i="11"/>
  <c r="AS59" i="11" l="1"/>
  <c r="AT52" i="11" s="1"/>
  <c r="AS50" i="11"/>
  <c r="AQ60" i="11"/>
  <c r="AR53" i="11" s="1"/>
  <c r="Z49" i="11"/>
  <c r="B6" i="11"/>
  <c r="B9" i="11" s="1"/>
  <c r="O51" i="11"/>
  <c r="O58" i="11" s="1"/>
  <c r="AR60" i="11" l="1"/>
  <c r="AS53" i="11" s="1"/>
  <c r="AS57" i="11"/>
  <c r="AT50" i="11" s="1"/>
  <c r="AT59" i="11"/>
  <c r="AU52" i="11" s="1"/>
  <c r="Z56" i="11"/>
  <c r="AA49" i="11" s="1"/>
  <c r="O64" i="11"/>
  <c r="P51" i="11"/>
  <c r="P58" i="11" s="1"/>
  <c r="O62" i="11"/>
  <c r="O61" i="11" l="1"/>
  <c r="AU59" i="11"/>
  <c r="AT57" i="11"/>
  <c r="AU50" i="11" s="1"/>
  <c r="AS60" i="11"/>
  <c r="AT53" i="11" s="1"/>
  <c r="AA56" i="11"/>
  <c r="AB49" i="11" s="1"/>
  <c r="Q51" i="11"/>
  <c r="Q58" i="11" s="1"/>
  <c r="P62" i="11"/>
  <c r="P64" i="11"/>
  <c r="AU57" i="11" l="1"/>
  <c r="AT60" i="11"/>
  <c r="AU53" i="11" s="1"/>
  <c r="AB56" i="11"/>
  <c r="P61" i="11"/>
  <c r="Q64" i="11"/>
  <c r="R51" i="11"/>
  <c r="Q62" i="11"/>
  <c r="AV50" i="11" l="1"/>
  <c r="AV57" i="11" s="1"/>
  <c r="AW50" i="11" s="1"/>
  <c r="AW57" i="11" s="1"/>
  <c r="AX50" i="11" s="1"/>
  <c r="AX57" i="11" s="1"/>
  <c r="AY50" i="11" s="1"/>
  <c r="AY57" i="11" s="1"/>
  <c r="AZ50" i="11" s="1"/>
  <c r="AZ57" i="11" s="1"/>
  <c r="BA50" i="11" s="1"/>
  <c r="BA57" i="11" s="1"/>
  <c r="BB50" i="11" s="1"/>
  <c r="BB57" i="11" s="1"/>
  <c r="BC50" i="11" s="1"/>
  <c r="BC57" i="11" s="1"/>
  <c r="BD50" i="11" s="1"/>
  <c r="BD57" i="11" s="1"/>
  <c r="BE50" i="11" s="1"/>
  <c r="BE57" i="11" s="1"/>
  <c r="BF50" i="11" s="1"/>
  <c r="AU60" i="11"/>
  <c r="AC49" i="11"/>
  <c r="R58" i="11"/>
  <c r="S51" i="11" s="1"/>
  <c r="S58" i="11" s="1"/>
  <c r="Q61" i="11"/>
  <c r="R64" i="11" l="1"/>
  <c r="R61" i="11" s="1"/>
  <c r="BF57" i="11"/>
  <c r="BG50" i="11" s="1"/>
  <c r="AV53" i="11"/>
  <c r="AV60" i="11" s="1"/>
  <c r="AW53" i="11" s="1"/>
  <c r="AW60" i="11" s="1"/>
  <c r="AX53" i="11" s="1"/>
  <c r="AX60" i="11" s="1"/>
  <c r="AY53" i="11" s="1"/>
  <c r="AY60" i="11" s="1"/>
  <c r="AZ53" i="11" s="1"/>
  <c r="AZ60" i="11" s="1"/>
  <c r="BA53" i="11" s="1"/>
  <c r="BA60" i="11" s="1"/>
  <c r="BB53" i="11" s="1"/>
  <c r="BB60" i="11" s="1"/>
  <c r="BC53" i="11" s="1"/>
  <c r="BC60" i="11" s="1"/>
  <c r="BD53" i="11" s="1"/>
  <c r="BD60" i="11" s="1"/>
  <c r="BE53" i="11" s="1"/>
  <c r="BE60" i="11" s="1"/>
  <c r="BF53" i="11" s="1"/>
  <c r="AC56" i="11"/>
  <c r="AD49" i="11" s="1"/>
  <c r="T51" i="11"/>
  <c r="T58" i="11" s="1"/>
  <c r="S62" i="11"/>
  <c r="R62" i="11"/>
  <c r="S64" i="11" l="1"/>
  <c r="S61" i="11" s="1"/>
  <c r="BG57" i="11"/>
  <c r="BF60" i="11"/>
  <c r="BG53" i="11" s="1"/>
  <c r="AD56" i="11"/>
  <c r="AE49" i="11" s="1"/>
  <c r="U51" i="11"/>
  <c r="U58" i="11" s="1"/>
  <c r="T62" i="11"/>
  <c r="T64" i="11" l="1"/>
  <c r="T61" i="11" s="1"/>
  <c r="BH50" i="11"/>
  <c r="BG60" i="11"/>
  <c r="BH53" i="11" s="1"/>
  <c r="AE56" i="11"/>
  <c r="AF49" i="11" s="1"/>
  <c r="U64" i="11"/>
  <c r="V51" i="11"/>
  <c r="V58" i="11" s="1"/>
  <c r="U62" i="11"/>
  <c r="BH60" i="11" l="1"/>
  <c r="BI53" i="11" s="1"/>
  <c r="BH57" i="11"/>
  <c r="BI50" i="11" s="1"/>
  <c r="AF56" i="11"/>
  <c r="AG49" i="11" s="1"/>
  <c r="W51" i="11"/>
  <c r="V62" i="11"/>
  <c r="U61" i="11"/>
  <c r="V64" i="11"/>
  <c r="BI60" i="11" l="1"/>
  <c r="BJ53" i="11" s="1"/>
  <c r="BI57" i="11"/>
  <c r="BJ50" i="11" s="1"/>
  <c r="AG56" i="11"/>
  <c r="AH49" i="11" s="1"/>
  <c r="W58" i="11"/>
  <c r="X51" i="11" s="1"/>
  <c r="X58" i="11" s="1"/>
  <c r="X62" i="11" s="1"/>
  <c r="V61" i="11"/>
  <c r="BJ57" i="11" l="1"/>
  <c r="BK50" i="11" s="1"/>
  <c r="BJ60" i="11"/>
  <c r="BK53" i="11" s="1"/>
  <c r="AH56" i="11"/>
  <c r="AI49" i="11" s="1"/>
  <c r="Y51" i="11"/>
  <c r="Y58" i="11" s="1"/>
  <c r="W62" i="11"/>
  <c r="W64" i="11"/>
  <c r="BK60" i="11" l="1"/>
  <c r="BL53" i="11" s="1"/>
  <c r="BK57" i="11"/>
  <c r="BL50" i="11" s="1"/>
  <c r="W61" i="11"/>
  <c r="AI56" i="11"/>
  <c r="AJ49" i="11" s="1"/>
  <c r="X64" i="11"/>
  <c r="Z51" i="11"/>
  <c r="Z58" i="11" s="1"/>
  <c r="Y62" i="11"/>
  <c r="BL57" i="11" l="1"/>
  <c r="BM50" i="11" s="1"/>
  <c r="BL60" i="11"/>
  <c r="BM53" i="11" s="1"/>
  <c r="X61" i="11"/>
  <c r="AJ56" i="11"/>
  <c r="AK49" i="11" s="1"/>
  <c r="Y64" i="11"/>
  <c r="AA51" i="11"/>
  <c r="Z62" i="11"/>
  <c r="BM57" i="11" l="1"/>
  <c r="BN50" i="11" s="1"/>
  <c r="BM60" i="11"/>
  <c r="BN53" i="11" s="1"/>
  <c r="Y61" i="11"/>
  <c r="Z64" i="11"/>
  <c r="AK56" i="11"/>
  <c r="AA58" i="11"/>
  <c r="AB51" i="11" s="1"/>
  <c r="BN60" i="11" l="1"/>
  <c r="BO53" i="11" s="1"/>
  <c r="BN57" i="11"/>
  <c r="BO50" i="11" s="1"/>
  <c r="Z61" i="11"/>
  <c r="AL49" i="11"/>
  <c r="AB58" i="11"/>
  <c r="AC51" i="11" s="1"/>
  <c r="AC58" i="11" s="1"/>
  <c r="AA64" i="11"/>
  <c r="AA62" i="11"/>
  <c r="BO57" i="11" l="1"/>
  <c r="BP50" i="11" s="1"/>
  <c r="BO60" i="11"/>
  <c r="BP53" i="11" s="1"/>
  <c r="AA61" i="11"/>
  <c r="AL56" i="11"/>
  <c r="AD51" i="11"/>
  <c r="AC62" i="11"/>
  <c r="AB62" i="11"/>
  <c r="AB64" i="11"/>
  <c r="BP60" i="11" l="1"/>
  <c r="BQ53" i="11" s="1"/>
  <c r="BP57" i="11"/>
  <c r="BQ50" i="11" s="1"/>
  <c r="AB61" i="11"/>
  <c r="AM49" i="11"/>
  <c r="AC64" i="11"/>
  <c r="AD58" i="11"/>
  <c r="AE51" i="11" s="1"/>
  <c r="BQ60" i="11" l="1"/>
  <c r="BR53" i="11" s="1"/>
  <c r="BQ57" i="11"/>
  <c r="BR50" i="11" s="1"/>
  <c r="AC61" i="11"/>
  <c r="AM56" i="11"/>
  <c r="AE58" i="11"/>
  <c r="AD64" i="11"/>
  <c r="AD62" i="11"/>
  <c r="BR57" i="11" l="1"/>
  <c r="BR60" i="11"/>
  <c r="AD61" i="11"/>
  <c r="AN49" i="11"/>
  <c r="AE64" i="11"/>
  <c r="AE62" i="11"/>
  <c r="AF51" i="11"/>
  <c r="AF58" i="11" s="1"/>
  <c r="AE61" i="11" l="1"/>
  <c r="AN56" i="11"/>
  <c r="AG51" i="11"/>
  <c r="AG58" i="11" s="1"/>
  <c r="AF64" i="11"/>
  <c r="AF62" i="11"/>
  <c r="AF61" i="11" l="1"/>
  <c r="AO49" i="11"/>
  <c r="AH51" i="11"/>
  <c r="AG62" i="11"/>
  <c r="AG64" i="11"/>
  <c r="AG61" i="11" l="1"/>
  <c r="AO56" i="11"/>
  <c r="AH58" i="11"/>
  <c r="AI51" i="11" s="1"/>
  <c r="AH64" i="11" l="1"/>
  <c r="AH61" i="11" s="1"/>
  <c r="AH62" i="11"/>
  <c r="AP49" i="11"/>
  <c r="AI58" i="11"/>
  <c r="AJ51" i="11" s="1"/>
  <c r="AI62" i="11" l="1"/>
  <c r="AI64" i="11"/>
  <c r="AP56" i="11"/>
  <c r="AJ58" i="11"/>
  <c r="AK51" i="11" s="1"/>
  <c r="AI61" i="11" l="1"/>
  <c r="AJ62" i="11"/>
  <c r="AJ64" i="11"/>
  <c r="AK58" i="11"/>
  <c r="AL51" i="11" s="1"/>
  <c r="AQ49" i="11"/>
  <c r="AJ61" i="11" l="1"/>
  <c r="AL58" i="11"/>
  <c r="AQ56" i="11"/>
  <c r="AK62" i="11"/>
  <c r="AK64" i="11"/>
  <c r="AK61" i="11" l="1"/>
  <c r="AL64" i="11"/>
  <c r="AL62" i="11"/>
  <c r="AR49" i="11"/>
  <c r="AM51" i="11"/>
  <c r="AL61" i="11" l="1"/>
  <c r="AR56" i="11"/>
  <c r="AS49" i="11" s="1"/>
  <c r="AS56" i="11" s="1"/>
  <c r="AM58" i="11"/>
  <c r="AM64" i="11" l="1"/>
  <c r="AM62" i="11"/>
  <c r="AN51" i="11"/>
  <c r="AM61" i="11" l="1"/>
  <c r="AN58" i="11"/>
  <c r="AT49" i="11"/>
  <c r="AN64" i="11" l="1"/>
  <c r="AN62" i="11"/>
  <c r="AO51" i="11"/>
  <c r="AT56" i="11"/>
  <c r="AN61" i="11" l="1"/>
  <c r="AO58" i="11"/>
  <c r="AU49" i="11"/>
  <c r="AU56" i="11" l="1"/>
  <c r="AV49" i="11" s="1"/>
  <c r="AO64" i="11"/>
  <c r="AO62" i="11"/>
  <c r="AP51" i="11"/>
  <c r="AO61" i="11" l="1"/>
  <c r="AV56" i="11"/>
  <c r="AW49" i="11" s="1"/>
  <c r="AP58" i="11"/>
  <c r="AW56" i="11" l="1"/>
  <c r="AX49" i="11" s="1"/>
  <c r="AX56" i="11" s="1"/>
  <c r="AP62" i="11"/>
  <c r="AP64" i="11"/>
  <c r="AQ51" i="11"/>
  <c r="AP61" i="11" l="1"/>
  <c r="AY49" i="11"/>
  <c r="AQ58" i="11"/>
  <c r="AY56" i="11" l="1"/>
  <c r="AZ49" i="11" s="1"/>
  <c r="AQ64" i="11"/>
  <c r="AQ62" i="11"/>
  <c r="AR51" i="11"/>
  <c r="AQ61" i="11" l="1"/>
  <c r="AZ56" i="11"/>
  <c r="BA49" i="11" s="1"/>
  <c r="AR58" i="11"/>
  <c r="AR62" i="11" s="1"/>
  <c r="BA56" i="11" l="1"/>
  <c r="BB49" i="11" s="1"/>
  <c r="AR64" i="11"/>
  <c r="AS51" i="11"/>
  <c r="AR61" i="11" l="1"/>
  <c r="BB56" i="11"/>
  <c r="BC49" i="11" s="1"/>
  <c r="AS58" i="11"/>
  <c r="BC56" i="11" l="1"/>
  <c r="BD49" i="11" s="1"/>
  <c r="AS62" i="11"/>
  <c r="AS64" i="11"/>
  <c r="AT51" i="11"/>
  <c r="AS61" i="11" l="1"/>
  <c r="BD56" i="11"/>
  <c r="BE49" i="11" s="1"/>
  <c r="AT58" i="11"/>
  <c r="BE56" i="11" l="1"/>
  <c r="BF49" i="11" s="1"/>
  <c r="AT62" i="11"/>
  <c r="AT64" i="11"/>
  <c r="AU51" i="11"/>
  <c r="BF56" i="11" l="1"/>
  <c r="BG49" i="11" s="1"/>
  <c r="AU58" i="11"/>
  <c r="AU64" i="11" s="1"/>
  <c r="AT61" i="11"/>
  <c r="BG56" i="11" l="1"/>
  <c r="BH49" i="11" s="1"/>
  <c r="AU62" i="11"/>
  <c r="AU61" i="11"/>
  <c r="BH56" i="11" l="1"/>
  <c r="BI49" i="11" l="1"/>
  <c r="V21" i="22"/>
  <c r="V54" i="22" s="1"/>
  <c r="U21" i="22"/>
  <c r="U54" i="22" s="1"/>
  <c r="BI56" i="11" l="1"/>
  <c r="R22" i="22"/>
  <c r="R55" i="22" s="1"/>
  <c r="R24" i="22"/>
  <c r="R57" i="22" s="1"/>
  <c r="R23" i="22"/>
  <c r="R56" i="22" s="1"/>
  <c r="R25" i="22"/>
  <c r="R58" i="22" s="1"/>
  <c r="S25" i="22"/>
  <c r="S58" i="22" s="1"/>
  <c r="S24" i="22"/>
  <c r="S57" i="22" s="1"/>
  <c r="S22" i="22"/>
  <c r="S55" i="22" s="1"/>
  <c r="S23" i="22"/>
  <c r="S56" i="22" s="1"/>
  <c r="T24" i="22"/>
  <c r="T57" i="22" s="1"/>
  <c r="T23" i="22"/>
  <c r="T56" i="22" s="1"/>
  <c r="T22" i="22"/>
  <c r="T55" i="22" s="1"/>
  <c r="T25" i="22"/>
  <c r="T58" i="22" s="1"/>
  <c r="M25" i="22"/>
  <c r="M58" i="22" s="1"/>
  <c r="M65" i="22" s="1"/>
  <c r="M72" i="22" s="1"/>
  <c r="M24" i="22"/>
  <c r="M57" i="22" s="1"/>
  <c r="M64" i="22" s="1"/>
  <c r="M71" i="22" s="1"/>
  <c r="M23" i="22"/>
  <c r="M56" i="22" s="1"/>
  <c r="M63" i="22" s="1"/>
  <c r="M70" i="22" s="1"/>
  <c r="M22" i="22"/>
  <c r="M55" i="22" s="1"/>
  <c r="M62" i="22" s="1"/>
  <c r="M69" i="22" s="1"/>
  <c r="U22" i="22"/>
  <c r="U55" i="22" s="1"/>
  <c r="U24" i="22"/>
  <c r="U57" i="22" s="1"/>
  <c r="U23" i="22"/>
  <c r="U56" i="22" s="1"/>
  <c r="U25" i="22"/>
  <c r="U58" i="22" s="1"/>
  <c r="V25" i="22"/>
  <c r="V58" i="22" s="1"/>
  <c r="V22" i="22"/>
  <c r="V55" i="22" s="1"/>
  <c r="V24" i="22"/>
  <c r="V57" i="22" s="1"/>
  <c r="V23" i="22"/>
  <c r="V56" i="22" s="1"/>
  <c r="P24" i="22"/>
  <c r="P57" i="22" s="1"/>
  <c r="P23" i="22"/>
  <c r="P56" i="22" s="1"/>
  <c r="P25" i="22"/>
  <c r="P58" i="22" s="1"/>
  <c r="P22" i="22"/>
  <c r="P55" i="22" s="1"/>
  <c r="Q24" i="22"/>
  <c r="Q57" i="22" s="1"/>
  <c r="Q23" i="22"/>
  <c r="Q56" i="22" s="1"/>
  <c r="Q22" i="22"/>
  <c r="Q55" i="22" s="1"/>
  <c r="Q25" i="22"/>
  <c r="Q58" i="22" s="1"/>
  <c r="N22" i="22"/>
  <c r="N55" i="22" s="1"/>
  <c r="N24" i="22"/>
  <c r="N57" i="22" s="1"/>
  <c r="N25" i="22"/>
  <c r="N58" i="22" s="1"/>
  <c r="N23" i="22"/>
  <c r="N56" i="22" s="1"/>
  <c r="O23" i="22"/>
  <c r="O56" i="22" s="1"/>
  <c r="O22" i="22"/>
  <c r="O55" i="22" s="1"/>
  <c r="O25" i="22"/>
  <c r="O58" i="22" s="1"/>
  <c r="O24" i="22"/>
  <c r="O57" i="22" s="1"/>
  <c r="W25" i="22"/>
  <c r="W58" i="22" s="1"/>
  <c r="W24" i="22"/>
  <c r="W57" i="22" s="1"/>
  <c r="W23" i="22"/>
  <c r="W56" i="22" s="1"/>
  <c r="W22" i="22"/>
  <c r="W55" i="22" s="1"/>
  <c r="N21" i="22"/>
  <c r="N54" i="22" s="1"/>
  <c r="O21" i="22"/>
  <c r="O54" i="22" s="1"/>
  <c r="P21" i="22"/>
  <c r="P54" i="22" s="1"/>
  <c r="Q21" i="22"/>
  <c r="Q54" i="22" s="1"/>
  <c r="R21" i="22"/>
  <c r="R54" i="22" s="1"/>
  <c r="S21" i="22"/>
  <c r="S54" i="22" s="1"/>
  <c r="W21" i="22"/>
  <c r="W54" i="22" s="1"/>
  <c r="T21" i="22"/>
  <c r="T54" i="22" s="1"/>
  <c r="M21" i="22"/>
  <c r="M54" i="22" s="1"/>
  <c r="M61" i="22" s="1"/>
  <c r="M68" i="22" s="1"/>
  <c r="BJ49" i="11" l="1"/>
  <c r="M76" i="22"/>
  <c r="N62" i="22"/>
  <c r="N69" i="22" s="1"/>
  <c r="N63" i="22"/>
  <c r="N70" i="22" s="1"/>
  <c r="BJ56" i="11" l="1"/>
  <c r="N65" i="22"/>
  <c r="N72" i="22" s="1"/>
  <c r="BK49" i="11" l="1"/>
  <c r="N64" i="22"/>
  <c r="N71" i="22" s="1"/>
  <c r="N61" i="22"/>
  <c r="N68" i="22" s="1"/>
  <c r="O65" i="22"/>
  <c r="O72" i="22" s="1"/>
  <c r="BK56" i="11" l="1"/>
  <c r="BL49" i="11" s="1"/>
  <c r="N76" i="22"/>
  <c r="O62" i="22"/>
  <c r="O69" i="22" s="1"/>
  <c r="O61" i="22"/>
  <c r="O68" i="22" s="1"/>
  <c r="O63" i="22"/>
  <c r="O70" i="22" s="1"/>
  <c r="O64" i="22"/>
  <c r="O71" i="22" s="1"/>
  <c r="M74" i="22"/>
  <c r="P65" i="22"/>
  <c r="P72" i="22" s="1"/>
  <c r="BL56" i="11" l="1"/>
  <c r="BM49" i="11" s="1"/>
  <c r="O76" i="22"/>
  <c r="N74" i="22"/>
  <c r="M73" i="22"/>
  <c r="Q65" i="22"/>
  <c r="Q72" i="22" s="1"/>
  <c r="BM56" i="11" l="1"/>
  <c r="P62" i="22"/>
  <c r="P69" i="22" s="1"/>
  <c r="P63" i="22"/>
  <c r="P70" i="22" s="1"/>
  <c r="P64" i="22"/>
  <c r="P71" i="22" s="1"/>
  <c r="N73" i="22"/>
  <c r="P61" i="22"/>
  <c r="P68" i="22" s="1"/>
  <c r="R65" i="22"/>
  <c r="R72" i="22" s="1"/>
  <c r="BN49" i="11" l="1"/>
  <c r="P76" i="22"/>
  <c r="Q61" i="22"/>
  <c r="Q68" i="22" s="1"/>
  <c r="Q64" i="22"/>
  <c r="Q71" i="22" s="1"/>
  <c r="Q63" i="22"/>
  <c r="Q70" i="22" s="1"/>
  <c r="Q62" i="22"/>
  <c r="Q69" i="22" s="1"/>
  <c r="S65" i="22"/>
  <c r="S72" i="22" s="1"/>
  <c r="O74" i="22"/>
  <c r="BN56" i="11" l="1"/>
  <c r="Q76" i="22"/>
  <c r="R64" i="22"/>
  <c r="R71" i="22" s="1"/>
  <c r="O73" i="22"/>
  <c r="T65" i="22"/>
  <c r="T72" i="22" s="1"/>
  <c r="P74" i="22"/>
  <c r="BO49" i="11" l="1"/>
  <c r="R63" i="22"/>
  <c r="R70" i="22" s="1"/>
  <c r="R62" i="22"/>
  <c r="R69" i="22" s="1"/>
  <c r="S64" i="22"/>
  <c r="S71" i="22" s="1"/>
  <c r="P73" i="22"/>
  <c r="U65" i="22"/>
  <c r="U72" i="22" s="1"/>
  <c r="BO56" i="11" l="1"/>
  <c r="S63" i="22"/>
  <c r="S70" i="22" s="1"/>
  <c r="R61" i="22"/>
  <c r="R68" i="22" s="1"/>
  <c r="Q74" i="22"/>
  <c r="V65" i="22"/>
  <c r="V72" i="22" s="1"/>
  <c r="BP49" i="11" l="1"/>
  <c r="R74" i="22"/>
  <c r="R76" i="22"/>
  <c r="S61" i="22"/>
  <c r="S68" i="22" s="1"/>
  <c r="S62" i="22"/>
  <c r="S69" i="22" s="1"/>
  <c r="T64" i="22"/>
  <c r="T71" i="22" s="1"/>
  <c r="Q73" i="22"/>
  <c r="W65" i="22"/>
  <c r="W72" i="22" s="1"/>
  <c r="BP56" i="11" l="1"/>
  <c r="S76" i="22"/>
  <c r="T62" i="22"/>
  <c r="T69" i="22" s="1"/>
  <c r="T61" i="22"/>
  <c r="T68" i="22" s="1"/>
  <c r="U64" i="22"/>
  <c r="U71" i="22" s="1"/>
  <c r="T63" i="22"/>
  <c r="T70" i="22" s="1"/>
  <c r="R73" i="22"/>
  <c r="X65" i="22"/>
  <c r="S74" i="22"/>
  <c r="BQ49" i="11" l="1"/>
  <c r="X72" i="22"/>
  <c r="Y65" i="22" s="1"/>
  <c r="T76" i="22"/>
  <c r="U61" i="22"/>
  <c r="U68" i="22" s="1"/>
  <c r="S73" i="22"/>
  <c r="BQ56" i="11" l="1"/>
  <c r="Y72" i="22"/>
  <c r="Z65" i="22" s="1"/>
  <c r="T73" i="22"/>
  <c r="T74" i="22"/>
  <c r="V61" i="22"/>
  <c r="V68" i="22" s="1"/>
  <c r="V64" i="22"/>
  <c r="V71" i="22" s="1"/>
  <c r="U63" i="22"/>
  <c r="U70" i="22" s="1"/>
  <c r="U62" i="22"/>
  <c r="U69" i="22" s="1"/>
  <c r="BR49" i="11" l="1"/>
  <c r="Z72" i="22"/>
  <c r="AA65" i="22" s="1"/>
  <c r="U76" i="22"/>
  <c r="W64" i="22"/>
  <c r="W71" i="22" s="1"/>
  <c r="W61" i="22"/>
  <c r="W68" i="22" s="1"/>
  <c r="V62" i="22"/>
  <c r="V69" i="22" s="1"/>
  <c r="U74" i="22"/>
  <c r="BR56" i="11" l="1"/>
  <c r="AA72" i="22"/>
  <c r="AB65" i="22" s="1"/>
  <c r="X64" i="22"/>
  <c r="U73" i="22"/>
  <c r="V63" i="22"/>
  <c r="V70" i="22" s="1"/>
  <c r="V76" i="22" s="1"/>
  <c r="BS49" i="11" l="1"/>
  <c r="AB72" i="22"/>
  <c r="AC65" i="22" s="1"/>
  <c r="AC72" i="22" s="1"/>
  <c r="X71" i="22"/>
  <c r="Y64" i="22" s="1"/>
  <c r="W62" i="22"/>
  <c r="W69" i="22" s="1"/>
  <c r="X61" i="22"/>
  <c r="BS56" i="11" l="1"/>
  <c r="Y71" i="22"/>
  <c r="Z64" i="22" s="1"/>
  <c r="X68" i="22"/>
  <c r="Y61" i="22" s="1"/>
  <c r="W63" i="22"/>
  <c r="W70" i="22" s="1"/>
  <c r="W76" i="22" s="1"/>
  <c r="V74" i="22"/>
  <c r="V73" i="22"/>
  <c r="Z71" i="22" l="1"/>
  <c r="AA64" i="22" s="1"/>
  <c r="Y68" i="22"/>
  <c r="Z61" i="22" s="1"/>
  <c r="X63" i="22"/>
  <c r="W74" i="22"/>
  <c r="X62" i="22"/>
  <c r="AA71" i="22" l="1"/>
  <c r="AB64" i="22" s="1"/>
  <c r="X69" i="22"/>
  <c r="Y62" i="22" s="1"/>
  <c r="X70" i="22"/>
  <c r="Y63" i="22" s="1"/>
  <c r="W73" i="22"/>
  <c r="Y70" i="22" l="1"/>
  <c r="Z63" i="22" s="1"/>
  <c r="AB71" i="22"/>
  <c r="AC64" i="22" s="1"/>
  <c r="AC71" i="22" s="1"/>
  <c r="X76" i="22"/>
  <c r="Y69" i="22"/>
  <c r="Z68" i="22"/>
  <c r="AA61" i="22" s="1"/>
  <c r="X74" i="22"/>
  <c r="Y76" i="22" l="1"/>
  <c r="Y74" i="22"/>
  <c r="Z62" i="22"/>
  <c r="Z69" i="22" s="1"/>
  <c r="AA62" i="22" s="1"/>
  <c r="X73" i="22"/>
  <c r="Z70" i="22"/>
  <c r="AA63" i="22" s="1"/>
  <c r="Y73" i="22" l="1"/>
  <c r="Z76" i="22"/>
  <c r="Z74" i="22"/>
  <c r="AA68" i="22"/>
  <c r="AB61" i="22" s="1"/>
  <c r="AA70" i="22"/>
  <c r="AB63" i="22" s="1"/>
  <c r="Z73" i="22" l="1"/>
  <c r="AB70" i="22"/>
  <c r="AC63" i="22" s="1"/>
  <c r="AC70" i="22" s="1"/>
  <c r="AA69" i="22"/>
  <c r="AB62" i="22" s="1"/>
  <c r="AA76" i="22" l="1"/>
  <c r="AA74" i="22"/>
  <c r="AB69" i="22"/>
  <c r="AC62" i="22" s="1"/>
  <c r="AC69" i="22" s="1"/>
  <c r="AB68" i="22"/>
  <c r="AC61" i="22" s="1"/>
  <c r="AC68" i="22" s="1"/>
  <c r="AA73" i="22" l="1"/>
  <c r="AB76" i="22"/>
  <c r="AB74" i="22"/>
  <c r="AB73" i="22" l="1"/>
  <c r="G21" i="23" l="1"/>
  <c r="K31" i="23" l="1"/>
  <c r="L31" i="23" s="1"/>
  <c r="AV45" i="11" l="1"/>
  <c r="AV52" i="11" s="1"/>
  <c r="AV59" i="11" s="1"/>
  <c r="AV44" i="11"/>
  <c r="AV51" i="11" s="1"/>
  <c r="AW52" i="11" l="1"/>
  <c r="AW59" i="11" s="1"/>
  <c r="AX52" i="11" s="1"/>
  <c r="AX59" i="11" s="1"/>
  <c r="AY52" i="11" s="1"/>
  <c r="AY59" i="11" s="1"/>
  <c r="AZ52" i="11" s="1"/>
  <c r="AZ59" i="11" s="1"/>
  <c r="BA52" i="11" s="1"/>
  <c r="BA59" i="11" s="1"/>
  <c r="BB52" i="11" s="1"/>
  <c r="BB59" i="11" s="1"/>
  <c r="BC52" i="11" s="1"/>
  <c r="BC59" i="11" s="1"/>
  <c r="BD52" i="11" s="1"/>
  <c r="BD59" i="11" s="1"/>
  <c r="BE52" i="11" s="1"/>
  <c r="BE59" i="11" s="1"/>
  <c r="BF52" i="11" s="1"/>
  <c r="BF59" i="11" s="1"/>
  <c r="BG52" i="11" s="1"/>
  <c r="AV58" i="11"/>
  <c r="AW51" i="11" s="1"/>
  <c r="BG59" i="11" l="1"/>
  <c r="BH52" i="11" s="1"/>
  <c r="AW58" i="11"/>
  <c r="AX51" i="11" s="1"/>
  <c r="AV62" i="11"/>
  <c r="AV64" i="11"/>
  <c r="BH59" i="11" l="1"/>
  <c r="BI52" i="11" s="1"/>
  <c r="AW64" i="11"/>
  <c r="AV61" i="11"/>
  <c r="AX58" i="11"/>
  <c r="AY51" i="11" s="1"/>
  <c r="AW62" i="11"/>
  <c r="BI59" i="11" l="1"/>
  <c r="BJ52" i="11" s="1"/>
  <c r="AW61" i="11"/>
  <c r="AX62" i="11"/>
  <c r="AX64" i="11"/>
  <c r="AY58" i="11"/>
  <c r="AZ51" i="11" s="1"/>
  <c r="BJ59" i="11" l="1"/>
  <c r="AX61" i="11"/>
  <c r="AZ58" i="11"/>
  <c r="BA51" i="11" s="1"/>
  <c r="AY62" i="11"/>
  <c r="AY64" i="11"/>
  <c r="BK52" i="11" l="1"/>
  <c r="AY61" i="11"/>
  <c r="BA58" i="11"/>
  <c r="BB51" i="11" s="1"/>
  <c r="AZ62" i="11"/>
  <c r="AZ64" i="11"/>
  <c r="BK59" i="11" l="1"/>
  <c r="AZ61" i="11"/>
  <c r="BB58" i="11"/>
  <c r="BC51" i="11" s="1"/>
  <c r="BA62" i="11"/>
  <c r="BA64" i="11"/>
  <c r="BL52" i="11" l="1"/>
  <c r="BA61" i="11"/>
  <c r="BC58" i="11"/>
  <c r="BD51" i="11" s="1"/>
  <c r="BB62" i="11"/>
  <c r="BB64" i="11"/>
  <c r="BL59" i="11" l="1"/>
  <c r="BB61" i="11"/>
  <c r="BD58" i="11"/>
  <c r="BE51" i="11" s="1"/>
  <c r="BC62" i="11"/>
  <c r="BC64" i="11"/>
  <c r="BM52" i="11" l="1"/>
  <c r="BC61" i="11"/>
  <c r="BE58" i="11"/>
  <c r="BF51" i="11" s="1"/>
  <c r="BF58" i="11" s="1"/>
  <c r="BD62" i="11"/>
  <c r="BD64" i="11"/>
  <c r="BM59" i="11" l="1"/>
  <c r="BN52" i="11" s="1"/>
  <c r="BD61" i="11"/>
  <c r="BG51" i="11"/>
  <c r="BF62" i="11"/>
  <c r="BE62" i="11"/>
  <c r="BE64" i="11"/>
  <c r="BN59" i="11" l="1"/>
  <c r="BO52" i="11" s="1"/>
  <c r="BE61" i="11"/>
  <c r="BF64" i="11"/>
  <c r="BG58" i="11"/>
  <c r="BO59" i="11" l="1"/>
  <c r="BP52" i="11" s="1"/>
  <c r="BH51" i="11"/>
  <c r="BF61" i="11"/>
  <c r="BG62" i="11"/>
  <c r="BG64" i="11"/>
  <c r="BH58" i="11" l="1"/>
  <c r="BH62" i="11" s="1"/>
  <c r="BP59" i="11"/>
  <c r="BQ52" i="11" s="1"/>
  <c r="BG61" i="11"/>
  <c r="BH64" i="11" l="1"/>
  <c r="BQ59" i="11"/>
  <c r="BR52" i="11" s="1"/>
  <c r="BI51" i="11"/>
  <c r="BH61" i="11" l="1"/>
  <c r="BR59" i="11"/>
  <c r="BI58" i="11"/>
  <c r="BI62" i="11" l="1"/>
  <c r="BI64" i="11"/>
  <c r="BJ51" i="11"/>
  <c r="BI61" i="11" l="1"/>
  <c r="BJ58" i="11"/>
  <c r="BK51" i="11" s="1"/>
  <c r="BJ64" i="11" l="1"/>
  <c r="BK58" i="11"/>
  <c r="BK62" i="11" s="1"/>
  <c r="BJ62" i="11"/>
  <c r="BJ61" i="11" l="1"/>
  <c r="BK64" i="11"/>
  <c r="BL51" i="11"/>
  <c r="BL58" i="11" s="1"/>
  <c r="BK61" i="11" l="1"/>
  <c r="BL62" i="11"/>
  <c r="BM51" i="11"/>
  <c r="BL64" i="11"/>
  <c r="BM58" i="11" l="1"/>
  <c r="BM64" i="11" s="1"/>
  <c r="BL61" i="11"/>
  <c r="BM61" i="11" l="1"/>
  <c r="BM62" i="11"/>
  <c r="BN51" i="11"/>
  <c r="BN58" i="11" l="1"/>
  <c r="BN62" i="11" l="1"/>
  <c r="BN64" i="11"/>
  <c r="BO51" i="11"/>
  <c r="BO58" i="11" l="1"/>
  <c r="BO62" i="11" s="1"/>
  <c r="BN61" i="11"/>
  <c r="BO64" i="11" l="1"/>
  <c r="BP51" i="11"/>
  <c r="BO61" i="11" l="1"/>
  <c r="BP58" i="11"/>
  <c r="BP62" i="11" l="1"/>
  <c r="BP64" i="11"/>
  <c r="BQ51" i="11"/>
  <c r="BQ58" i="11" l="1"/>
  <c r="BQ62" i="11" s="1"/>
  <c r="BP61" i="11"/>
  <c r="BQ64" i="11" l="1"/>
  <c r="BR51" i="11"/>
  <c r="BQ61" i="11" l="1"/>
  <c r="BR58" i="11"/>
  <c r="BR62" i="11" l="1"/>
  <c r="BR64" i="11"/>
  <c r="BR61" i="11" l="1"/>
  <c r="AI45" i="21" l="1"/>
  <c r="AI52" i="21" s="1"/>
  <c r="BS50" i="11"/>
  <c r="AI42" i="21"/>
  <c r="AI49" i="21" s="1"/>
  <c r="AI46" i="21"/>
  <c r="AI53" i="21" s="1"/>
  <c r="BS44" i="11"/>
  <c r="BS51" i="11" s="1"/>
  <c r="AI44" i="21"/>
  <c r="AI51" i="21" s="1"/>
  <c r="AI43" i="21"/>
  <c r="AI50" i="21" s="1"/>
  <c r="BS45" i="11"/>
  <c r="BS52" i="11" s="1"/>
  <c r="BS46" i="11"/>
  <c r="BS53" i="11" s="1"/>
  <c r="AI57" i="21" l="1"/>
  <c r="AI56" i="21"/>
  <c r="AI58" i="21"/>
  <c r="BS60" i="11"/>
  <c r="BS58" i="11"/>
  <c r="BS57" i="11"/>
  <c r="BS59" i="11"/>
  <c r="AI60" i="21"/>
  <c r="AI59" i="21"/>
  <c r="AI62" i="21" l="1"/>
  <c r="AI64" i="21"/>
  <c r="BS62" i="11"/>
  <c r="BS64" i="11"/>
  <c r="BS61" i="11" l="1"/>
  <c r="AI61" i="21"/>
  <c r="AD61" i="22" l="1"/>
  <c r="AD64" i="22"/>
  <c r="AD71" i="22" s="1"/>
  <c r="AE64" i="22" s="1"/>
  <c r="AE71" i="22" s="1"/>
  <c r="AF64" i="22" s="1"/>
  <c r="AF71" i="22" s="1"/>
  <c r="AG64" i="22" s="1"/>
  <c r="AG71" i="22" s="1"/>
  <c r="AH64" i="22" s="1"/>
  <c r="AH71" i="22" s="1"/>
  <c r="AI64" i="22" s="1"/>
  <c r="AI71" i="22" s="1"/>
  <c r="AJ64" i="22" s="1"/>
  <c r="AD63" i="22"/>
  <c r="AD70" i="22" s="1"/>
  <c r="AE63" i="22" s="1"/>
  <c r="AE70" i="22" s="1"/>
  <c r="AF63" i="22" s="1"/>
  <c r="AF70" i="22" s="1"/>
  <c r="AG63" i="22" s="1"/>
  <c r="AG70" i="22" s="1"/>
  <c r="AH63" i="22" s="1"/>
  <c r="AH70" i="22" s="1"/>
  <c r="AI63" i="22" s="1"/>
  <c r="AD62" i="22"/>
  <c r="AD69" i="22" s="1"/>
  <c r="AE62" i="22" s="1"/>
  <c r="AE69" i="22" s="1"/>
  <c r="AF62" i="22" s="1"/>
  <c r="AF69" i="22" s="1"/>
  <c r="AG62" i="22" s="1"/>
  <c r="AG69" i="22" s="1"/>
  <c r="AH62" i="22" s="1"/>
  <c r="AH69" i="22" s="1"/>
  <c r="AI62" i="22" s="1"/>
  <c r="AI69" i="22" s="1"/>
  <c r="AJ62" i="22" s="1"/>
  <c r="AD65" i="22"/>
  <c r="AD72" i="22" l="1"/>
  <c r="AE65" i="22" s="1"/>
  <c r="AE72" i="22" s="1"/>
  <c r="AF65" i="22" s="1"/>
  <c r="AF72" i="22" s="1"/>
  <c r="AG65" i="22" s="1"/>
  <c r="AG72" i="22" s="1"/>
  <c r="AH65" i="22" s="1"/>
  <c r="AH72" i="22" s="1"/>
  <c r="AI65" i="22" s="1"/>
  <c r="AI72" i="22" s="1"/>
  <c r="AJ65" i="22" s="1"/>
  <c r="AJ69" i="22"/>
  <c r="AI70" i="22"/>
  <c r="AJ63" i="22" s="1"/>
  <c r="AD68" i="22"/>
  <c r="AE61" i="22" s="1"/>
  <c r="AJ71" i="22"/>
  <c r="AC74" i="22"/>
  <c r="AC76" i="22"/>
  <c r="AE68" i="22" l="1"/>
  <c r="AE74" i="22" s="1"/>
  <c r="AC73" i="22"/>
  <c r="AD74" i="22"/>
  <c r="AJ72" i="22"/>
  <c r="AJ70" i="22"/>
  <c r="AD76" i="22"/>
  <c r="B5" i="22" l="1"/>
  <c r="B6" i="22"/>
  <c r="AD73" i="22"/>
  <c r="AE76" i="22"/>
  <c r="AF61" i="22"/>
  <c r="B8" i="22" l="1"/>
  <c r="AE73" i="22"/>
  <c r="AF68" i="22"/>
  <c r="AG61" i="22" s="1"/>
  <c r="AG68" i="22" s="1"/>
  <c r="B7" i="22" l="1"/>
  <c r="AF76" i="22"/>
  <c r="AH61" i="22"/>
  <c r="AG74" i="22"/>
  <c r="AF74" i="22"/>
  <c r="AG76" i="22" l="1"/>
  <c r="AF73" i="22"/>
  <c r="AH68" i="22"/>
  <c r="AI61" i="22" s="1"/>
  <c r="AG73" i="22" l="1"/>
  <c r="AH74" i="22"/>
  <c r="AI68" i="22"/>
  <c r="AI74" i="22" s="1"/>
  <c r="AH76" i="22"/>
  <c r="AI76" i="22" l="1"/>
  <c r="AH73" i="22"/>
  <c r="AJ61" i="22"/>
  <c r="AJ68" i="22" l="1"/>
  <c r="AJ74" i="22" s="1"/>
  <c r="AI73" i="22"/>
  <c r="AJ76" i="22" l="1"/>
  <c r="AJ73" i="22" s="1"/>
  <c r="M44" i="28" l="1"/>
  <c r="L44" i="26"/>
  <c r="BU45" i="11"/>
  <c r="AK45" i="21"/>
  <c r="K45" i="26"/>
  <c r="L45" i="28"/>
  <c r="L52" i="28" s="1"/>
  <c r="L59" i="28" s="1"/>
  <c r="BT46" i="11"/>
  <c r="BT53" i="11" s="1"/>
  <c r="BT60" i="11" s="1"/>
  <c r="AJ46" i="21"/>
  <c r="AJ53" i="21" s="1"/>
  <c r="AJ60" i="21" s="1"/>
  <c r="BT45" i="11"/>
  <c r="BT52" i="11" s="1"/>
  <c r="AJ45" i="21"/>
  <c r="AJ52" i="21" s="1"/>
  <c r="AJ59" i="21" s="1"/>
  <c r="K44" i="26"/>
  <c r="L44" i="28"/>
  <c r="L51" i="28" s="1"/>
  <c r="L58" i="28" s="1"/>
  <c r="N44" i="28"/>
  <c r="M44" i="26"/>
  <c r="AL45" i="21"/>
  <c r="BV45" i="11"/>
  <c r="M42" i="26"/>
  <c r="AL43" i="21"/>
  <c r="BV43" i="11"/>
  <c r="N42" i="28"/>
  <c r="AL42" i="21"/>
  <c r="M41" i="26"/>
  <c r="BV42" i="11"/>
  <c r="N41" i="28"/>
  <c r="AK46" i="21"/>
  <c r="BU46" i="11"/>
  <c r="M45" i="28"/>
  <c r="L45" i="26"/>
  <c r="K43" i="26"/>
  <c r="L43" i="28"/>
  <c r="L50" i="28" s="1"/>
  <c r="L57" i="28" s="1"/>
  <c r="BT44" i="11"/>
  <c r="BT51" i="11" s="1"/>
  <c r="BT58" i="11" s="1"/>
  <c r="AJ44" i="21"/>
  <c r="AJ51" i="21" s="1"/>
  <c r="AJ58" i="21" s="1"/>
  <c r="AL46" i="21"/>
  <c r="M45" i="26"/>
  <c r="BV46" i="11"/>
  <c r="N45" i="28"/>
  <c r="AK44" i="21"/>
  <c r="M43" i="28"/>
  <c r="L43" i="26"/>
  <c r="BU44" i="11"/>
  <c r="AK42" i="21"/>
  <c r="L41" i="26"/>
  <c r="M41" i="28"/>
  <c r="BU42" i="11"/>
  <c r="BT43" i="11"/>
  <c r="BT50" i="11" s="1"/>
  <c r="K42" i="26"/>
  <c r="AJ43" i="21"/>
  <c r="AJ50" i="21" s="1"/>
  <c r="AJ57" i="21" s="1"/>
  <c r="L42" i="28"/>
  <c r="L49" i="28" s="1"/>
  <c r="M42" i="28"/>
  <c r="L42" i="26"/>
  <c r="BU43" i="11"/>
  <c r="AK43" i="21"/>
  <c r="K41" i="26"/>
  <c r="BT42" i="11"/>
  <c r="BT49" i="11" s="1"/>
  <c r="L41" i="28"/>
  <c r="L48" i="28" s="1"/>
  <c r="AJ42" i="21"/>
  <c r="AJ49" i="21" s="1"/>
  <c r="M43" i="26"/>
  <c r="BV44" i="11"/>
  <c r="AL44" i="21"/>
  <c r="N43" i="28"/>
  <c r="M51" i="28" l="1"/>
  <c r="M58" i="28" s="1"/>
  <c r="N51" i="28" s="1"/>
  <c r="N58" i="28" s="1"/>
  <c r="AK50" i="21"/>
  <c r="AK57" i="21" s="1"/>
  <c r="AL50" i="21" s="1"/>
  <c r="AL57" i="21" s="1"/>
  <c r="AM50" i="21" s="1"/>
  <c r="AM57" i="21" s="1"/>
  <c r="AN50" i="21" s="1"/>
  <c r="AN57" i="21" s="1"/>
  <c r="AO50" i="21" s="1"/>
  <c r="AO57" i="21" s="1"/>
  <c r="AP50" i="21" s="1"/>
  <c r="AP57" i="21" s="1"/>
  <c r="AQ50" i="21" s="1"/>
  <c r="M50" i="28"/>
  <c r="M57" i="28" s="1"/>
  <c r="N50" i="28" s="1"/>
  <c r="N57" i="28" s="1"/>
  <c r="AK51" i="21"/>
  <c r="AK58" i="21" s="1"/>
  <c r="AK42" i="22"/>
  <c r="BT59" i="11"/>
  <c r="BU52" i="11" s="1"/>
  <c r="BU59" i="11" s="1"/>
  <c r="BV52" i="11" s="1"/>
  <c r="BV59" i="11" s="1"/>
  <c r="BW52" i="11" s="1"/>
  <c r="BW59" i="11" s="1"/>
  <c r="BX52" i="11" s="1"/>
  <c r="BX59" i="11" s="1"/>
  <c r="BY52" i="11" s="1"/>
  <c r="BY59" i="11" s="1"/>
  <c r="BZ52" i="11" s="1"/>
  <c r="BZ59" i="11" s="1"/>
  <c r="CA52" i="11" s="1"/>
  <c r="AK46" i="22"/>
  <c r="AK25" i="22"/>
  <c r="AJ56" i="21"/>
  <c r="L56" i="28"/>
  <c r="M49" i="28" s="1"/>
  <c r="M56" i="28" s="1"/>
  <c r="N49" i="28" s="1"/>
  <c r="N56" i="28" s="1"/>
  <c r="AM22" i="22"/>
  <c r="AM43" i="22"/>
  <c r="AK53" i="21"/>
  <c r="AK60" i="21" s="1"/>
  <c r="AL53" i="21" s="1"/>
  <c r="AL60" i="21" s="1"/>
  <c r="AM53" i="21" s="1"/>
  <c r="L55" i="28"/>
  <c r="M48" i="28" s="1"/>
  <c r="AM21" i="22"/>
  <c r="AM42" i="22"/>
  <c r="BU53" i="11"/>
  <c r="BU60" i="11" s="1"/>
  <c r="BV53" i="11" s="1"/>
  <c r="BV60" i="11" s="1"/>
  <c r="BW53" i="11" s="1"/>
  <c r="AL25" i="22"/>
  <c r="AL46" i="22"/>
  <c r="BT56" i="11"/>
  <c r="BU49" i="11" s="1"/>
  <c r="AK43" i="22"/>
  <c r="AK22" i="22"/>
  <c r="AM25" i="22"/>
  <c r="AM46" i="22"/>
  <c r="AK23" i="22"/>
  <c r="AK44" i="22"/>
  <c r="AK24" i="22"/>
  <c r="AK45" i="22"/>
  <c r="M52" i="28"/>
  <c r="M59" i="28" s="1"/>
  <c r="N52" i="28" s="1"/>
  <c r="AL22" i="22"/>
  <c r="AL44" i="22"/>
  <c r="AL23" i="22"/>
  <c r="AL24" i="22"/>
  <c r="AL45" i="22"/>
  <c r="AL21" i="22"/>
  <c r="AL42" i="22"/>
  <c r="AK52" i="21"/>
  <c r="AM44" i="22"/>
  <c r="AM23" i="22"/>
  <c r="BT57" i="11"/>
  <c r="BU51" i="11"/>
  <c r="BU58" i="11" s="1"/>
  <c r="BV51" i="11" s="1"/>
  <c r="BV58" i="11" s="1"/>
  <c r="BW51" i="11" s="1"/>
  <c r="AM45" i="22"/>
  <c r="AM24" i="22"/>
  <c r="AK54" i="22" l="1"/>
  <c r="AK61" i="22" s="1"/>
  <c r="AK68" i="22" s="1"/>
  <c r="B6" i="26"/>
  <c r="AL51" i="21"/>
  <c r="AL58" i="21" s="1"/>
  <c r="AM51" i="21" s="1"/>
  <c r="AM58" i="21" s="1"/>
  <c r="AN51" i="21" s="1"/>
  <c r="AM54" i="22"/>
  <c r="AL56" i="22"/>
  <c r="BT62" i="11"/>
  <c r="BU50" i="11"/>
  <c r="BU57" i="11" s="1"/>
  <c r="BV50" i="11" s="1"/>
  <c r="BV57" i="11" s="1"/>
  <c r="BW50" i="11" s="1"/>
  <c r="BW57" i="11" s="1"/>
  <c r="BX50" i="11" s="1"/>
  <c r="BX57" i="11" s="1"/>
  <c r="BY50" i="11" s="1"/>
  <c r="BY57" i="11" s="1"/>
  <c r="BZ50" i="11" s="1"/>
  <c r="BZ57" i="11" s="1"/>
  <c r="CA50" i="11" s="1"/>
  <c r="CA57" i="11" s="1"/>
  <c r="CB50" i="11" s="1"/>
  <c r="CB57" i="11" s="1"/>
  <c r="CC50" i="11" s="1"/>
  <c r="CC57" i="11" s="1"/>
  <c r="CD50" i="11" s="1"/>
  <c r="CD57" i="11" s="1"/>
  <c r="CE50" i="11" s="1"/>
  <c r="AK58" i="22"/>
  <c r="AK65" i="22" s="1"/>
  <c r="AK56" i="22"/>
  <c r="AK63" i="22" s="1"/>
  <c r="AL58" i="22"/>
  <c r="AL55" i="22"/>
  <c r="AL57" i="22"/>
  <c r="AL54" i="22"/>
  <c r="M55" i="28"/>
  <c r="N48" i="28" s="1"/>
  <c r="CA59" i="11"/>
  <c r="CB52" i="11" s="1"/>
  <c r="AJ62" i="21"/>
  <c r="AJ64" i="21"/>
  <c r="BW58" i="11"/>
  <c r="BX51" i="11" s="1"/>
  <c r="BX58" i="11" s="1"/>
  <c r="BY51" i="11" s="1"/>
  <c r="BY58" i="11" s="1"/>
  <c r="BZ51" i="11" s="1"/>
  <c r="BZ58" i="11" s="1"/>
  <c r="CA51" i="11" s="1"/>
  <c r="CA58" i="11" s="1"/>
  <c r="CB51" i="11" s="1"/>
  <c r="CB58" i="11" s="1"/>
  <c r="CC51" i="11" s="1"/>
  <c r="CC58" i="11" s="1"/>
  <c r="CD51" i="11" s="1"/>
  <c r="CD58" i="11" s="1"/>
  <c r="CE51" i="11" s="1"/>
  <c r="AQ57" i="21"/>
  <c r="AR50" i="21" s="1"/>
  <c r="AM55" i="22"/>
  <c r="B8" i="26"/>
  <c r="AM58" i="22"/>
  <c r="AK59" i="21"/>
  <c r="AL52" i="21" s="1"/>
  <c r="AL59" i="21" s="1"/>
  <c r="AM52" i="21" s="1"/>
  <c r="AM59" i="21" s="1"/>
  <c r="AN52" i="21" s="1"/>
  <c r="AN59" i="21" s="1"/>
  <c r="AO52" i="21" s="1"/>
  <c r="AO59" i="21" s="1"/>
  <c r="AP52" i="21" s="1"/>
  <c r="AP59" i="21" s="1"/>
  <c r="AQ52" i="21" s="1"/>
  <c r="AK55" i="22"/>
  <c r="N59" i="28"/>
  <c r="L61" i="28"/>
  <c r="L63" i="28"/>
  <c r="BU56" i="11"/>
  <c r="AM60" i="21"/>
  <c r="AN53" i="21" s="1"/>
  <c r="AN60" i="21" s="1"/>
  <c r="AO53" i="21" s="1"/>
  <c r="AO60" i="21" s="1"/>
  <c r="AP53" i="21" s="1"/>
  <c r="AM57" i="22"/>
  <c r="AM56" i="22"/>
  <c r="AK57" i="22"/>
  <c r="AK64" i="22" s="1"/>
  <c r="BT64" i="11"/>
  <c r="BW60" i="11"/>
  <c r="BX53" i="11" s="1"/>
  <c r="BX60" i="11" s="1"/>
  <c r="BY53" i="11" s="1"/>
  <c r="BY60" i="11" s="1"/>
  <c r="BZ53" i="11" s="1"/>
  <c r="BZ60" i="11" s="1"/>
  <c r="CA53" i="11" s="1"/>
  <c r="CA60" i="11" s="1"/>
  <c r="CB53" i="11" s="1"/>
  <c r="CB60" i="11" s="1"/>
  <c r="CC53" i="11" s="1"/>
  <c r="CC60" i="11" s="1"/>
  <c r="CD53" i="11" s="1"/>
  <c r="CD60" i="11" s="1"/>
  <c r="CE53" i="11" s="1"/>
  <c r="AK49" i="21"/>
  <c r="AP60" i="21" l="1"/>
  <c r="AQ53" i="21" s="1"/>
  <c r="CE60" i="11"/>
  <c r="CF53" i="11" s="1"/>
  <c r="CE58" i="11"/>
  <c r="CF51" i="11" s="1"/>
  <c r="CE57" i="11"/>
  <c r="CF50" i="11" s="1"/>
  <c r="B5" i="26"/>
  <c r="O49" i="28"/>
  <c r="O56" i="28" s="1"/>
  <c r="P49" i="28" s="1"/>
  <c r="P56" i="28" s="1"/>
  <c r="Q49" i="28" s="1"/>
  <c r="Q56" i="28" s="1"/>
  <c r="R49" i="28" s="1"/>
  <c r="R56" i="28" s="1"/>
  <c r="S49" i="28" s="1"/>
  <c r="S56" i="28" s="1"/>
  <c r="T49" i="28" s="1"/>
  <c r="T56" i="28" s="1"/>
  <c r="U49" i="28" s="1"/>
  <c r="U56" i="28" s="1"/>
  <c r="V49" i="28" s="1"/>
  <c r="V56" i="28" s="1"/>
  <c r="W49" i="28" s="1"/>
  <c r="B5" i="28"/>
  <c r="AL61" i="22"/>
  <c r="AK62" i="22"/>
  <c r="AK69" i="22" s="1"/>
  <c r="AK71" i="22"/>
  <c r="AL64" i="22" s="1"/>
  <c r="AL71" i="22" s="1"/>
  <c r="AK72" i="22"/>
  <c r="AL65" i="22" s="1"/>
  <c r="AL72" i="22" s="1"/>
  <c r="AK70" i="22"/>
  <c r="AL63" i="22" s="1"/>
  <c r="C8" i="5"/>
  <c r="AJ61" i="21"/>
  <c r="AN58" i="21"/>
  <c r="AO51" i="21" s="1"/>
  <c r="AO58" i="21" s="1"/>
  <c r="AP51" i="21" s="1"/>
  <c r="CB59" i="11"/>
  <c r="CC52" i="11" s="1"/>
  <c r="CC59" i="11" s="1"/>
  <c r="CD52" i="11" s="1"/>
  <c r="CD59" i="11" s="1"/>
  <c r="CE52" i="11" s="1"/>
  <c r="AQ59" i="21"/>
  <c r="AR52" i="21" s="1"/>
  <c r="AR59" i="21" s="1"/>
  <c r="AS52" i="21" s="1"/>
  <c r="AS59" i="21" s="1"/>
  <c r="AT52" i="21" s="1"/>
  <c r="AT59" i="21" s="1"/>
  <c r="AU52" i="21" s="1"/>
  <c r="B4" i="26"/>
  <c r="AR57" i="21"/>
  <c r="AS50" i="21" s="1"/>
  <c r="AS57" i="21" s="1"/>
  <c r="AT50" i="21" s="1"/>
  <c r="AT57" i="21" s="1"/>
  <c r="AU50" i="21" s="1"/>
  <c r="AK56" i="21"/>
  <c r="AL49" i="21" s="1"/>
  <c r="BU62" i="11"/>
  <c r="BU64" i="11"/>
  <c r="BT61" i="11"/>
  <c r="N55" i="28"/>
  <c r="M61" i="28"/>
  <c r="M63" i="28"/>
  <c r="BV49" i="11"/>
  <c r="L60" i="28"/>
  <c r="C5" i="5"/>
  <c r="AQ60" i="21" l="1"/>
  <c r="AR53" i="21" s="1"/>
  <c r="AR60" i="21" s="1"/>
  <c r="AS53" i="21" s="1"/>
  <c r="AS60" i="21" s="1"/>
  <c r="AT53" i="21" s="1"/>
  <c r="AT60" i="21" s="1"/>
  <c r="AU53" i="21" s="1"/>
  <c r="AU60" i="21" s="1"/>
  <c r="AV53" i="21" s="1"/>
  <c r="AV60" i="21" s="1"/>
  <c r="AW53" i="21" s="1"/>
  <c r="AW60" i="21" s="1"/>
  <c r="CF58" i="11"/>
  <c r="CG51" i="11" s="1"/>
  <c r="CG58" i="11" s="1"/>
  <c r="CH51" i="11" s="1"/>
  <c r="CH58" i="11" s="1"/>
  <c r="CF57" i="11"/>
  <c r="CG50" i="11" s="1"/>
  <c r="CG57" i="11" s="1"/>
  <c r="CH50" i="11" s="1"/>
  <c r="CH57" i="11" s="1"/>
  <c r="CF60" i="11"/>
  <c r="CG53" i="11" s="1"/>
  <c r="CG60" i="11" s="1"/>
  <c r="CH53" i="11" s="1"/>
  <c r="CH60" i="11" s="1"/>
  <c r="E8" i="5"/>
  <c r="L8" i="5" s="1"/>
  <c r="E6" i="5"/>
  <c r="AK74" i="22"/>
  <c r="B9" i="22"/>
  <c r="AL68" i="22"/>
  <c r="AM61" i="22" s="1"/>
  <c r="N63" i="28"/>
  <c r="O52" i="28"/>
  <c r="O59" i="28" s="1"/>
  <c r="B8" i="28"/>
  <c r="B7" i="28"/>
  <c r="O51" i="28"/>
  <c r="O58" i="28" s="1"/>
  <c r="P51" i="28" s="1"/>
  <c r="P58" i="28" s="1"/>
  <c r="Q51" i="28" s="1"/>
  <c r="Q58" i="28" s="1"/>
  <c r="R51" i="28" s="1"/>
  <c r="R58" i="28" s="1"/>
  <c r="S51" i="28" s="1"/>
  <c r="S58" i="28" s="1"/>
  <c r="T51" i="28" s="1"/>
  <c r="T58" i="28" s="1"/>
  <c r="U51" i="28" s="1"/>
  <c r="U58" i="28" s="1"/>
  <c r="V51" i="28" s="1"/>
  <c r="V58" i="28" s="1"/>
  <c r="W51" i="28" s="1"/>
  <c r="O50" i="28"/>
  <c r="O57" i="28" s="1"/>
  <c r="P50" i="28" s="1"/>
  <c r="P57" i="28" s="1"/>
  <c r="Q50" i="28" s="1"/>
  <c r="Q57" i="28" s="1"/>
  <c r="R50" i="28" s="1"/>
  <c r="R57" i="28" s="1"/>
  <c r="S50" i="28" s="1"/>
  <c r="S57" i="28" s="1"/>
  <c r="T50" i="28" s="1"/>
  <c r="T57" i="28" s="1"/>
  <c r="U50" i="28" s="1"/>
  <c r="U57" i="28" s="1"/>
  <c r="V50" i="28" s="1"/>
  <c r="V57" i="28" s="1"/>
  <c r="W50" i="28" s="1"/>
  <c r="B6" i="28"/>
  <c r="W56" i="28"/>
  <c r="AU57" i="21"/>
  <c r="AV50" i="21" s="1"/>
  <c r="AU59" i="21"/>
  <c r="AV52" i="21" s="1"/>
  <c r="AL62" i="22"/>
  <c r="AK76" i="22"/>
  <c r="CE59" i="11"/>
  <c r="AL70" i="22"/>
  <c r="AM64" i="22"/>
  <c r="AM71" i="22" s="1"/>
  <c r="AM65" i="22"/>
  <c r="AM72" i="22" s="1"/>
  <c r="C7" i="5"/>
  <c r="F8" i="5"/>
  <c r="S8" i="5" s="1"/>
  <c r="G20" i="13" s="1"/>
  <c r="O48" i="28"/>
  <c r="AP58" i="21"/>
  <c r="AQ51" i="21" s="1"/>
  <c r="AQ58" i="21" s="1"/>
  <c r="AR51" i="21" s="1"/>
  <c r="AR58" i="21" s="1"/>
  <c r="AS51" i="21" s="1"/>
  <c r="AS58" i="21" s="1"/>
  <c r="AT51" i="21" s="1"/>
  <c r="AT58" i="21" s="1"/>
  <c r="AU51" i="21" s="1"/>
  <c r="F5" i="5"/>
  <c r="M5" i="5" s="1"/>
  <c r="AL56" i="21"/>
  <c r="AM49" i="21" s="1"/>
  <c r="M60" i="28"/>
  <c r="AK62" i="21"/>
  <c r="AK64" i="21"/>
  <c r="B7" i="26"/>
  <c r="N61" i="28"/>
  <c r="BU61" i="11"/>
  <c r="BV56" i="11"/>
  <c r="BW49" i="11" s="1"/>
  <c r="R8" i="5"/>
  <c r="F20" i="13" s="1"/>
  <c r="R6" i="5"/>
  <c r="F18" i="13" s="1"/>
  <c r="L6" i="5"/>
  <c r="C6" i="5"/>
  <c r="E5" i="5"/>
  <c r="E7" i="5"/>
  <c r="P5" i="5"/>
  <c r="D17" i="13" s="1"/>
  <c r="J5" i="5"/>
  <c r="J8" i="5"/>
  <c r="P8" i="5"/>
  <c r="D20" i="13" s="1"/>
  <c r="AX53" i="21" l="1"/>
  <c r="AX60" i="21" s="1"/>
  <c r="CF52" i="11"/>
  <c r="AK73" i="22"/>
  <c r="X49" i="28"/>
  <c r="X56" i="28" s="1"/>
  <c r="Y49" i="28" s="1"/>
  <c r="AV57" i="21"/>
  <c r="AW50" i="21" s="1"/>
  <c r="W58" i="28"/>
  <c r="X51" i="28" s="1"/>
  <c r="AV59" i="21"/>
  <c r="AW52" i="21" s="1"/>
  <c r="W57" i="28"/>
  <c r="B9" i="26"/>
  <c r="P52" i="28"/>
  <c r="P59" i="28" s="1"/>
  <c r="Q52" i="28" s="1"/>
  <c r="Q59" i="28" s="1"/>
  <c r="R52" i="28" s="1"/>
  <c r="R59" i="28" s="1"/>
  <c r="S52" i="28" s="1"/>
  <c r="S59" i="28" s="1"/>
  <c r="T52" i="28" s="1"/>
  <c r="T59" i="28" s="1"/>
  <c r="U52" i="28" s="1"/>
  <c r="U59" i="28" s="1"/>
  <c r="V52" i="28" s="1"/>
  <c r="V59" i="28" s="1"/>
  <c r="W52" i="28" s="1"/>
  <c r="AM68" i="22"/>
  <c r="AN61" i="22" s="1"/>
  <c r="O55" i="28"/>
  <c r="O61" i="28" s="1"/>
  <c r="B4" i="28"/>
  <c r="AU58" i="21"/>
  <c r="AV51" i="21" s="1"/>
  <c r="AL69" i="22"/>
  <c r="AL74" i="22" s="1"/>
  <c r="AN64" i="22"/>
  <c r="AN71" i="22" s="1"/>
  <c r="AO64" i="22" s="1"/>
  <c r="AO71" i="22" s="1"/>
  <c r="AP64" i="22" s="1"/>
  <c r="AP71" i="22" s="1"/>
  <c r="AQ64" i="22" s="1"/>
  <c r="AQ71" i="22" s="1"/>
  <c r="AR64" i="22" s="1"/>
  <c r="AR71" i="22" s="1"/>
  <c r="AS64" i="22" s="1"/>
  <c r="AS71" i="22" s="1"/>
  <c r="AT64" i="22" s="1"/>
  <c r="AT71" i="22" s="1"/>
  <c r="AU64" i="22" s="1"/>
  <c r="AU71" i="22" s="1"/>
  <c r="AV64" i="22" s="1"/>
  <c r="AM63" i="22"/>
  <c r="AM70" i="22" s="1"/>
  <c r="AN63" i="22" s="1"/>
  <c r="AN70" i="22" s="1"/>
  <c r="AO63" i="22" s="1"/>
  <c r="AO70" i="22" s="1"/>
  <c r="AP63" i="22" s="1"/>
  <c r="AP70" i="22" s="1"/>
  <c r="AQ63" i="22" s="1"/>
  <c r="AQ70" i="22" s="1"/>
  <c r="AR63" i="22" s="1"/>
  <c r="AR70" i="22" s="1"/>
  <c r="AS63" i="22" s="1"/>
  <c r="AS70" i="22" s="1"/>
  <c r="AT63" i="22" s="1"/>
  <c r="AT70" i="22" s="1"/>
  <c r="AU63" i="22" s="1"/>
  <c r="AU70" i="22" s="1"/>
  <c r="AV63" i="22" s="1"/>
  <c r="AN65" i="22"/>
  <c r="AN72" i="22" s="1"/>
  <c r="AO65" i="22" s="1"/>
  <c r="AO72" i="22" s="1"/>
  <c r="AP65" i="22" s="1"/>
  <c r="AP72" i="22" s="1"/>
  <c r="AQ65" i="22" s="1"/>
  <c r="AQ72" i="22" s="1"/>
  <c r="AR65" i="22" s="1"/>
  <c r="AR72" i="22" s="1"/>
  <c r="AS65" i="22" s="1"/>
  <c r="AS72" i="22" s="1"/>
  <c r="AT65" i="22" s="1"/>
  <c r="AT72" i="22" s="1"/>
  <c r="AU65" i="22" s="1"/>
  <c r="AU72" i="22" s="1"/>
  <c r="AV65" i="22" s="1"/>
  <c r="P7" i="5"/>
  <c r="D19" i="13" s="1"/>
  <c r="J7" i="5"/>
  <c r="M8" i="5"/>
  <c r="S5" i="5"/>
  <c r="G17" i="13" s="1"/>
  <c r="N60" i="28"/>
  <c r="BV62" i="11"/>
  <c r="BV64" i="11"/>
  <c r="BW56" i="11"/>
  <c r="BX49" i="11" s="1"/>
  <c r="AM56" i="21"/>
  <c r="AN49" i="21" s="1"/>
  <c r="AL62" i="21"/>
  <c r="AL64" i="21"/>
  <c r="AK61" i="21"/>
  <c r="J45" i="26"/>
  <c r="J44" i="26"/>
  <c r="B45" i="26"/>
  <c r="B44" i="26"/>
  <c r="J43" i="26"/>
  <c r="J42" i="26"/>
  <c r="R7" i="5"/>
  <c r="F19" i="13" s="1"/>
  <c r="L7" i="5"/>
  <c r="L5" i="5"/>
  <c r="R5" i="5"/>
  <c r="F17" i="13" s="1"/>
  <c r="F6" i="5"/>
  <c r="J6" i="5"/>
  <c r="P6" i="5"/>
  <c r="D18" i="13" s="1"/>
  <c r="AL76" i="22" l="1"/>
  <c r="CF59" i="11"/>
  <c r="CG52" i="11" s="1"/>
  <c r="CG59" i="11" s="1"/>
  <c r="CH52" i="11" s="1"/>
  <c r="CH59" i="11" s="1"/>
  <c r="AV58" i="21"/>
  <c r="AW51" i="21" s="1"/>
  <c r="AW59" i="21"/>
  <c r="AX52" i="21" s="1"/>
  <c r="AX59" i="21" s="1"/>
  <c r="Y56" i="28"/>
  <c r="Z49" i="28" s="1"/>
  <c r="X58" i="28"/>
  <c r="Y51" i="28" s="1"/>
  <c r="AW57" i="21"/>
  <c r="AX50" i="21" s="1"/>
  <c r="AX57" i="21" s="1"/>
  <c r="X50" i="28"/>
  <c r="B51" i="26"/>
  <c r="B58" i="26" s="1"/>
  <c r="C51" i="26" s="1"/>
  <c r="C58" i="26" s="1"/>
  <c r="D51" i="26" s="1"/>
  <c r="D58" i="26" s="1"/>
  <c r="E51" i="26" s="1"/>
  <c r="E58" i="26" s="1"/>
  <c r="F51" i="26" s="1"/>
  <c r="F58" i="26" s="1"/>
  <c r="G51" i="26" s="1"/>
  <c r="G58" i="26" s="1"/>
  <c r="H51" i="26" s="1"/>
  <c r="H58" i="26" s="1"/>
  <c r="I51" i="26" s="1"/>
  <c r="I58" i="26" s="1"/>
  <c r="B52" i="26"/>
  <c r="B59" i="26" s="1"/>
  <c r="C52" i="26" s="1"/>
  <c r="C59" i="26" s="1"/>
  <c r="D52" i="26" s="1"/>
  <c r="D59" i="26" s="1"/>
  <c r="E52" i="26" s="1"/>
  <c r="E59" i="26" s="1"/>
  <c r="F52" i="26" s="1"/>
  <c r="F59" i="26" s="1"/>
  <c r="G52" i="26" s="1"/>
  <c r="G59" i="26" s="1"/>
  <c r="H52" i="26" s="1"/>
  <c r="H59" i="26" s="1"/>
  <c r="I52" i="26" s="1"/>
  <c r="I59" i="26" s="1"/>
  <c r="P48" i="28"/>
  <c r="P55" i="28" s="1"/>
  <c r="AN68" i="22"/>
  <c r="AO61" i="22" s="1"/>
  <c r="AO68" i="22" s="1"/>
  <c r="AP61" i="22" s="1"/>
  <c r="AP68" i="22" s="1"/>
  <c r="O63" i="28"/>
  <c r="B9" i="28"/>
  <c r="W59" i="28"/>
  <c r="AM62" i="22"/>
  <c r="AM69" i="22" s="1"/>
  <c r="AN62" i="22" s="1"/>
  <c r="AN69" i="22" s="1"/>
  <c r="AV70" i="22"/>
  <c r="AV72" i="22"/>
  <c r="AV71" i="22"/>
  <c r="BX56" i="11"/>
  <c r="AN56" i="21"/>
  <c r="AO49" i="21" s="1"/>
  <c r="AM62" i="21"/>
  <c r="AM64" i="21"/>
  <c r="BW62" i="11"/>
  <c r="BW64" i="11"/>
  <c r="F7" i="5"/>
  <c r="AL61" i="21"/>
  <c r="BV61" i="11"/>
  <c r="F4" i="5"/>
  <c r="S4" i="5" s="1"/>
  <c r="G16" i="13" s="1"/>
  <c r="B43" i="26"/>
  <c r="B42" i="26"/>
  <c r="M6" i="5"/>
  <c r="S6" i="5"/>
  <c r="G18" i="13" s="1"/>
  <c r="AL73" i="22" l="1"/>
  <c r="AW63" i="22"/>
  <c r="AW64" i="22"/>
  <c r="AW71" i="22" s="1"/>
  <c r="AX64" i="22" s="1"/>
  <c r="AW65" i="22"/>
  <c r="AW58" i="21"/>
  <c r="AX51" i="21" s="1"/>
  <c r="AX58" i="21" s="1"/>
  <c r="Y58" i="28"/>
  <c r="Z51" i="28" s="1"/>
  <c r="X57" i="28"/>
  <c r="Y50" i="28" s="1"/>
  <c r="X52" i="28"/>
  <c r="B49" i="26"/>
  <c r="B56" i="26" s="1"/>
  <c r="C49" i="26" s="1"/>
  <c r="C56" i="26" s="1"/>
  <c r="D49" i="26" s="1"/>
  <c r="D56" i="26" s="1"/>
  <c r="E49" i="26" s="1"/>
  <c r="E56" i="26" s="1"/>
  <c r="F49" i="26" s="1"/>
  <c r="F56" i="26" s="1"/>
  <c r="G49" i="26" s="1"/>
  <c r="G56" i="26" s="1"/>
  <c r="H49" i="26" s="1"/>
  <c r="H56" i="26" s="1"/>
  <c r="I49" i="26" s="1"/>
  <c r="I56" i="26" s="1"/>
  <c r="J49" i="26" s="1"/>
  <c r="J56" i="26" s="1"/>
  <c r="B50" i="26"/>
  <c r="B57" i="26" s="1"/>
  <c r="C50" i="26" s="1"/>
  <c r="C57" i="26" s="1"/>
  <c r="D50" i="26" s="1"/>
  <c r="D57" i="26" s="1"/>
  <c r="E50" i="26" s="1"/>
  <c r="E57" i="26" s="1"/>
  <c r="F50" i="26" s="1"/>
  <c r="F57" i="26" s="1"/>
  <c r="G50" i="26" s="1"/>
  <c r="G57" i="26" s="1"/>
  <c r="H50" i="26" s="1"/>
  <c r="H57" i="26" s="1"/>
  <c r="I50" i="26" s="1"/>
  <c r="I57" i="26" s="1"/>
  <c r="J50" i="26" s="1"/>
  <c r="J57" i="26" s="1"/>
  <c r="J52" i="26"/>
  <c r="J59" i="26" s="1"/>
  <c r="J51" i="26"/>
  <c r="J58" i="26" s="1"/>
  <c r="AN74" i="22"/>
  <c r="AM76" i="22"/>
  <c r="F32" i="5"/>
  <c r="O60" i="28"/>
  <c r="AO62" i="22"/>
  <c r="AO69" i="22" s="1"/>
  <c r="Q48" i="28"/>
  <c r="Q55" i="28" s="1"/>
  <c r="R48" i="28" s="1"/>
  <c r="AM74" i="22"/>
  <c r="M4" i="5"/>
  <c r="AM61" i="21"/>
  <c r="BW61" i="11"/>
  <c r="M7" i="5"/>
  <c r="S7" i="5"/>
  <c r="G19" i="13" s="1"/>
  <c r="AO56" i="21"/>
  <c r="AP49" i="21" s="1"/>
  <c r="AQ61" i="22"/>
  <c r="AQ68" i="22" s="1"/>
  <c r="P61" i="28"/>
  <c r="P63" i="28"/>
  <c r="AN62" i="21"/>
  <c r="AN64" i="21"/>
  <c r="BX62" i="11"/>
  <c r="BX64" i="11"/>
  <c r="BY49" i="11"/>
  <c r="AM73" i="22" l="1"/>
  <c r="AX71" i="22"/>
  <c r="AY64" i="22" s="1"/>
  <c r="AW72" i="22"/>
  <c r="AX65" i="22" s="1"/>
  <c r="AW70" i="22"/>
  <c r="AX63" i="22" s="1"/>
  <c r="Y57" i="28"/>
  <c r="Z50" i="28" s="1"/>
  <c r="X59" i="28"/>
  <c r="Y52" i="28" s="1"/>
  <c r="K52" i="26"/>
  <c r="L52" i="26" s="1"/>
  <c r="L59" i="26" s="1"/>
  <c r="K49" i="26"/>
  <c r="AN76" i="22"/>
  <c r="AP62" i="22"/>
  <c r="AP69" i="22" s="1"/>
  <c r="AO74" i="22"/>
  <c r="E32" i="5"/>
  <c r="BX61" i="11"/>
  <c r="AN61" i="21"/>
  <c r="P60" i="28"/>
  <c r="R55" i="28"/>
  <c r="S48" i="28" s="1"/>
  <c r="Q61" i="28"/>
  <c r="Q63" i="28"/>
  <c r="BY56" i="11"/>
  <c r="AR61" i="22"/>
  <c r="AP56" i="21"/>
  <c r="AO62" i="21"/>
  <c r="AO64" i="21"/>
  <c r="K51" i="26"/>
  <c r="B41" i="26"/>
  <c r="B48" i="26" s="1"/>
  <c r="AX70" i="22" l="1"/>
  <c r="AY63" i="22" s="1"/>
  <c r="AX72" i="22"/>
  <c r="AY65" i="22" s="1"/>
  <c r="Y59" i="28"/>
  <c r="Z52" i="28" s="1"/>
  <c r="M52" i="26"/>
  <c r="M59" i="26" s="1"/>
  <c r="N52" i="26" s="1"/>
  <c r="AO76" i="22"/>
  <c r="AN73" i="22"/>
  <c r="L51" i="26"/>
  <c r="L58" i="26" s="1"/>
  <c r="AQ62" i="22"/>
  <c r="AQ69" i="22" s="1"/>
  <c r="AP74" i="22"/>
  <c r="E4" i="5"/>
  <c r="AO61" i="21"/>
  <c r="Q60" i="28"/>
  <c r="BY62" i="11"/>
  <c r="BY64" i="11"/>
  <c r="AP62" i="21"/>
  <c r="AP64" i="21"/>
  <c r="AR68" i="22"/>
  <c r="AS61" i="22" s="1"/>
  <c r="AS68" i="22" s="1"/>
  <c r="AT61" i="22" s="1"/>
  <c r="AT68" i="22" s="1"/>
  <c r="AU61" i="22" s="1"/>
  <c r="S55" i="28"/>
  <c r="T48" i="28" s="1"/>
  <c r="AQ49" i="21"/>
  <c r="BZ49" i="11"/>
  <c r="R61" i="28"/>
  <c r="R63" i="28"/>
  <c r="K50" i="26"/>
  <c r="L49" i="26"/>
  <c r="B55" i="26"/>
  <c r="B63" i="26" s="1"/>
  <c r="M51" i="26" l="1"/>
  <c r="M58" i="26" s="1"/>
  <c r="N51" i="26" s="1"/>
  <c r="C48" i="26"/>
  <c r="C55" i="26" s="1"/>
  <c r="C61" i="26" s="1"/>
  <c r="AO73" i="22"/>
  <c r="AP76" i="22"/>
  <c r="N59" i="26"/>
  <c r="O52" i="26" s="1"/>
  <c r="O59" i="26" s="1"/>
  <c r="P52" i="26" s="1"/>
  <c r="P59" i="26" s="1"/>
  <c r="Q52" i="26" s="1"/>
  <c r="Q59" i="26" s="1"/>
  <c r="R52" i="26" s="1"/>
  <c r="R59" i="26" s="1"/>
  <c r="S52" i="26" s="1"/>
  <c r="S59" i="26" s="1"/>
  <c r="T52" i="26" s="1"/>
  <c r="T59" i="26" s="1"/>
  <c r="U52" i="26" s="1"/>
  <c r="U59" i="26" s="1"/>
  <c r="V52" i="26" s="1"/>
  <c r="L50" i="26"/>
  <c r="L57" i="26" s="1"/>
  <c r="AR62" i="22"/>
  <c r="AR69" i="22" s="1"/>
  <c r="AS62" i="22" s="1"/>
  <c r="AS69" i="22" s="1"/>
  <c r="AT62" i="22" s="1"/>
  <c r="AT69" i="22" s="1"/>
  <c r="AU62" i="22" s="1"/>
  <c r="AU69" i="22" s="1"/>
  <c r="AV62" i="22" s="1"/>
  <c r="AQ74" i="22"/>
  <c r="L4" i="5"/>
  <c r="R4" i="5"/>
  <c r="F16" i="13" s="1"/>
  <c r="BY61" i="11"/>
  <c r="AP61" i="21"/>
  <c r="R60" i="28"/>
  <c r="T55" i="28"/>
  <c r="U48" i="28" s="1"/>
  <c r="BZ56" i="11"/>
  <c r="CA49" i="11" s="1"/>
  <c r="AQ56" i="21"/>
  <c r="S61" i="28"/>
  <c r="S63" i="28"/>
  <c r="AU68" i="22"/>
  <c r="AV61" i="22" s="1"/>
  <c r="L56" i="26"/>
  <c r="B61" i="26"/>
  <c r="AV69" i="22" l="1"/>
  <c r="M50" i="26"/>
  <c r="M57" i="26" s="1"/>
  <c r="N50" i="26" s="1"/>
  <c r="M49" i="26"/>
  <c r="AQ76" i="22"/>
  <c r="AP73" i="22"/>
  <c r="AS74" i="22"/>
  <c r="AT74" i="22"/>
  <c r="AR74" i="22"/>
  <c r="N58" i="26"/>
  <c r="O51" i="26" s="1"/>
  <c r="O58" i="26" s="1"/>
  <c r="P51" i="26" s="1"/>
  <c r="P58" i="26" s="1"/>
  <c r="Q51" i="26" s="1"/>
  <c r="Q58" i="26" s="1"/>
  <c r="R51" i="26" s="1"/>
  <c r="R58" i="26" s="1"/>
  <c r="S51" i="26" s="1"/>
  <c r="S58" i="26" s="1"/>
  <c r="T51" i="26" s="1"/>
  <c r="T58" i="26" s="1"/>
  <c r="U51" i="26" s="1"/>
  <c r="U58" i="26" s="1"/>
  <c r="V51" i="26" s="1"/>
  <c r="V59" i="26"/>
  <c r="AR49" i="21"/>
  <c r="AR56" i="21" s="1"/>
  <c r="AS49" i="21" s="1"/>
  <c r="AQ62" i="21"/>
  <c r="AV68" i="22"/>
  <c r="AW61" i="22" s="1"/>
  <c r="U55" i="28"/>
  <c r="AQ64" i="21"/>
  <c r="T61" i="28"/>
  <c r="T63" i="28"/>
  <c r="CA56" i="11"/>
  <c r="CB49" i="11" s="1"/>
  <c r="S60" i="28"/>
  <c r="BZ62" i="11"/>
  <c r="BZ64" i="11"/>
  <c r="AU74" i="22"/>
  <c r="C63" i="26"/>
  <c r="B60" i="26"/>
  <c r="D48" i="26"/>
  <c r="AV74" i="22" l="1"/>
  <c r="AW62" i="22"/>
  <c r="AW69" i="22" s="1"/>
  <c r="V58" i="26"/>
  <c r="W52" i="26"/>
  <c r="AR76" i="22"/>
  <c r="AQ73" i="22"/>
  <c r="M56" i="26"/>
  <c r="N57" i="26"/>
  <c r="T60" i="28"/>
  <c r="BZ61" i="11"/>
  <c r="CB56" i="11"/>
  <c r="CC49" i="11" s="1"/>
  <c r="CA62" i="11"/>
  <c r="CA64" i="11"/>
  <c r="AQ61" i="21"/>
  <c r="U63" i="28"/>
  <c r="U61" i="28"/>
  <c r="V48" i="28"/>
  <c r="AS56" i="21"/>
  <c r="AR62" i="21"/>
  <c r="AR64" i="21"/>
  <c r="D55" i="26"/>
  <c r="C60" i="26"/>
  <c r="AR73" i="22" l="1"/>
  <c r="AX62" i="22"/>
  <c r="AW68" i="22"/>
  <c r="AW74" i="22" s="1"/>
  <c r="W51" i="26"/>
  <c r="W58" i="26" s="1"/>
  <c r="X51" i="26" s="1"/>
  <c r="W59" i="26"/>
  <c r="X52" i="26" s="1"/>
  <c r="E48" i="26"/>
  <c r="E55" i="26" s="1"/>
  <c r="E61" i="26" s="1"/>
  <c r="N49" i="26"/>
  <c r="N56" i="26" s="1"/>
  <c r="O49" i="26" s="1"/>
  <c r="O56" i="26" s="1"/>
  <c r="P49" i="26" s="1"/>
  <c r="P56" i="26" s="1"/>
  <c r="Q49" i="26" s="1"/>
  <c r="Q56" i="26" s="1"/>
  <c r="R49" i="26" s="1"/>
  <c r="R56" i="26" s="1"/>
  <c r="S49" i="26" s="1"/>
  <c r="S56" i="26" s="1"/>
  <c r="T49" i="26" s="1"/>
  <c r="T56" i="26" s="1"/>
  <c r="O50" i="26"/>
  <c r="O57" i="26" s="1"/>
  <c r="P50" i="26" s="1"/>
  <c r="P57" i="26" s="1"/>
  <c r="Q50" i="26" s="1"/>
  <c r="Q57" i="26" s="1"/>
  <c r="R50" i="26" s="1"/>
  <c r="R57" i="26" s="1"/>
  <c r="S50" i="26" s="1"/>
  <c r="S57" i="26" s="1"/>
  <c r="T50" i="26" s="1"/>
  <c r="T57" i="26" s="1"/>
  <c r="U50" i="26" s="1"/>
  <c r="U57" i="26" s="1"/>
  <c r="V50" i="26" s="1"/>
  <c r="AS76" i="22"/>
  <c r="D63" i="26"/>
  <c r="D60" i="26" s="1"/>
  <c r="AT49" i="21"/>
  <c r="AT56" i="21" s="1"/>
  <c r="AU49" i="21" s="1"/>
  <c r="U60" i="28"/>
  <c r="AR61" i="21"/>
  <c r="V55" i="28"/>
  <c r="W48" i="28" s="1"/>
  <c r="CA61" i="11"/>
  <c r="AS62" i="21"/>
  <c r="AS64" i="21"/>
  <c r="CC56" i="11"/>
  <c r="CD49" i="11" s="1"/>
  <c r="CB62" i="11"/>
  <c r="CB64" i="11"/>
  <c r="D61" i="26"/>
  <c r="AX69" i="22" l="1"/>
  <c r="AY62" i="22" s="1"/>
  <c r="X59" i="26"/>
  <c r="Y52" i="26" s="1"/>
  <c r="W55" i="28"/>
  <c r="X48" i="28" s="1"/>
  <c r="X55" i="28" s="1"/>
  <c r="AX61" i="22"/>
  <c r="V57" i="26"/>
  <c r="W50" i="26" s="1"/>
  <c r="X58" i="26"/>
  <c r="AT76" i="22"/>
  <c r="AS73" i="22"/>
  <c r="U49" i="26"/>
  <c r="U56" i="26" s="1"/>
  <c r="V49" i="26" s="1"/>
  <c r="AS61" i="21"/>
  <c r="AU56" i="21"/>
  <c r="AV49" i="21" s="1"/>
  <c r="CB61" i="11"/>
  <c r="AT62" i="21"/>
  <c r="AT64" i="21"/>
  <c r="CD56" i="11"/>
  <c r="CE49" i="11" s="1"/>
  <c r="CC62" i="11"/>
  <c r="CC64" i="11"/>
  <c r="V61" i="28"/>
  <c r="V63" i="28"/>
  <c r="F48" i="26"/>
  <c r="F55" i="26" s="1"/>
  <c r="G48" i="26" s="1"/>
  <c r="E63" i="26"/>
  <c r="AY78" i="22" l="1"/>
  <c r="AY81" i="22"/>
  <c r="AY82" i="22"/>
  <c r="AY80" i="22"/>
  <c r="AY79" i="22"/>
  <c r="AX68" i="22"/>
  <c r="AX74" i="22" s="1"/>
  <c r="AV56" i="21"/>
  <c r="AW49" i="21" s="1"/>
  <c r="W57" i="26"/>
  <c r="X50" i="26" s="1"/>
  <c r="Y51" i="26"/>
  <c r="AT73" i="22"/>
  <c r="AU76" i="22"/>
  <c r="V56" i="26"/>
  <c r="W63" i="28"/>
  <c r="AU62" i="21"/>
  <c r="AU64" i="21"/>
  <c r="CC61" i="11"/>
  <c r="CD62" i="11"/>
  <c r="CD64" i="11"/>
  <c r="V60" i="28"/>
  <c r="AT61" i="21"/>
  <c r="E60" i="26"/>
  <c r="G55" i="26"/>
  <c r="G61" i="26" s="1"/>
  <c r="F61" i="26"/>
  <c r="F63" i="26"/>
  <c r="AY61" i="22" l="1"/>
  <c r="AY68" i="22" s="1"/>
  <c r="X57" i="26"/>
  <c r="Y50" i="26" s="1"/>
  <c r="AY77" i="22"/>
  <c r="AU73" i="22"/>
  <c r="AW56" i="21"/>
  <c r="AX49" i="21" s="1"/>
  <c r="AX56" i="21" s="1"/>
  <c r="W49" i="26"/>
  <c r="AV64" i="21"/>
  <c r="AV62" i="21"/>
  <c r="AV76" i="22"/>
  <c r="W60" i="28"/>
  <c r="W61" i="28"/>
  <c r="CE56" i="11"/>
  <c r="CF49" i="11" s="1"/>
  <c r="C32" i="5"/>
  <c r="C4" i="5"/>
  <c r="CD61" i="11"/>
  <c r="AU61" i="21"/>
  <c r="H48" i="26"/>
  <c r="H55" i="26" s="1"/>
  <c r="G63" i="26"/>
  <c r="F60" i="26"/>
  <c r="AY71" i="22" l="1"/>
  <c r="AZ64" i="22" s="1"/>
  <c r="AZ71" i="22" s="1"/>
  <c r="BA64" i="22" s="1"/>
  <c r="AY70" i="22"/>
  <c r="AZ63" i="22" s="1"/>
  <c r="AZ70" i="22" s="1"/>
  <c r="BA63" i="22" s="1"/>
  <c r="AY72" i="22"/>
  <c r="AZ65" i="22" s="1"/>
  <c r="AZ72" i="22" s="1"/>
  <c r="BA65" i="22" s="1"/>
  <c r="AY69" i="22"/>
  <c r="AZ62" i="22" s="1"/>
  <c r="AZ61" i="22"/>
  <c r="AW64" i="21"/>
  <c r="CF56" i="11"/>
  <c r="CG49" i="11" s="1"/>
  <c r="AV61" i="21"/>
  <c r="AW76" i="22"/>
  <c r="Y48" i="28"/>
  <c r="W56" i="26"/>
  <c r="X49" i="26" s="1"/>
  <c r="AW62" i="21"/>
  <c r="AV73" i="22"/>
  <c r="CE64" i="11"/>
  <c r="CE62" i="11"/>
  <c r="P4" i="5"/>
  <c r="D16" i="13" s="1"/>
  <c r="J4" i="5"/>
  <c r="H61" i="26"/>
  <c r="G60" i="26"/>
  <c r="H63" i="26"/>
  <c r="I48" i="26"/>
  <c r="Y66" i="26" l="1"/>
  <c r="Y69" i="26"/>
  <c r="Y68" i="26"/>
  <c r="Y67" i="26"/>
  <c r="Z65" i="28"/>
  <c r="Z66" i="28"/>
  <c r="Z68" i="28"/>
  <c r="Z67" i="28"/>
  <c r="Z69" i="28"/>
  <c r="AZ68" i="22"/>
  <c r="BA61" i="22" s="1"/>
  <c r="AY74" i="22"/>
  <c r="AZ69" i="22"/>
  <c r="BA62" i="22" s="1"/>
  <c r="X56" i="26"/>
  <c r="Y49" i="26" s="1"/>
  <c r="AX76" i="22"/>
  <c r="CG56" i="11"/>
  <c r="CF64" i="11"/>
  <c r="CF62" i="11"/>
  <c r="AW73" i="22"/>
  <c r="AW61" i="21"/>
  <c r="X63" i="28"/>
  <c r="X61" i="28"/>
  <c r="Y55" i="28"/>
  <c r="Z48" i="28" s="1"/>
  <c r="Z55" i="28" s="1"/>
  <c r="CE61" i="11"/>
  <c r="I55" i="26"/>
  <c r="J48" i="26" s="1"/>
  <c r="J55" i="26" s="1"/>
  <c r="H60" i="26"/>
  <c r="Z56" i="28" l="1"/>
  <c r="Z59" i="28"/>
  <c r="Z57" i="28"/>
  <c r="Z58" i="28"/>
  <c r="AA48" i="28"/>
  <c r="CF61" i="11"/>
  <c r="BB64" i="22"/>
  <c r="BB71" i="22" s="1"/>
  <c r="BC64" i="22" s="1"/>
  <c r="BC71" i="22" s="1"/>
  <c r="BD64" i="22" s="1"/>
  <c r="BD71" i="22" s="1"/>
  <c r="BE64" i="22" s="1"/>
  <c r="BE71" i="22" s="1"/>
  <c r="BF64" i="22" s="1"/>
  <c r="BF71" i="22" s="1"/>
  <c r="BG64" i="22" s="1"/>
  <c r="BG71" i="22" s="1"/>
  <c r="BH64" i="22" s="1"/>
  <c r="BB65" i="22"/>
  <c r="BB72" i="22" s="1"/>
  <c r="BC65" i="22" s="1"/>
  <c r="BC72" i="22" s="1"/>
  <c r="BD65" i="22" s="1"/>
  <c r="BD72" i="22" s="1"/>
  <c r="BE65" i="22" s="1"/>
  <c r="BE72" i="22" s="1"/>
  <c r="BF65" i="22" s="1"/>
  <c r="BF72" i="22" s="1"/>
  <c r="BG65" i="22" s="1"/>
  <c r="BG72" i="22" s="1"/>
  <c r="BH65" i="22" s="1"/>
  <c r="BB63" i="22"/>
  <c r="BB70" i="22" s="1"/>
  <c r="BC63" i="22" s="1"/>
  <c r="BC70" i="22" s="1"/>
  <c r="BD63" i="22" s="1"/>
  <c r="BD70" i="22" s="1"/>
  <c r="BE63" i="22" s="1"/>
  <c r="BE70" i="22" s="1"/>
  <c r="BF63" i="22" s="1"/>
  <c r="BF70" i="22" s="1"/>
  <c r="BG63" i="22" s="1"/>
  <c r="BG70" i="22" s="1"/>
  <c r="BH63" i="22" s="1"/>
  <c r="BB62" i="22"/>
  <c r="BB69" i="22" s="1"/>
  <c r="BC62" i="22" s="1"/>
  <c r="BC69" i="22" s="1"/>
  <c r="BD62" i="22" s="1"/>
  <c r="BD69" i="22" s="1"/>
  <c r="BE62" i="22" s="1"/>
  <c r="BE69" i="22" s="1"/>
  <c r="BF62" i="22" s="1"/>
  <c r="BF69" i="22" s="1"/>
  <c r="BG62" i="22" s="1"/>
  <c r="BG69" i="22" s="1"/>
  <c r="BH62" i="22" s="1"/>
  <c r="BB61" i="22"/>
  <c r="BA77" i="22"/>
  <c r="AZ74" i="22"/>
  <c r="Z64" i="28"/>
  <c r="AY76" i="22"/>
  <c r="CH49" i="11"/>
  <c r="CH56" i="11" s="1"/>
  <c r="CG62" i="11"/>
  <c r="CG64" i="11"/>
  <c r="X60" i="28"/>
  <c r="AX73" i="22"/>
  <c r="Y61" i="28"/>
  <c r="Y63" i="28"/>
  <c r="K48" i="26"/>
  <c r="I63" i="26"/>
  <c r="I61" i="26"/>
  <c r="BH69" i="22" l="1"/>
  <c r="BI62" i="22" s="1"/>
  <c r="BH72" i="22"/>
  <c r="BI65" i="22" s="1"/>
  <c r="BI72" i="22" s="1"/>
  <c r="BJ65" i="22" s="1"/>
  <c r="BJ72" i="22" s="1"/>
  <c r="BK65" i="22" s="1"/>
  <c r="BK72" i="22" s="1"/>
  <c r="BL65" i="22" s="1"/>
  <c r="BH71" i="22"/>
  <c r="BI64" i="22" s="1"/>
  <c r="BH70" i="22"/>
  <c r="BI63" i="22" s="1"/>
  <c r="BI70" i="22" s="1"/>
  <c r="BJ63" i="22" s="1"/>
  <c r="BJ70" i="22" s="1"/>
  <c r="BK63" i="22" s="1"/>
  <c r="BK70" i="22" s="1"/>
  <c r="BL63" i="22" s="1"/>
  <c r="AZ76" i="22"/>
  <c r="Z63" i="28"/>
  <c r="AY73" i="22"/>
  <c r="BA74" i="22"/>
  <c r="BB68" i="22"/>
  <c r="BB74" i="22" s="1"/>
  <c r="AA50" i="28"/>
  <c r="AA49" i="28"/>
  <c r="AA56" i="28" s="1"/>
  <c r="AB49" i="28" s="1"/>
  <c r="AB56" i="28" s="1"/>
  <c r="AC49" i="28" s="1"/>
  <c r="AC56" i="28" s="1"/>
  <c r="AD49" i="28" s="1"/>
  <c r="AD56" i="28" s="1"/>
  <c r="AE49" i="28" s="1"/>
  <c r="AE56" i="28" s="1"/>
  <c r="AF49" i="28" s="1"/>
  <c r="AF56" i="28" s="1"/>
  <c r="AG49" i="28" s="1"/>
  <c r="AA52" i="28"/>
  <c r="AA59" i="28" s="1"/>
  <c r="AB52" i="28" s="1"/>
  <c r="AB59" i="28" s="1"/>
  <c r="AC52" i="28" s="1"/>
  <c r="AC59" i="28" s="1"/>
  <c r="AD52" i="28" s="1"/>
  <c r="AD59" i="28" s="1"/>
  <c r="AE52" i="28" s="1"/>
  <c r="AE59" i="28" s="1"/>
  <c r="AF52" i="28" s="1"/>
  <c r="AF59" i="28" s="1"/>
  <c r="AG52" i="28" s="1"/>
  <c r="AA51" i="28"/>
  <c r="AA58" i="28" s="1"/>
  <c r="AB51" i="28" s="1"/>
  <c r="AB58" i="28" s="1"/>
  <c r="AC51" i="28" s="1"/>
  <c r="AC58" i="28" s="1"/>
  <c r="AD51" i="28" s="1"/>
  <c r="AD58" i="28" s="1"/>
  <c r="AE51" i="28" s="1"/>
  <c r="AE58" i="28" s="1"/>
  <c r="AF51" i="28" s="1"/>
  <c r="AF58" i="28" s="1"/>
  <c r="AG51" i="28" s="1"/>
  <c r="AG58" i="28" s="1"/>
  <c r="AH51" i="28" s="1"/>
  <c r="AH58" i="28" s="1"/>
  <c r="AI51" i="28" s="1"/>
  <c r="AI58" i="28" s="1"/>
  <c r="CG61" i="11"/>
  <c r="Y60" i="28"/>
  <c r="AA55" i="28"/>
  <c r="AB48" i="28" s="1"/>
  <c r="Z61" i="28"/>
  <c r="J61" i="26"/>
  <c r="L48" i="26"/>
  <c r="I60" i="26"/>
  <c r="J63" i="26"/>
  <c r="BA76" i="22" l="1"/>
  <c r="BB76" i="22" s="1"/>
  <c r="BL72" i="22"/>
  <c r="BM65" i="22" s="1"/>
  <c r="BL70" i="22"/>
  <c r="BM63" i="22" s="1"/>
  <c r="BI71" i="22"/>
  <c r="BJ64" i="22" s="1"/>
  <c r="BI69" i="22"/>
  <c r="BJ62" i="22" s="1"/>
  <c r="BA73" i="22"/>
  <c r="AG59" i="28"/>
  <c r="AG56" i="28"/>
  <c r="AA57" i="28"/>
  <c r="AB50" i="28" s="1"/>
  <c r="AB57" i="28" s="1"/>
  <c r="AC50" i="28" s="1"/>
  <c r="AC57" i="28" s="1"/>
  <c r="AD50" i="28" s="1"/>
  <c r="AD57" i="28" s="1"/>
  <c r="AE50" i="28" s="1"/>
  <c r="AE57" i="28" s="1"/>
  <c r="AF50" i="28" s="1"/>
  <c r="AF57" i="28" s="1"/>
  <c r="AG50" i="28" s="1"/>
  <c r="AG57" i="28" s="1"/>
  <c r="AH50" i="28" s="1"/>
  <c r="AH57" i="28" s="1"/>
  <c r="AI50" i="28" s="1"/>
  <c r="AI57" i="28" s="1"/>
  <c r="BC61" i="22"/>
  <c r="AZ73" i="22"/>
  <c r="AB55" i="28"/>
  <c r="AC48" i="28" s="1"/>
  <c r="Z60" i="28"/>
  <c r="K61" i="26"/>
  <c r="K63" i="26"/>
  <c r="J60" i="26"/>
  <c r="BM70" i="22" l="1"/>
  <c r="BN63" i="22" s="1"/>
  <c r="BJ69" i="22"/>
  <c r="BK62" i="22" s="1"/>
  <c r="BK69" i="22" s="1"/>
  <c r="BL62" i="22" s="1"/>
  <c r="BJ71" i="22"/>
  <c r="BK64" i="22" s="1"/>
  <c r="BK71" i="22" s="1"/>
  <c r="BL64" i="22" s="1"/>
  <c r="BM72" i="22"/>
  <c r="BN65" i="22" s="1"/>
  <c r="AA61" i="28"/>
  <c r="AA63" i="28"/>
  <c r="AH49" i="28"/>
  <c r="AH56" i="28" s="1"/>
  <c r="AI49" i="28" s="1"/>
  <c r="AH52" i="28"/>
  <c r="AH59" i="28" s="1"/>
  <c r="AI52" i="28" s="1"/>
  <c r="AI59" i="28" s="1"/>
  <c r="BC68" i="22"/>
  <c r="AC55" i="28"/>
  <c r="AD48" i="28" s="1"/>
  <c r="AB61" i="28"/>
  <c r="K60" i="26"/>
  <c r="L55" i="26"/>
  <c r="BN72" i="22" l="1"/>
  <c r="BO65" i="22" s="1"/>
  <c r="BL69" i="22"/>
  <c r="BM62" i="22" s="1"/>
  <c r="BL71" i="22"/>
  <c r="BM64" i="22" s="1"/>
  <c r="BM71" i="22" s="1"/>
  <c r="BN64" i="22" s="1"/>
  <c r="BN70" i="22"/>
  <c r="BO63" i="22" s="1"/>
  <c r="BO70" i="22" s="1"/>
  <c r="BP63" i="22" s="1"/>
  <c r="AA60" i="28"/>
  <c r="AB63" i="28"/>
  <c r="AI56" i="28"/>
  <c r="BC74" i="22"/>
  <c r="BD61" i="22"/>
  <c r="BD68" i="22" s="1"/>
  <c r="BD74" i="22" s="1"/>
  <c r="BB73" i="22"/>
  <c r="BC76" i="22"/>
  <c r="AD55" i="28"/>
  <c r="AE48" i="28" s="1"/>
  <c r="AC61" i="28"/>
  <c r="M48" i="26"/>
  <c r="M55" i="26" s="1"/>
  <c r="L63" i="26"/>
  <c r="L61" i="26"/>
  <c r="BM69" i="22" l="1"/>
  <c r="BN62" i="22" s="1"/>
  <c r="BP70" i="22"/>
  <c r="BQ63" i="22" s="1"/>
  <c r="BQ70" i="22" s="1"/>
  <c r="BR63" i="22" s="1"/>
  <c r="BO72" i="22"/>
  <c r="BP65" i="22" s="1"/>
  <c r="BN71" i="22"/>
  <c r="BO64" i="22" s="1"/>
  <c r="BO71" i="22" s="1"/>
  <c r="BP64" i="22" s="1"/>
  <c r="AC63" i="28"/>
  <c r="AB60" i="28"/>
  <c r="BE61" i="22"/>
  <c r="BC73" i="22"/>
  <c r="BD76" i="22"/>
  <c r="AE55" i="28"/>
  <c r="AF48" i="28" s="1"/>
  <c r="AD61" i="28"/>
  <c r="M63" i="26"/>
  <c r="N48" i="26"/>
  <c r="N55" i="26" s="1"/>
  <c r="L60" i="26"/>
  <c r="M61" i="26"/>
  <c r="BR70" i="22" l="1"/>
  <c r="BS63" i="22" s="1"/>
  <c r="BS70" i="22" s="1"/>
  <c r="BT63" i="22" s="1"/>
  <c r="BT70" i="22" s="1"/>
  <c r="BN69" i="22"/>
  <c r="BO62" i="22" s="1"/>
  <c r="BP72" i="22"/>
  <c r="BQ65" i="22" s="1"/>
  <c r="BP71" i="22"/>
  <c r="BQ64" i="22" s="1"/>
  <c r="BQ71" i="22" s="1"/>
  <c r="BR64" i="22" s="1"/>
  <c r="AD63" i="28"/>
  <c r="AC60" i="28"/>
  <c r="BD73" i="22"/>
  <c r="BE68" i="22"/>
  <c r="BE74" i="22" s="1"/>
  <c r="AF55" i="28"/>
  <c r="AG48" i="28" s="1"/>
  <c r="AE61" i="28"/>
  <c r="N63" i="26"/>
  <c r="M60" i="26"/>
  <c r="N61" i="26"/>
  <c r="O48" i="26"/>
  <c r="BO69" i="22" l="1"/>
  <c r="BP62" i="22" s="1"/>
  <c r="BR71" i="22"/>
  <c r="BS64" i="22" s="1"/>
  <c r="BS71" i="22" s="1"/>
  <c r="BT64" i="22" s="1"/>
  <c r="BT71" i="22" s="1"/>
  <c r="AE63" i="28"/>
  <c r="BQ72" i="22"/>
  <c r="BR65" i="22" s="1"/>
  <c r="AD60" i="28"/>
  <c r="BF61" i="22"/>
  <c r="BE76" i="22"/>
  <c r="AG55" i="28"/>
  <c r="AH48" i="28" s="1"/>
  <c r="AF61" i="28"/>
  <c r="N60" i="26"/>
  <c r="O55" i="26"/>
  <c r="AF63" i="28" l="1"/>
  <c r="BR72" i="22"/>
  <c r="BS65" i="22" s="1"/>
  <c r="BS72" i="22" s="1"/>
  <c r="BT65" i="22" s="1"/>
  <c r="BT72" i="22" s="1"/>
  <c r="BP69" i="22"/>
  <c r="BQ62" i="22" s="1"/>
  <c r="BQ69" i="22" s="1"/>
  <c r="BR62" i="22" s="1"/>
  <c r="AE60" i="28"/>
  <c r="BE73" i="22"/>
  <c r="BF68" i="22"/>
  <c r="BF74" i="22" s="1"/>
  <c r="AH55" i="28"/>
  <c r="AI48" i="28" s="1"/>
  <c r="AG61" i="28"/>
  <c r="P48" i="26"/>
  <c r="P55" i="26" s="1"/>
  <c r="Q48" i="26" s="1"/>
  <c r="O61" i="26"/>
  <c r="O63" i="26"/>
  <c r="AG63" i="28" l="1"/>
  <c r="AF60" i="28"/>
  <c r="BR69" i="22"/>
  <c r="BS62" i="22" s="1"/>
  <c r="BS69" i="22" s="1"/>
  <c r="BT62" i="22" s="1"/>
  <c r="BT69" i="22" s="1"/>
  <c r="AI55" i="28"/>
  <c r="BG61" i="22"/>
  <c r="BF76" i="22"/>
  <c r="AH61" i="28"/>
  <c r="O60" i="26"/>
  <c r="Q55" i="26"/>
  <c r="R48" i="26" s="1"/>
  <c r="P61" i="26"/>
  <c r="P63" i="26"/>
  <c r="AH63" i="28" l="1"/>
  <c r="AG60" i="28"/>
  <c r="AI61" i="28"/>
  <c r="BF73" i="22"/>
  <c r="BG68" i="22"/>
  <c r="BG74" i="22" s="1"/>
  <c r="P60" i="26"/>
  <c r="Q61" i="26"/>
  <c r="Q63" i="26"/>
  <c r="R55" i="26"/>
  <c r="S48" i="26" s="1"/>
  <c r="AI63" i="28" l="1"/>
  <c r="AH60" i="28"/>
  <c r="BH61" i="22"/>
  <c r="BH68" i="22" s="1"/>
  <c r="BG76" i="22"/>
  <c r="S55" i="26"/>
  <c r="Q60" i="26"/>
  <c r="R61" i="26"/>
  <c r="R63" i="26"/>
  <c r="AI60" i="28" l="1"/>
  <c r="BI61" i="22"/>
  <c r="BI68" i="22" s="1"/>
  <c r="BG73" i="22"/>
  <c r="R60" i="26"/>
  <c r="S61" i="26"/>
  <c r="S63" i="26"/>
  <c r="T48" i="26"/>
  <c r="BH74" i="22" l="1"/>
  <c r="S60" i="26"/>
  <c r="T55" i="26"/>
  <c r="U48" i="26" s="1"/>
  <c r="BI74" i="22" l="1"/>
  <c r="BJ61" i="22"/>
  <c r="BJ68" i="22" s="1"/>
  <c r="U55" i="26"/>
  <c r="V48" i="26" s="1"/>
  <c r="T61" i="26"/>
  <c r="T63" i="26"/>
  <c r="BK61" i="22" l="1"/>
  <c r="BK68" i="22" s="1"/>
  <c r="V55" i="26"/>
  <c r="W48" i="26" s="1"/>
  <c r="T60" i="26"/>
  <c r="U61" i="26"/>
  <c r="U63" i="26"/>
  <c r="BL61" i="22" l="1"/>
  <c r="BL68" i="22" s="1"/>
  <c r="BJ74" i="22"/>
  <c r="W55" i="26"/>
  <c r="X48" i="26" s="1"/>
  <c r="Y65" i="26" s="1"/>
  <c r="V61" i="26"/>
  <c r="V63" i="26"/>
  <c r="U60" i="26"/>
  <c r="BM61" i="22" l="1"/>
  <c r="BM68" i="22" s="1"/>
  <c r="BK74" i="22"/>
  <c r="X55" i="26"/>
  <c r="Y48" i="26" s="1"/>
  <c r="Y64" i="26"/>
  <c r="W63" i="26"/>
  <c r="W61" i="26"/>
  <c r="V60" i="26"/>
  <c r="Y55" i="26" l="1"/>
  <c r="Z48" i="26" s="1"/>
  <c r="Y58" i="26"/>
  <c r="Z51" i="26" s="1"/>
  <c r="Z58" i="26" s="1"/>
  <c r="AA51" i="26" s="1"/>
  <c r="AA58" i="26" s="1"/>
  <c r="AB51" i="26" s="1"/>
  <c r="Y57" i="26"/>
  <c r="Y59" i="26"/>
  <c r="Z52" i="26" s="1"/>
  <c r="Z59" i="26" s="1"/>
  <c r="AA52" i="26" s="1"/>
  <c r="AA59" i="26" s="1"/>
  <c r="AB52" i="26" s="1"/>
  <c r="AB59" i="26" s="1"/>
  <c r="AC52" i="26" s="1"/>
  <c r="AC59" i="26" s="1"/>
  <c r="AD52" i="26" s="1"/>
  <c r="Y56" i="26"/>
  <c r="Z49" i="26" s="1"/>
  <c r="Z56" i="26" s="1"/>
  <c r="AA49" i="26" s="1"/>
  <c r="AA56" i="26" s="1"/>
  <c r="AB49" i="26" s="1"/>
  <c r="BN61" i="22"/>
  <c r="BN68" i="22" s="1"/>
  <c r="BL74" i="22"/>
  <c r="W60" i="26"/>
  <c r="X63" i="26"/>
  <c r="X61" i="26"/>
  <c r="BM74" i="22" l="1"/>
  <c r="BO61" i="22"/>
  <c r="BO68" i="22" s="1"/>
  <c r="AB58" i="26"/>
  <c r="AC51" i="26" s="1"/>
  <c r="AC58" i="26" s="1"/>
  <c r="AD51" i="26" s="1"/>
  <c r="AD58" i="26" s="1"/>
  <c r="AE51" i="26" s="1"/>
  <c r="AE58" i="26" s="1"/>
  <c r="AF51" i="26" s="1"/>
  <c r="AF58" i="26" s="1"/>
  <c r="AG51" i="26" s="1"/>
  <c r="AG58" i="26" s="1"/>
  <c r="AH51" i="26" s="1"/>
  <c r="AH58" i="26" s="1"/>
  <c r="AD59" i="26"/>
  <c r="AE52" i="26" s="1"/>
  <c r="AE59" i="26" s="1"/>
  <c r="AF52" i="26" s="1"/>
  <c r="AB56" i="26"/>
  <c r="AC49" i="26" s="1"/>
  <c r="AC56" i="26" s="1"/>
  <c r="AD49" i="26" s="1"/>
  <c r="AD56" i="26" s="1"/>
  <c r="AE49" i="26" s="1"/>
  <c r="AE56" i="26" s="1"/>
  <c r="AF49" i="26" s="1"/>
  <c r="AF56" i="26" s="1"/>
  <c r="AG49" i="26" s="1"/>
  <c r="AG56" i="26" s="1"/>
  <c r="AH49" i="26" s="1"/>
  <c r="Z50" i="26"/>
  <c r="X60" i="26"/>
  <c r="Z55" i="26"/>
  <c r="AA48" i="26" s="1"/>
  <c r="Y63" i="26"/>
  <c r="Y61" i="26"/>
  <c r="BP61" i="22" l="1"/>
  <c r="BP68" i="22" s="1"/>
  <c r="BN74" i="22"/>
  <c r="AH56" i="26"/>
  <c r="AF59" i="26"/>
  <c r="AG52" i="26" s="1"/>
  <c r="Z57" i="26"/>
  <c r="Z61" i="26" s="1"/>
  <c r="Y60" i="26"/>
  <c r="AA55" i="26"/>
  <c r="AB48" i="26" s="1"/>
  <c r="BQ61" i="22" l="1"/>
  <c r="BQ68" i="22" s="1"/>
  <c r="BO74" i="22"/>
  <c r="Z63" i="26"/>
  <c r="AG59" i="26"/>
  <c r="AH52" i="26" s="1"/>
  <c r="AA50" i="26"/>
  <c r="AA57" i="26" s="1"/>
  <c r="AB50" i="26" s="1"/>
  <c r="AB57" i="26" s="1"/>
  <c r="AC50" i="26" s="1"/>
  <c r="AC57" i="26" s="1"/>
  <c r="AD50" i="26" s="1"/>
  <c r="AD57" i="26" s="1"/>
  <c r="AE50" i="26" s="1"/>
  <c r="AE57" i="26" s="1"/>
  <c r="AF50" i="26" s="1"/>
  <c r="AB55" i="26"/>
  <c r="AC48" i="26" s="1"/>
  <c r="BR61" i="22" l="1"/>
  <c r="BR68" i="22" s="1"/>
  <c r="BP74" i="22"/>
  <c r="Z60" i="26"/>
  <c r="AA61" i="26"/>
  <c r="AA63" i="26"/>
  <c r="AF57" i="26"/>
  <c r="AG50" i="26" s="1"/>
  <c r="AG57" i="26" s="1"/>
  <c r="AH59" i="26"/>
  <c r="AC55" i="26"/>
  <c r="AD48" i="26" s="1"/>
  <c r="AB61" i="26"/>
  <c r="BS61" i="22" l="1"/>
  <c r="BS68" i="22" s="1"/>
  <c r="BQ74" i="22"/>
  <c r="AA60" i="26"/>
  <c r="AB63" i="26"/>
  <c r="AH50" i="26"/>
  <c r="AD55" i="26"/>
  <c r="AE48" i="26" s="1"/>
  <c r="AC61" i="26"/>
  <c r="G18" i="5"/>
  <c r="G17" i="5"/>
  <c r="G20" i="5"/>
  <c r="G19" i="5"/>
  <c r="BT61" i="22" l="1"/>
  <c r="BT68" i="22" s="1"/>
  <c r="BR74" i="22"/>
  <c r="AC63" i="26"/>
  <c r="AB60" i="26"/>
  <c r="AH57" i="26"/>
  <c r="AD61" i="26"/>
  <c r="AE55" i="26"/>
  <c r="AF48" i="26" s="1"/>
  <c r="G16" i="5"/>
  <c r="BS74" i="22" l="1"/>
  <c r="AD63" i="26"/>
  <c r="AC60" i="26"/>
  <c r="AF55" i="26"/>
  <c r="AG48" i="26" s="1"/>
  <c r="AE61" i="26"/>
  <c r="G22" i="5"/>
  <c r="BT74" i="22" l="1"/>
  <c r="AD60" i="26"/>
  <c r="AE63" i="26"/>
  <c r="AG55" i="26"/>
  <c r="AH48" i="26" s="1"/>
  <c r="AF61" i="26"/>
  <c r="AF63" i="26" l="1"/>
  <c r="AE60" i="26"/>
  <c r="AH55" i="26"/>
  <c r="AG61" i="26"/>
  <c r="AG63" i="26" l="1"/>
  <c r="AF60" i="26"/>
  <c r="AH61" i="26"/>
  <c r="AH63" i="26" l="1"/>
  <c r="AG60" i="26"/>
  <c r="AH60" i="26" l="1"/>
  <c r="H8" i="16"/>
  <c r="C14" i="16" s="1"/>
  <c r="E18" i="23" s="1"/>
  <c r="H9" i="16"/>
  <c r="C15" i="16" s="1"/>
  <c r="E19" i="23" s="1"/>
  <c r="H7" i="16"/>
  <c r="C13" i="16" s="1"/>
  <c r="E17" i="23" s="1"/>
  <c r="H10" i="16"/>
  <c r="C16" i="16" s="1"/>
  <c r="E20" i="23" s="1"/>
  <c r="C12" i="16" l="1"/>
  <c r="E16" i="23" s="1"/>
  <c r="H11" i="16"/>
  <c r="C17" i="16" l="1"/>
  <c r="C18" i="16" s="1"/>
  <c r="E22" i="23" l="1"/>
  <c r="I15" i="4" l="1"/>
  <c r="I13" i="4"/>
  <c r="I11" i="4"/>
  <c r="I12" i="4"/>
  <c r="I14" i="4"/>
  <c r="J12" i="4"/>
  <c r="J14" i="4"/>
  <c r="J13" i="4"/>
  <c r="J15" i="4"/>
  <c r="H12" i="4"/>
  <c r="H13" i="4"/>
  <c r="H15" i="4"/>
  <c r="H11" i="4"/>
  <c r="H14" i="4"/>
  <c r="G15" i="4"/>
  <c r="G12" i="4"/>
  <c r="G14" i="4"/>
  <c r="G11" i="4"/>
  <c r="G13" i="4"/>
  <c r="C5" i="4" l="1"/>
  <c r="C16" i="23" s="1"/>
  <c r="C6" i="4"/>
  <c r="C17" i="23" s="1"/>
  <c r="C7" i="4"/>
  <c r="C18" i="23" s="1"/>
  <c r="C8" i="4"/>
  <c r="C19" i="23" s="1"/>
  <c r="C9" i="4"/>
  <c r="C20" i="23" s="1"/>
  <c r="C10" i="4" l="1"/>
  <c r="C11" i="4" s="1"/>
  <c r="C22" i="23"/>
  <c r="BH76" i="22" l="1"/>
  <c r="BI76" i="22" l="1"/>
  <c r="BH73" i="22"/>
  <c r="BI73" i="22" l="1"/>
  <c r="BJ76" i="22"/>
  <c r="CQ44" i="11"/>
  <c r="BJ73" i="22" l="1"/>
  <c r="BK76" i="22"/>
  <c r="BK73" i="22" l="1"/>
  <c r="BL76" i="22"/>
  <c r="BL73" i="22" l="1"/>
  <c r="BM76" i="22"/>
  <c r="BM73" i="22" l="1"/>
  <c r="BN76" i="22"/>
  <c r="CI52" i="11"/>
  <c r="CI59" i="11" s="1"/>
  <c r="CJ52" i="11" s="1"/>
  <c r="CJ59" i="11" s="1"/>
  <c r="CK52" i="11" s="1"/>
  <c r="CK59" i="11" s="1"/>
  <c r="CL52" i="11" s="1"/>
  <c r="CL59" i="11" s="1"/>
  <c r="CM52" i="11" s="1"/>
  <c r="CM59" i="11" s="1"/>
  <c r="CN52" i="11" s="1"/>
  <c r="CN59" i="11" s="1"/>
  <c r="CO52" i="11" s="1"/>
  <c r="CO59" i="11" s="1"/>
  <c r="CP52" i="11" s="1"/>
  <c r="CP59" i="11" s="1"/>
  <c r="CQ52" i="11" s="1"/>
  <c r="CQ59" i="11" s="1"/>
  <c r="BN73" i="22" l="1"/>
  <c r="BO76" i="22"/>
  <c r="CI51" i="11"/>
  <c r="CI58" i="11" s="1"/>
  <c r="CJ51" i="11" s="1"/>
  <c r="CJ58" i="11" s="1"/>
  <c r="CK51" i="11" s="1"/>
  <c r="CK58" i="11" s="1"/>
  <c r="CL51" i="11" s="1"/>
  <c r="CL58" i="11" s="1"/>
  <c r="CM51" i="11" s="1"/>
  <c r="CM58" i="11" s="1"/>
  <c r="CN51" i="11" s="1"/>
  <c r="CN58" i="11" s="1"/>
  <c r="CO51" i="11" s="1"/>
  <c r="CO58" i="11" s="1"/>
  <c r="CP51" i="11" s="1"/>
  <c r="BO73" i="22" l="1"/>
  <c r="BP76" i="22"/>
  <c r="CP58" i="11"/>
  <c r="CQ51" i="11" s="1"/>
  <c r="BP73" i="22" l="1"/>
  <c r="BQ76" i="22"/>
  <c r="CQ58" i="11"/>
  <c r="BQ73" i="22" l="1"/>
  <c r="BR76" i="22"/>
  <c r="BS76" i="22" s="1"/>
  <c r="BS73" i="22" s="1"/>
  <c r="CI53" i="11"/>
  <c r="CI60" i="11" s="1"/>
  <c r="CJ53" i="11" s="1"/>
  <c r="CJ60" i="11" s="1"/>
  <c r="CK53" i="11" s="1"/>
  <c r="CK60" i="11" s="1"/>
  <c r="CL53" i="11" s="1"/>
  <c r="CL60" i="11" s="1"/>
  <c r="CM53" i="11" s="1"/>
  <c r="CM60" i="11" s="1"/>
  <c r="CN53" i="11" s="1"/>
  <c r="CN60" i="11" s="1"/>
  <c r="CO53" i="11" s="1"/>
  <c r="CO60" i="11" s="1"/>
  <c r="CP53" i="11" s="1"/>
  <c r="CP60" i="11" s="1"/>
  <c r="CQ53" i="11" s="1"/>
  <c r="BR73" i="22" l="1"/>
  <c r="CQ60" i="11"/>
  <c r="BT76" i="22" l="1"/>
  <c r="BT73" i="22" l="1"/>
  <c r="CI50" i="11" l="1"/>
  <c r="CI57" i="11" s="1"/>
  <c r="CJ50" i="11" s="1"/>
  <c r="CJ57" i="11" s="1"/>
  <c r="CK50" i="11" s="1"/>
  <c r="CK57" i="11" s="1"/>
  <c r="CL50" i="11" s="1"/>
  <c r="CL57" i="11" s="1"/>
  <c r="CM50" i="11" s="1"/>
  <c r="CM57" i="11" s="1"/>
  <c r="CN50" i="11" s="1"/>
  <c r="CN57" i="11" s="1"/>
  <c r="CO50" i="11" s="1"/>
  <c r="CO57" i="11" s="1"/>
  <c r="CP50" i="11" s="1"/>
  <c r="CP57" i="11" s="1"/>
  <c r="CQ50" i="11" s="1"/>
  <c r="CQ57" i="11" l="1"/>
  <c r="CH65" i="11" l="1"/>
  <c r="CH62" i="11" l="1"/>
  <c r="CI49" i="11"/>
  <c r="CI56" i="11" s="1"/>
  <c r="CH64" i="11"/>
  <c r="CH61" i="11" l="1"/>
  <c r="CJ49" i="11"/>
  <c r="CJ56" i="11" s="1"/>
  <c r="CI64" i="11"/>
  <c r="CI62" i="11"/>
  <c r="CI61" i="11" l="1"/>
  <c r="CK49" i="11"/>
  <c r="CK56" i="11" s="1"/>
  <c r="CJ62" i="11"/>
  <c r="CJ64" i="11"/>
  <c r="CJ61" i="11" l="1"/>
  <c r="CL49" i="11"/>
  <c r="CK62" i="11"/>
  <c r="CK64" i="11"/>
  <c r="CK61" i="11" l="1"/>
  <c r="CL56" i="11"/>
  <c r="CM49" i="11" s="1"/>
  <c r="CM56" i="11" s="1"/>
  <c r="CL62" i="11" l="1"/>
  <c r="CL64" i="11"/>
  <c r="CN49" i="11"/>
  <c r="CN56" i="11" s="1"/>
  <c r="CM62" i="11"/>
  <c r="CL61" i="11" l="1"/>
  <c r="CM64" i="11"/>
  <c r="CO49" i="11"/>
  <c r="CO56" i="11" s="1"/>
  <c r="CN62" i="11"/>
  <c r="CN64" i="11" l="1"/>
  <c r="CO64" i="11" s="1"/>
  <c r="CM61" i="11"/>
  <c r="CP49" i="11"/>
  <c r="CO62" i="11"/>
  <c r="CP56" i="11" l="1"/>
  <c r="CP64" i="11" s="1"/>
  <c r="CO61" i="11"/>
  <c r="CN61" i="11"/>
  <c r="CQ49" i="11" l="1"/>
  <c r="CQ56" i="11" s="1"/>
  <c r="CQ64" i="11" s="1"/>
  <c r="CP62" i="11"/>
  <c r="CP61" i="11"/>
  <c r="CQ61" i="11" l="1"/>
  <c r="CQ62" i="11"/>
  <c r="BT36" i="21"/>
  <c r="AU36" i="26"/>
  <c r="AU22" i="26" s="1"/>
  <c r="AV22" i="28"/>
  <c r="BT22" i="21" l="1"/>
  <c r="D7" i="11"/>
  <c r="D8" i="11" l="1"/>
  <c r="D6" i="11"/>
  <c r="D4" i="11"/>
  <c r="D5" i="11"/>
  <c r="CR45" i="11" l="1"/>
  <c r="CR52" i="11" s="1"/>
  <c r="AI44" i="26"/>
  <c r="AI51" i="26" s="1"/>
  <c r="AJ44" i="28"/>
  <c r="AJ51" i="28" s="1"/>
  <c r="BH45" i="21"/>
  <c r="CT45" i="11"/>
  <c r="BJ45" i="21"/>
  <c r="AK44" i="26"/>
  <c r="AL44" i="28"/>
  <c r="CT46" i="11"/>
  <c r="AL45" i="28"/>
  <c r="BJ46" i="21"/>
  <c r="AK45" i="26"/>
  <c r="CR44" i="11"/>
  <c r="CR51" i="11" s="1"/>
  <c r="CR58" i="11" s="1"/>
  <c r="AJ43" i="28"/>
  <c r="AJ50" i="28" s="1"/>
  <c r="AI43" i="26"/>
  <c r="AI50" i="26" s="1"/>
  <c r="BH44" i="21"/>
  <c r="CR43" i="11"/>
  <c r="CR50" i="11" s="1"/>
  <c r="CR57" i="11" s="1"/>
  <c r="BH43" i="21"/>
  <c r="AJ42" i="28"/>
  <c r="AJ49" i="28" s="1"/>
  <c r="AI42" i="26"/>
  <c r="AI49" i="26" s="1"/>
  <c r="CR42" i="11"/>
  <c r="CR49" i="11" s="1"/>
  <c r="AJ41" i="28"/>
  <c r="AJ48" i="28" s="1"/>
  <c r="BH42" i="21"/>
  <c r="AI41" i="26"/>
  <c r="AI48" i="26" s="1"/>
  <c r="CR46" i="11"/>
  <c r="CR53" i="11" s="1"/>
  <c r="CR60" i="11" s="1"/>
  <c r="AJ45" i="28"/>
  <c r="AJ52" i="28" s="1"/>
  <c r="AI45" i="26"/>
  <c r="AI52" i="26" s="1"/>
  <c r="AI59" i="26" s="1"/>
  <c r="BH46" i="21"/>
  <c r="CT44" i="11"/>
  <c r="AL43" i="28"/>
  <c r="BJ44" i="21"/>
  <c r="AK43" i="26"/>
  <c r="CT42" i="11"/>
  <c r="BJ42" i="21"/>
  <c r="AK41" i="26"/>
  <c r="AL41" i="28"/>
  <c r="CT43" i="11"/>
  <c r="AK42" i="26"/>
  <c r="BJ43" i="21"/>
  <c r="AL42" i="28"/>
  <c r="D5" i="22"/>
  <c r="BT23" i="21"/>
  <c r="AU23" i="26"/>
  <c r="BU36" i="22"/>
  <c r="BU22" i="22"/>
  <c r="AV23" i="28"/>
  <c r="BU21" i="22"/>
  <c r="BU42" i="22"/>
  <c r="AU29" i="26"/>
  <c r="AV29" i="28"/>
  <c r="BT29" i="21"/>
  <c r="D9" i="11"/>
  <c r="BW37" i="22"/>
  <c r="AX24" i="28"/>
  <c r="BV24" i="21"/>
  <c r="AW24" i="26"/>
  <c r="BW23" i="22"/>
  <c r="BW25" i="22"/>
  <c r="AW26" i="26"/>
  <c r="AX26" i="28"/>
  <c r="BV26" i="21"/>
  <c r="BW39" i="22"/>
  <c r="BT26" i="21"/>
  <c r="D8" i="22"/>
  <c r="AV26" i="28"/>
  <c r="AV33" i="28" s="1"/>
  <c r="BU39" i="22"/>
  <c r="BU46" i="22" s="1"/>
  <c r="AU26" i="26"/>
  <c r="AU33" i="26" s="1"/>
  <c r="BU25" i="22"/>
  <c r="BV37" i="22"/>
  <c r="AW24" i="28"/>
  <c r="AV24" i="26"/>
  <c r="BU24" i="21"/>
  <c r="BV36" i="21"/>
  <c r="AW36" i="26"/>
  <c r="BW49" i="22"/>
  <c r="BW35" i="22" s="1"/>
  <c r="AX36" i="28"/>
  <c r="AX22" i="28" s="1"/>
  <c r="AX29" i="28" s="1"/>
  <c r="BW21" i="22"/>
  <c r="AX25" i="28"/>
  <c r="BW24" i="22"/>
  <c r="BW38" i="22"/>
  <c r="BV25" i="21"/>
  <c r="AW25" i="26"/>
  <c r="BU23" i="21"/>
  <c r="BV36" i="22"/>
  <c r="AV23" i="26"/>
  <c r="AW23" i="28"/>
  <c r="BV39" i="22"/>
  <c r="AV26" i="26"/>
  <c r="BU26" i="21"/>
  <c r="AW26" i="28"/>
  <c r="AV25" i="28"/>
  <c r="AV32" i="28" s="1"/>
  <c r="D7" i="22"/>
  <c r="BU38" i="22"/>
  <c r="BU45" i="22" s="1"/>
  <c r="BT25" i="21"/>
  <c r="BU24" i="22"/>
  <c r="AU25" i="26"/>
  <c r="AU32" i="26" s="1"/>
  <c r="BT24" i="21"/>
  <c r="AU24" i="26"/>
  <c r="AU31" i="26" s="1"/>
  <c r="BU23" i="22"/>
  <c r="D6" i="22"/>
  <c r="BU37" i="22"/>
  <c r="BU44" i="22" s="1"/>
  <c r="AV24" i="28"/>
  <c r="AV31" i="28" s="1"/>
  <c r="AW25" i="28"/>
  <c r="AV25" i="26"/>
  <c r="BV38" i="22"/>
  <c r="BU25" i="21"/>
  <c r="AX23" i="28"/>
  <c r="BW36" i="22"/>
  <c r="BW22" i="22"/>
  <c r="BV23" i="21"/>
  <c r="AW23" i="26"/>
  <c r="AW30" i="26" l="1"/>
  <c r="AW42" i="26" s="1"/>
  <c r="CS42" i="11"/>
  <c r="AK41" i="28"/>
  <c r="BI42" i="21"/>
  <c r="AJ41" i="26"/>
  <c r="AI56" i="26"/>
  <c r="AJ56" i="28"/>
  <c r="BI44" i="21"/>
  <c r="AJ57" i="28"/>
  <c r="AK44" i="28"/>
  <c r="AI55" i="26"/>
  <c r="AK45" i="28"/>
  <c r="CS44" i="11"/>
  <c r="CS51" i="11" s="1"/>
  <c r="CS58" i="11" s="1"/>
  <c r="CT51" i="11" s="1"/>
  <c r="BI45" i="21"/>
  <c r="AJ44" i="26"/>
  <c r="BI46" i="21"/>
  <c r="AJ58" i="28"/>
  <c r="CS43" i="11"/>
  <c r="CS50" i="11" s="1"/>
  <c r="CS57" i="11" s="1"/>
  <c r="CT50" i="11" s="1"/>
  <c r="AK43" i="28"/>
  <c r="AJ59" i="28"/>
  <c r="BW43" i="22"/>
  <c r="BW55" i="22" s="1"/>
  <c r="CS45" i="11"/>
  <c r="AW22" i="26"/>
  <c r="AJ55" i="28"/>
  <c r="AJ45" i="26"/>
  <c r="AJ52" i="26" s="1"/>
  <c r="AI58" i="26"/>
  <c r="BI43" i="21"/>
  <c r="AJ42" i="26"/>
  <c r="AJ43" i="26"/>
  <c r="AI57" i="26"/>
  <c r="AK42" i="28"/>
  <c r="CR56" i="11"/>
  <c r="CS46" i="11"/>
  <c r="CS53" i="11" s="1"/>
  <c r="CS60" i="11" s="1"/>
  <c r="CT53" i="11" s="1"/>
  <c r="CR59" i="11"/>
  <c r="AX32" i="28"/>
  <c r="AX44" i="28" s="1"/>
  <c r="AW32" i="26"/>
  <c r="AW44" i="26" s="1"/>
  <c r="AX30" i="28"/>
  <c r="AX42" i="28" s="1"/>
  <c r="BT32" i="21"/>
  <c r="BT30" i="21"/>
  <c r="AX41" i="28"/>
  <c r="BT33" i="21"/>
  <c r="BW46" i="22"/>
  <c r="BW58" i="22" s="1"/>
  <c r="AX31" i="28"/>
  <c r="AX43" i="28" s="1"/>
  <c r="BT31" i="21"/>
  <c r="BT44" i="21" s="1"/>
  <c r="BW42" i="22"/>
  <c r="BV32" i="21"/>
  <c r="BU58" i="22"/>
  <c r="BV30" i="21"/>
  <c r="BW45" i="22"/>
  <c r="BW57" i="22" s="1"/>
  <c r="BV22" i="21"/>
  <c r="AW33" i="26"/>
  <c r="AW45" i="26" s="1"/>
  <c r="BV23" i="22"/>
  <c r="BV49" i="22"/>
  <c r="BV35" i="22" s="1"/>
  <c r="BV21" i="22"/>
  <c r="BU36" i="21"/>
  <c r="AV36" i="26"/>
  <c r="AV22" i="26" s="1"/>
  <c r="AW36" i="28"/>
  <c r="AW22" i="28" s="1"/>
  <c r="AW29" i="28" s="1"/>
  <c r="D4" i="22"/>
  <c r="D9" i="22" s="1"/>
  <c r="AU44" i="26"/>
  <c r="BV33" i="21"/>
  <c r="BV46" i="21" s="1"/>
  <c r="BW44" i="22"/>
  <c r="BW56" i="22" s="1"/>
  <c r="BU54" i="22"/>
  <c r="AV43" i="28"/>
  <c r="BU57" i="22"/>
  <c r="BU64" i="22" s="1"/>
  <c r="AX33" i="28"/>
  <c r="AX45" i="28" s="1"/>
  <c r="AV30" i="28"/>
  <c r="BV24" i="22"/>
  <c r="BV22" i="22"/>
  <c r="E5" i="22" s="1"/>
  <c r="BU43" i="22"/>
  <c r="BU56" i="22"/>
  <c r="AV45" i="28"/>
  <c r="AV41" i="28"/>
  <c r="AU30" i="26"/>
  <c r="AU45" i="26"/>
  <c r="BT42" i="21"/>
  <c r="AU43" i="26"/>
  <c r="AV44" i="28"/>
  <c r="AW31" i="26"/>
  <c r="AW43" i="26" s="1"/>
  <c r="AU41" i="26"/>
  <c r="BV25" i="22"/>
  <c r="BV31" i="21"/>
  <c r="AW29" i="26" l="1"/>
  <c r="AW41" i="26" s="1"/>
  <c r="AJ48" i="26"/>
  <c r="BW54" i="22"/>
  <c r="CT57" i="11"/>
  <c r="BJ67" i="21" s="1"/>
  <c r="B5" i="21" s="1"/>
  <c r="CT60" i="11"/>
  <c r="BJ70" i="21" s="1"/>
  <c r="B8" i="21" s="1"/>
  <c r="CT58" i="11"/>
  <c r="BJ68" i="21" s="1"/>
  <c r="B6" i="21" s="1"/>
  <c r="AJ50" i="26"/>
  <c r="AJ57" i="26" s="1"/>
  <c r="AK50" i="26" s="1"/>
  <c r="AK48" i="28"/>
  <c r="AK55" i="28" s="1"/>
  <c r="AL48" i="28" s="1"/>
  <c r="CS49" i="11"/>
  <c r="CS56" i="11" s="1"/>
  <c r="AK50" i="28"/>
  <c r="AK57" i="28" s="1"/>
  <c r="AL50" i="28" s="1"/>
  <c r="AJ49" i="26"/>
  <c r="AJ56" i="26" s="1"/>
  <c r="BU65" i="22"/>
  <c r="BU72" i="22" s="1"/>
  <c r="BU61" i="22"/>
  <c r="BU68" i="22" s="1"/>
  <c r="BU63" i="22"/>
  <c r="BU70" i="22" s="1"/>
  <c r="AK51" i="28"/>
  <c r="AK58" i="28" s="1"/>
  <c r="AL51" i="28" s="1"/>
  <c r="CS52" i="11"/>
  <c r="CS59" i="11" s="1"/>
  <c r="CT52" i="11" s="1"/>
  <c r="AI61" i="26"/>
  <c r="AJ51" i="26"/>
  <c r="AJ58" i="26" s="1"/>
  <c r="AK51" i="26" s="1"/>
  <c r="AK58" i="26" s="1"/>
  <c r="AL51" i="26" s="1"/>
  <c r="AL58" i="26" s="1"/>
  <c r="AM51" i="26" s="1"/>
  <c r="AM58" i="26" s="1"/>
  <c r="AN51" i="26" s="1"/>
  <c r="AK49" i="28"/>
  <c r="AK56" i="28" s="1"/>
  <c r="AL49" i="28" s="1"/>
  <c r="AL56" i="28" s="1"/>
  <c r="AM49" i="28" s="1"/>
  <c r="AM56" i="28" s="1"/>
  <c r="AN49" i="28" s="1"/>
  <c r="BV45" i="22"/>
  <c r="C7" i="22" s="1"/>
  <c r="AK52" i="28"/>
  <c r="AK59" i="28" s="1"/>
  <c r="CR62" i="11"/>
  <c r="AJ59" i="26"/>
  <c r="AK52" i="26" s="1"/>
  <c r="AJ61" i="28"/>
  <c r="AJ63" i="28"/>
  <c r="AJ55" i="26"/>
  <c r="BV44" i="22"/>
  <c r="BV56" i="22" s="1"/>
  <c r="AI63" i="26"/>
  <c r="C4" i="28"/>
  <c r="E4" i="28" s="1"/>
  <c r="CR64" i="11"/>
  <c r="AV29" i="26"/>
  <c r="AW31" i="28"/>
  <c r="AW43" i="28" s="1"/>
  <c r="AW30" i="28"/>
  <c r="AW42" i="28" s="1"/>
  <c r="BU31" i="21"/>
  <c r="C6" i="21" s="1"/>
  <c r="BV43" i="21"/>
  <c r="BV43" i="22"/>
  <c r="BV55" i="22" s="1"/>
  <c r="AV32" i="26"/>
  <c r="AV44" i="26" s="1"/>
  <c r="AV31" i="26"/>
  <c r="AV43" i="26" s="1"/>
  <c r="AV30" i="26"/>
  <c r="AV42" i="26" s="1"/>
  <c r="AV33" i="26"/>
  <c r="AV45" i="26" s="1"/>
  <c r="BU33" i="21"/>
  <c r="C8" i="21" s="1"/>
  <c r="BV45" i="21"/>
  <c r="BU32" i="21"/>
  <c r="C7" i="21" s="1"/>
  <c r="BV46" i="22"/>
  <c r="C8" i="22" s="1"/>
  <c r="BU30" i="21"/>
  <c r="C5" i="21" s="1"/>
  <c r="BV42" i="22"/>
  <c r="C4" i="22" s="1"/>
  <c r="BV29" i="21"/>
  <c r="BV42" i="21" s="1"/>
  <c r="E4" i="22"/>
  <c r="AW41" i="28"/>
  <c r="BT46" i="21"/>
  <c r="BU55" i="22"/>
  <c r="BT45" i="21"/>
  <c r="BT43" i="21"/>
  <c r="AU42" i="26"/>
  <c r="E6" i="22"/>
  <c r="E8" i="22"/>
  <c r="AV42" i="28"/>
  <c r="BV44" i="21"/>
  <c r="E7" i="22"/>
  <c r="BU22" i="21"/>
  <c r="AW33" i="28"/>
  <c r="D4" i="21"/>
  <c r="BU71" i="22"/>
  <c r="AW32" i="28"/>
  <c r="F7" i="22" l="1"/>
  <c r="D5" i="26"/>
  <c r="E5" i="26" s="1"/>
  <c r="D4" i="26"/>
  <c r="E4" i="26" s="1"/>
  <c r="CT49" i="11"/>
  <c r="CT59" i="11"/>
  <c r="F7" i="11" s="1"/>
  <c r="AJ60" i="28"/>
  <c r="BU62" i="22"/>
  <c r="BU69" i="22" s="1"/>
  <c r="BV62" i="22" s="1"/>
  <c r="BV69" i="22" s="1"/>
  <c r="BW62" i="22" s="1"/>
  <c r="BW69" i="22" s="1"/>
  <c r="G5" i="22" s="1"/>
  <c r="BV63" i="22"/>
  <c r="BV70" i="22" s="1"/>
  <c r="BW63" i="22" s="1"/>
  <c r="BW70" i="22" s="1"/>
  <c r="G6" i="22" s="1"/>
  <c r="BV57" i="22"/>
  <c r="BV64" i="22" s="1"/>
  <c r="BV71" i="22" s="1"/>
  <c r="BW64" i="22" s="1"/>
  <c r="BW71" i="22" s="1"/>
  <c r="G7" i="22" s="1"/>
  <c r="AL52" i="28"/>
  <c r="AL59" i="28" s="1"/>
  <c r="AM52" i="28" s="1"/>
  <c r="C6" i="22"/>
  <c r="F6" i="22" s="1"/>
  <c r="AI60" i="26"/>
  <c r="CS62" i="11"/>
  <c r="AJ61" i="26"/>
  <c r="AK57" i="26"/>
  <c r="AL50" i="26" s="1"/>
  <c r="AN58" i="26"/>
  <c r="AO51" i="26" s="1"/>
  <c r="AJ63" i="26"/>
  <c r="AK48" i="26"/>
  <c r="AV41" i="26"/>
  <c r="AL57" i="28"/>
  <c r="AM50" i="28" s="1"/>
  <c r="AM57" i="28" s="1"/>
  <c r="AN50" i="28" s="1"/>
  <c r="AN57" i="28" s="1"/>
  <c r="AO50" i="28" s="1"/>
  <c r="AO57" i="28" s="1"/>
  <c r="AP50" i="28" s="1"/>
  <c r="AP57" i="28" s="1"/>
  <c r="AQ50" i="28" s="1"/>
  <c r="F4" i="22"/>
  <c r="AL58" i="28"/>
  <c r="AM51" i="28" s="1"/>
  <c r="AK49" i="26"/>
  <c r="AK59" i="26"/>
  <c r="AL52" i="26" s="1"/>
  <c r="AL59" i="26" s="1"/>
  <c r="AM52" i="26" s="1"/>
  <c r="AM59" i="26" s="1"/>
  <c r="AN52" i="26" s="1"/>
  <c r="AN59" i="26" s="1"/>
  <c r="AO52" i="26" s="1"/>
  <c r="AO59" i="26" s="1"/>
  <c r="AP52" i="26" s="1"/>
  <c r="AP59" i="26" s="1"/>
  <c r="AQ52" i="26" s="1"/>
  <c r="AQ59" i="26" s="1"/>
  <c r="AR52" i="26" s="1"/>
  <c r="CR61" i="11"/>
  <c r="AN56" i="28"/>
  <c r="AO49" i="28" s="1"/>
  <c r="CS64" i="11"/>
  <c r="AK61" i="28"/>
  <c r="AK63" i="28"/>
  <c r="AL55" i="28"/>
  <c r="AM48" i="28" s="1"/>
  <c r="BU46" i="21"/>
  <c r="D7" i="26"/>
  <c r="E7" i="26" s="1"/>
  <c r="BU43" i="21"/>
  <c r="C6" i="28"/>
  <c r="E6" i="28" s="1"/>
  <c r="C5" i="28"/>
  <c r="E5" i="28" s="1"/>
  <c r="C5" i="22"/>
  <c r="F5" i="22" s="1"/>
  <c r="D6" i="26"/>
  <c r="E6" i="26" s="1"/>
  <c r="D8" i="26"/>
  <c r="E8" i="26" s="1"/>
  <c r="F8" i="22"/>
  <c r="BU45" i="21"/>
  <c r="BV58" i="22"/>
  <c r="BV65" i="22" s="1"/>
  <c r="BV72" i="22" s="1"/>
  <c r="BW65" i="22" s="1"/>
  <c r="BW72" i="22" s="1"/>
  <c r="G8" i="22" s="1"/>
  <c r="D8" i="21"/>
  <c r="E8" i="21" s="1"/>
  <c r="BU29" i="21"/>
  <c r="D5" i="21"/>
  <c r="E5" i="21" s="1"/>
  <c r="BV54" i="22"/>
  <c r="BV61" i="22" s="1"/>
  <c r="C7" i="11"/>
  <c r="E7" i="11" s="1"/>
  <c r="C6" i="11"/>
  <c r="E6" i="11" s="1"/>
  <c r="D7" i="21"/>
  <c r="C4" i="11"/>
  <c r="AW44" i="28"/>
  <c r="C7" i="28"/>
  <c r="F8" i="11"/>
  <c r="C8" i="11"/>
  <c r="E8" i="11" s="1"/>
  <c r="AW45" i="28"/>
  <c r="C8" i="28"/>
  <c r="E8" i="28" s="1"/>
  <c r="F5" i="11"/>
  <c r="C5" i="11"/>
  <c r="E5" i="11" s="1"/>
  <c r="BU44" i="21"/>
  <c r="D6" i="21"/>
  <c r="E6" i="21" s="1"/>
  <c r="E9" i="22"/>
  <c r="D20" i="23"/>
  <c r="D19" i="23"/>
  <c r="D18" i="23"/>
  <c r="G18" i="23" s="1"/>
  <c r="K28" i="23" s="1"/>
  <c r="D17" i="23"/>
  <c r="BJ69" i="21" l="1"/>
  <c r="B7" i="21" s="1"/>
  <c r="E7" i="21" s="1"/>
  <c r="CT56" i="11"/>
  <c r="CT62" i="11" s="1"/>
  <c r="H6" i="22"/>
  <c r="C28" i="23" s="1"/>
  <c r="C6" i="23" s="1"/>
  <c r="BU76" i="22"/>
  <c r="AJ60" i="26"/>
  <c r="AK60" i="28"/>
  <c r="AO58" i="26"/>
  <c r="AP51" i="26" s="1"/>
  <c r="AQ57" i="28"/>
  <c r="AR50" i="28" s="1"/>
  <c r="AR59" i="26"/>
  <c r="AS52" i="26" s="1"/>
  <c r="AS59" i="26" s="1"/>
  <c r="AT52" i="26" s="1"/>
  <c r="AL57" i="26"/>
  <c r="AM50" i="26" s="1"/>
  <c r="AM57" i="26" s="1"/>
  <c r="AN50" i="26" s="1"/>
  <c r="AN57" i="26" s="1"/>
  <c r="AO50" i="26" s="1"/>
  <c r="AO57" i="26" s="1"/>
  <c r="AP50" i="26" s="1"/>
  <c r="AP57" i="26" s="1"/>
  <c r="AQ50" i="26" s="1"/>
  <c r="AQ57" i="26" s="1"/>
  <c r="AR50" i="26" s="1"/>
  <c r="AR57" i="26" s="1"/>
  <c r="AS50" i="26" s="1"/>
  <c r="AS57" i="26" s="1"/>
  <c r="AT50" i="26" s="1"/>
  <c r="AO56" i="28"/>
  <c r="AP49" i="28" s="1"/>
  <c r="AM55" i="28"/>
  <c r="AN48" i="28" s="1"/>
  <c r="AM59" i="28"/>
  <c r="AN52" i="28" s="1"/>
  <c r="AL61" i="28"/>
  <c r="AL63" i="28"/>
  <c r="AK55" i="26"/>
  <c r="AL48" i="26" s="1"/>
  <c r="H7" i="22"/>
  <c r="C29" i="23" s="1"/>
  <c r="C7" i="23" s="1"/>
  <c r="P7" i="23" s="1"/>
  <c r="AK56" i="26"/>
  <c r="H8" i="22"/>
  <c r="C30" i="23" s="1"/>
  <c r="C8" i="23" s="1"/>
  <c r="AM58" i="28"/>
  <c r="AN51" i="28" s="1"/>
  <c r="CS61" i="11"/>
  <c r="C9" i="22"/>
  <c r="H5" i="22"/>
  <c r="C27" i="23" s="1"/>
  <c r="C5" i="23" s="1"/>
  <c r="F9" i="22"/>
  <c r="E9" i="26"/>
  <c r="D9" i="26"/>
  <c r="G8" i="11"/>
  <c r="G30" i="5" s="1"/>
  <c r="BV68" i="22"/>
  <c r="BW61" i="22" s="1"/>
  <c r="BW68" i="22" s="1"/>
  <c r="G4" i="22" s="1"/>
  <c r="C4" i="21"/>
  <c r="BU42" i="21"/>
  <c r="G20" i="23"/>
  <c r="K30" i="23" s="1"/>
  <c r="D16" i="23"/>
  <c r="B10" i="12"/>
  <c r="C9" i="11"/>
  <c r="E4" i="11"/>
  <c r="E9" i="11" s="1"/>
  <c r="G17" i="23"/>
  <c r="K27" i="23" s="1"/>
  <c r="G7" i="11"/>
  <c r="F6" i="11"/>
  <c r="G6" i="11" s="1"/>
  <c r="G19" i="23"/>
  <c r="K29" i="23" s="1"/>
  <c r="E7" i="28"/>
  <c r="E9" i="28" s="1"/>
  <c r="C9" i="28"/>
  <c r="D9" i="21"/>
  <c r="G5" i="11"/>
  <c r="CT64" i="11" l="1"/>
  <c r="F4" i="11"/>
  <c r="G4" i="11" s="1"/>
  <c r="BJ66" i="21"/>
  <c r="B4" i="21" s="1"/>
  <c r="E4" i="21" s="1"/>
  <c r="P5" i="23"/>
  <c r="D7" i="13" s="1"/>
  <c r="BU73" i="22"/>
  <c r="AL60" i="28"/>
  <c r="AK61" i="26"/>
  <c r="AT57" i="26"/>
  <c r="AU50" i="26" s="1"/>
  <c r="AR57" i="28"/>
  <c r="AS50" i="28" s="1"/>
  <c r="J7" i="23"/>
  <c r="AL55" i="26"/>
  <c r="AM48" i="26" s="1"/>
  <c r="AN59" i="28"/>
  <c r="AO52" i="28" s="1"/>
  <c r="AN58" i="28"/>
  <c r="AO51" i="28" s="1"/>
  <c r="AK63" i="26"/>
  <c r="AM61" i="28"/>
  <c r="AM63" i="28"/>
  <c r="AT59" i="26"/>
  <c r="AU52" i="26" s="1"/>
  <c r="AL49" i="26"/>
  <c r="AL56" i="26" s="1"/>
  <c r="AM49" i="26" s="1"/>
  <c r="AM56" i="26" s="1"/>
  <c r="AN49" i="26" s="1"/>
  <c r="AN56" i="26" s="1"/>
  <c r="AO49" i="26" s="1"/>
  <c r="AN55" i="28"/>
  <c r="AP58" i="26"/>
  <c r="AQ51" i="26" s="1"/>
  <c r="AQ58" i="26" s="1"/>
  <c r="AR51" i="26" s="1"/>
  <c r="AR58" i="26" s="1"/>
  <c r="AS51" i="26" s="1"/>
  <c r="AS58" i="26" s="1"/>
  <c r="AT51" i="26" s="1"/>
  <c r="AP56" i="28"/>
  <c r="AQ49" i="28" s="1"/>
  <c r="J5" i="23"/>
  <c r="D8" i="5"/>
  <c r="H8" i="5" s="1"/>
  <c r="G9" i="22"/>
  <c r="H4" i="22"/>
  <c r="C9" i="21"/>
  <c r="BV76" i="22"/>
  <c r="G16" i="23"/>
  <c r="D22" i="23"/>
  <c r="D9" i="13"/>
  <c r="D30" i="13" s="1"/>
  <c r="J8" i="23"/>
  <c r="P8" i="23"/>
  <c r="P6" i="23"/>
  <c r="J6" i="23"/>
  <c r="G27" i="5"/>
  <c r="D5" i="5"/>
  <c r="G29" i="5"/>
  <c r="D7" i="5"/>
  <c r="D6" i="5"/>
  <c r="G28" i="5"/>
  <c r="F9" i="11" l="1"/>
  <c r="B9" i="21"/>
  <c r="CT61" i="11"/>
  <c r="BJ65" i="21"/>
  <c r="AO48" i="28"/>
  <c r="AO55" i="28" s="1"/>
  <c r="AP48" i="28" s="1"/>
  <c r="AK60" i="26"/>
  <c r="BW76" i="22"/>
  <c r="AT58" i="26"/>
  <c r="AU51" i="26" s="1"/>
  <c r="AS57" i="28"/>
  <c r="AT50" i="28" s="1"/>
  <c r="AU57" i="26"/>
  <c r="AV50" i="26" s="1"/>
  <c r="AV57" i="26" s="1"/>
  <c r="AW50" i="26" s="1"/>
  <c r="AW57" i="26" s="1"/>
  <c r="F6" i="26" s="1"/>
  <c r="G6" i="26" s="1"/>
  <c r="F28" i="23" s="1"/>
  <c r="F6" i="23" s="1"/>
  <c r="AO56" i="26"/>
  <c r="AP49" i="26" s="1"/>
  <c r="AQ56" i="28"/>
  <c r="AR49" i="28" s="1"/>
  <c r="AO59" i="28"/>
  <c r="AP52" i="28" s="1"/>
  <c r="AM55" i="26"/>
  <c r="AN48" i="26" s="1"/>
  <c r="AO58" i="28"/>
  <c r="AP51" i="28" s="1"/>
  <c r="AP58" i="28" s="1"/>
  <c r="AQ51" i="28" s="1"/>
  <c r="AQ58" i="28" s="1"/>
  <c r="AR51" i="28" s="1"/>
  <c r="AR58" i="28" s="1"/>
  <c r="AS51" i="28" s="1"/>
  <c r="AS58" i="28" s="1"/>
  <c r="AT51" i="28" s="1"/>
  <c r="AN61" i="28"/>
  <c r="AN63" i="28"/>
  <c r="AU59" i="26"/>
  <c r="AV52" i="26" s="1"/>
  <c r="AV59" i="26" s="1"/>
  <c r="AW52" i="26" s="1"/>
  <c r="AW59" i="26" s="1"/>
  <c r="F8" i="26" s="1"/>
  <c r="G8" i="26" s="1"/>
  <c r="F30" i="23" s="1"/>
  <c r="F8" i="23" s="1"/>
  <c r="AM60" i="28"/>
  <c r="AL61" i="26"/>
  <c r="AL63" i="26"/>
  <c r="Q8" i="5"/>
  <c r="K8" i="5"/>
  <c r="N8" i="5" s="1"/>
  <c r="J20" i="5"/>
  <c r="BV73" i="22"/>
  <c r="E9" i="21"/>
  <c r="H9" i="22"/>
  <c r="C26" i="23"/>
  <c r="C4" i="23" s="1"/>
  <c r="D10" i="13"/>
  <c r="D28" i="13"/>
  <c r="J17" i="5"/>
  <c r="H5" i="5"/>
  <c r="K5" i="5"/>
  <c r="Q5" i="5"/>
  <c r="E17" i="13" s="1"/>
  <c r="H17" i="13" s="1"/>
  <c r="D8" i="13"/>
  <c r="Q7" i="5"/>
  <c r="E19" i="13" s="1"/>
  <c r="H19" i="13" s="1"/>
  <c r="J19" i="5"/>
  <c r="K7" i="5"/>
  <c r="H7" i="5"/>
  <c r="H6" i="5"/>
  <c r="J18" i="5"/>
  <c r="Q6" i="5"/>
  <c r="E18" i="13" s="1"/>
  <c r="H18" i="13" s="1"/>
  <c r="K6" i="5"/>
  <c r="K26" i="23"/>
  <c r="G22" i="23"/>
  <c r="G9" i="11"/>
  <c r="T8" i="5" l="1"/>
  <c r="E20" i="13"/>
  <c r="H20" i="13" s="1"/>
  <c r="J4" i="23"/>
  <c r="BW73" i="22"/>
  <c r="AN60" i="28"/>
  <c r="AL60" i="26"/>
  <c r="S8" i="23"/>
  <c r="G10" i="13" s="1"/>
  <c r="G31" i="13" s="1"/>
  <c r="M8" i="23"/>
  <c r="M6" i="23"/>
  <c r="S6" i="23"/>
  <c r="G8" i="13" s="1"/>
  <c r="G29" i="13" s="1"/>
  <c r="AM61" i="26"/>
  <c r="AM63" i="26"/>
  <c r="AR56" i="28"/>
  <c r="AS49" i="28" s="1"/>
  <c r="AP55" i="28"/>
  <c r="AQ48" i="28" s="1"/>
  <c r="AT57" i="28"/>
  <c r="AU50" i="28" s="1"/>
  <c r="AU57" i="28" s="1"/>
  <c r="AV50" i="28" s="1"/>
  <c r="AN55" i="26"/>
  <c r="AP59" i="28"/>
  <c r="AQ52" i="28" s="1"/>
  <c r="AU58" i="26"/>
  <c r="AV51" i="26" s="1"/>
  <c r="AV58" i="26" s="1"/>
  <c r="AW51" i="26" s="1"/>
  <c r="AW58" i="26" s="1"/>
  <c r="F7" i="26" s="1"/>
  <c r="G7" i="26" s="1"/>
  <c r="F29" i="23" s="1"/>
  <c r="F7" i="23" s="1"/>
  <c r="AO61" i="28"/>
  <c r="AO63" i="28"/>
  <c r="AT58" i="28"/>
  <c r="AU51" i="28" s="1"/>
  <c r="AP56" i="26"/>
  <c r="AQ49" i="26" s="1"/>
  <c r="N7" i="5"/>
  <c r="C32" i="23"/>
  <c r="N6" i="5"/>
  <c r="T6" i="5"/>
  <c r="D29" i="13"/>
  <c r="T5" i="5"/>
  <c r="K32" i="23"/>
  <c r="D4" i="5"/>
  <c r="D32" i="5"/>
  <c r="G26" i="5"/>
  <c r="T7" i="5"/>
  <c r="N5" i="5"/>
  <c r="D31" i="13"/>
  <c r="AO60" i="28" l="1"/>
  <c r="AM60" i="26"/>
  <c r="AQ56" i="26"/>
  <c r="AR49" i="26" s="1"/>
  <c r="AQ59" i="28"/>
  <c r="AR52" i="28" s="1"/>
  <c r="AS56" i="28"/>
  <c r="AT49" i="28" s="1"/>
  <c r="S7" i="23"/>
  <c r="G9" i="13" s="1"/>
  <c r="G30" i="13" s="1"/>
  <c r="M7" i="23"/>
  <c r="AN61" i="26"/>
  <c r="AN63" i="26"/>
  <c r="AQ55" i="28"/>
  <c r="AR48" i="28" s="1"/>
  <c r="AV57" i="28"/>
  <c r="AW50" i="28" s="1"/>
  <c r="AW57" i="28" s="1"/>
  <c r="AX50" i="28" s="1"/>
  <c r="AX57" i="28" s="1"/>
  <c r="F6" i="28" s="1"/>
  <c r="G6" i="28" s="1"/>
  <c r="E28" i="23" s="1"/>
  <c r="E6" i="23" s="1"/>
  <c r="AP61" i="28"/>
  <c r="AP63" i="28"/>
  <c r="AU58" i="28"/>
  <c r="AV51" i="28" s="1"/>
  <c r="AO48" i="26"/>
  <c r="P4" i="23"/>
  <c r="D6" i="13" s="1"/>
  <c r="D27" i="13" s="1"/>
  <c r="G32" i="5"/>
  <c r="Q4" i="5"/>
  <c r="E16" i="13" s="1"/>
  <c r="H16" i="13" s="1"/>
  <c r="K4" i="5"/>
  <c r="J16" i="5"/>
  <c r="J22" i="5" s="1"/>
  <c r="H4" i="5"/>
  <c r="AP60" i="28" l="1"/>
  <c r="AV58" i="28"/>
  <c r="AW51" i="28" s="1"/>
  <c r="AW58" i="28" s="1"/>
  <c r="AX51" i="28" s="1"/>
  <c r="AX58" i="28" s="1"/>
  <c r="F7" i="28" s="1"/>
  <c r="G7" i="28" s="1"/>
  <c r="E29" i="23" s="1"/>
  <c r="E7" i="23" s="1"/>
  <c r="AQ61" i="28"/>
  <c r="AQ63" i="28"/>
  <c r="AR55" i="28"/>
  <c r="AS48" i="28" s="1"/>
  <c r="AT56" i="28"/>
  <c r="AU49" i="28" s="1"/>
  <c r="AU56" i="28" s="1"/>
  <c r="AV49" i="28" s="1"/>
  <c r="AV56" i="28" s="1"/>
  <c r="AR59" i="28"/>
  <c r="AS52" i="28" s="1"/>
  <c r="AS59" i="28" s="1"/>
  <c r="AT52" i="28" s="1"/>
  <c r="AT59" i="28" s="1"/>
  <c r="AU52" i="28" s="1"/>
  <c r="AU59" i="28" s="1"/>
  <c r="AV52" i="28" s="1"/>
  <c r="L6" i="23"/>
  <c r="R6" i="23"/>
  <c r="F8" i="13" s="1"/>
  <c r="F29" i="13" s="1"/>
  <c r="AO55" i="26"/>
  <c r="AN60" i="26"/>
  <c r="AR56" i="26"/>
  <c r="AS49" i="26" s="1"/>
  <c r="AS56" i="26" s="1"/>
  <c r="AT49" i="26" s="1"/>
  <c r="T4" i="5"/>
  <c r="N4" i="5"/>
  <c r="AP48" i="26" l="1"/>
  <c r="AP55" i="26" s="1"/>
  <c r="AQ48" i="26" s="1"/>
  <c r="AT56" i="26"/>
  <c r="AU49" i="26" s="1"/>
  <c r="R7" i="23"/>
  <c r="F9" i="13" s="1"/>
  <c r="F30" i="13" s="1"/>
  <c r="L7" i="23"/>
  <c r="AV59" i="28"/>
  <c r="AW52" i="28" s="1"/>
  <c r="AW59" i="28" s="1"/>
  <c r="AX52" i="28" s="1"/>
  <c r="AX59" i="28" s="1"/>
  <c r="F8" i="28" s="1"/>
  <c r="G8" i="28" s="1"/>
  <c r="E30" i="23" s="1"/>
  <c r="E8" i="23" s="1"/>
  <c r="AR61" i="28"/>
  <c r="AR63" i="28"/>
  <c r="AQ60" i="28"/>
  <c r="AS55" i="28"/>
  <c r="AW49" i="28"/>
  <c r="AW56" i="28" s="1"/>
  <c r="AX49" i="28" s="1"/>
  <c r="AX56" i="28" s="1"/>
  <c r="F5" i="28" s="1"/>
  <c r="G5" i="28" s="1"/>
  <c r="E27" i="23" s="1"/>
  <c r="E5" i="23" s="1"/>
  <c r="AO61" i="26"/>
  <c r="AO63" i="26"/>
  <c r="AO60" i="26" l="1"/>
  <c r="R5" i="23"/>
  <c r="F7" i="13" s="1"/>
  <c r="F28" i="13" s="1"/>
  <c r="L5" i="23"/>
  <c r="AU56" i="26"/>
  <c r="AV49" i="26" s="1"/>
  <c r="AV56" i="26" s="1"/>
  <c r="AW49" i="26" s="1"/>
  <c r="AW56" i="26" s="1"/>
  <c r="F5" i="26" s="1"/>
  <c r="G5" i="26" s="1"/>
  <c r="F27" i="23" s="1"/>
  <c r="F5" i="23" s="1"/>
  <c r="AS61" i="28"/>
  <c r="AS63" i="28"/>
  <c r="R8" i="23"/>
  <c r="F10" i="13" s="1"/>
  <c r="F31" i="13" s="1"/>
  <c r="L8" i="23"/>
  <c r="AQ55" i="26"/>
  <c r="AP61" i="26"/>
  <c r="AP63" i="26"/>
  <c r="AR60" i="28"/>
  <c r="AT48" i="28"/>
  <c r="AS60" i="28" l="1"/>
  <c r="M5" i="23"/>
  <c r="S5" i="23"/>
  <c r="G7" i="13" s="1"/>
  <c r="G28" i="13" s="1"/>
  <c r="AQ61" i="26"/>
  <c r="AQ63" i="26"/>
  <c r="AT55" i="28"/>
  <c r="AU48" i="28" s="1"/>
  <c r="AP60" i="26"/>
  <c r="AR48" i="26"/>
  <c r="AQ60" i="26" l="1"/>
  <c r="AR55" i="26"/>
  <c r="AS48" i="26" s="1"/>
  <c r="AU55" i="28"/>
  <c r="AV48" i="28" s="1"/>
  <c r="AV55" i="28" s="1"/>
  <c r="AT61" i="28"/>
  <c r="AT63" i="28"/>
  <c r="AT60" i="28" l="1"/>
  <c r="AU61" i="28"/>
  <c r="AU63" i="28"/>
  <c r="AS55" i="26"/>
  <c r="AT48" i="26" s="1"/>
  <c r="AR61" i="26"/>
  <c r="AR63" i="26"/>
  <c r="AW48" i="28"/>
  <c r="AW55" i="28" s="1"/>
  <c r="AR60" i="26" l="1"/>
  <c r="AX48" i="28"/>
  <c r="AX55" i="28" s="1"/>
  <c r="F4" i="28" s="1"/>
  <c r="AV63" i="28"/>
  <c r="AT55" i="26"/>
  <c r="AS61" i="26"/>
  <c r="AS63" i="26"/>
  <c r="AU60" i="28"/>
  <c r="G4" i="28" l="1"/>
  <c r="F9" i="28"/>
  <c r="AV60" i="28"/>
  <c r="AT61" i="26"/>
  <c r="AT63" i="26"/>
  <c r="AW63" i="28"/>
  <c r="AU48" i="26"/>
  <c r="AS60" i="26"/>
  <c r="E26" i="23" l="1"/>
  <c r="G9" i="28"/>
  <c r="AU55" i="26"/>
  <c r="AV48" i="26" s="1"/>
  <c r="AV55" i="26" s="1"/>
  <c r="AT60" i="26"/>
  <c r="AW60" i="28"/>
  <c r="AX63" i="28"/>
  <c r="E4" i="23" l="1"/>
  <c r="L4" i="23" s="1"/>
  <c r="E32" i="23"/>
  <c r="AX60" i="28"/>
  <c r="AW48" i="26"/>
  <c r="AW55" i="26" s="1"/>
  <c r="F4" i="26" s="1"/>
  <c r="AU63" i="26"/>
  <c r="G4" i="26" l="1"/>
  <c r="F9" i="26"/>
  <c r="R4" i="23"/>
  <c r="F6" i="13" s="1"/>
  <c r="F27" i="13" s="1"/>
  <c r="AU60" i="26"/>
  <c r="AV63" i="26"/>
  <c r="G9" i="26" l="1"/>
  <c r="F26" i="23"/>
  <c r="AV60" i="26"/>
  <c r="AW63" i="26"/>
  <c r="F32" i="23" l="1"/>
  <c r="F4" i="23"/>
  <c r="AW60" i="26"/>
  <c r="S4" i="23" l="1"/>
  <c r="G6" i="13" s="1"/>
  <c r="G27" i="13" s="1"/>
  <c r="M4" i="23"/>
  <c r="F10" i="11"/>
  <c r="AY52" i="21" l="1"/>
  <c r="AY59" i="21" s="1"/>
  <c r="AZ52" i="21" s="1"/>
  <c r="AZ59" i="21" s="1"/>
  <c r="BA52" i="21" s="1"/>
  <c r="BA59" i="21" s="1"/>
  <c r="BB52" i="21" s="1"/>
  <c r="BB59" i="21" s="1"/>
  <c r="BC52" i="21" s="1"/>
  <c r="BC59" i="21" s="1"/>
  <c r="BD52" i="21" s="1"/>
  <c r="BD59" i="21" s="1"/>
  <c r="BE52" i="21" s="1"/>
  <c r="BE59" i="21" s="1"/>
  <c r="BF52" i="21" s="1"/>
  <c r="BF59" i="21" s="1"/>
  <c r="BG52" i="21" s="1"/>
  <c r="BG59" i="21" l="1"/>
  <c r="BH52" i="21" s="1"/>
  <c r="AY50" i="21" l="1"/>
  <c r="AY57" i="21" s="1"/>
  <c r="AZ50" i="21" s="1"/>
  <c r="AZ57" i="21" s="1"/>
  <c r="BA50" i="21" s="1"/>
  <c r="BA57" i="21" s="1"/>
  <c r="BB50" i="21" s="1"/>
  <c r="BB57" i="21" s="1"/>
  <c r="BC50" i="21" s="1"/>
  <c r="BC57" i="21" s="1"/>
  <c r="BD50" i="21" s="1"/>
  <c r="BD57" i="21" s="1"/>
  <c r="BE50" i="21" s="1"/>
  <c r="BE57" i="21" s="1"/>
  <c r="BF50" i="21" s="1"/>
  <c r="BF57" i="21" s="1"/>
  <c r="BG50" i="21" s="1"/>
  <c r="BH59" i="21"/>
  <c r="BI52" i="21" s="1"/>
  <c r="BI59" i="21" s="1"/>
  <c r="BJ52" i="21" s="1"/>
  <c r="BJ59" i="21" l="1"/>
  <c r="BK52" i="21" s="1"/>
  <c r="BK59" i="21" s="1"/>
  <c r="BG57" i="21"/>
  <c r="BH50" i="21" s="1"/>
  <c r="BL52" i="21" l="1"/>
  <c r="BL59" i="21" s="1"/>
  <c r="BM52" i="21" s="1"/>
  <c r="BM59" i="21" s="1"/>
  <c r="BN52" i="21" s="1"/>
  <c r="BN59" i="21" s="1"/>
  <c r="BO52" i="21" s="1"/>
  <c r="BO59" i="21" s="1"/>
  <c r="BP52" i="21" s="1"/>
  <c r="BP59" i="21" s="1"/>
  <c r="BQ52" i="21" s="1"/>
  <c r="BQ59" i="21" s="1"/>
  <c r="BR52" i="21" s="1"/>
  <c r="BR59" i="21" s="1"/>
  <c r="BS52" i="21" s="1"/>
  <c r="BS59" i="21" s="1"/>
  <c r="BT52" i="21" s="1"/>
  <c r="BT59" i="21" s="1"/>
  <c r="BU52" i="21" s="1"/>
  <c r="BU59" i="21" s="1"/>
  <c r="BV52" i="21" s="1"/>
  <c r="BV59" i="21" s="1"/>
  <c r="F7" i="21" s="1"/>
  <c r="G7" i="21" s="1"/>
  <c r="D29" i="23" s="1"/>
  <c r="BH57" i="21"/>
  <c r="BI50" i="21" s="1"/>
  <c r="BI57" i="21" s="1"/>
  <c r="BJ50" i="21" s="1"/>
  <c r="AY51" i="21"/>
  <c r="AY58" i="21" s="1"/>
  <c r="AZ51" i="21" s="1"/>
  <c r="AZ58" i="21" s="1"/>
  <c r="BA51" i="21" s="1"/>
  <c r="BA58" i="21" s="1"/>
  <c r="BB51" i="21" s="1"/>
  <c r="BB58" i="21" s="1"/>
  <c r="BC51" i="21" s="1"/>
  <c r="BC58" i="21" s="1"/>
  <c r="BD51" i="21" s="1"/>
  <c r="BD58" i="21" s="1"/>
  <c r="BE51" i="21" s="1"/>
  <c r="BE58" i="21" s="1"/>
  <c r="BF51" i="21" s="1"/>
  <c r="BF58" i="21" s="1"/>
  <c r="BG51" i="21" s="1"/>
  <c r="D7" i="23" l="1"/>
  <c r="G29" i="23"/>
  <c r="J29" i="23" s="1"/>
  <c r="L29" i="23" s="1"/>
  <c r="BJ57" i="21"/>
  <c r="BK50" i="21" s="1"/>
  <c r="BK57" i="21" s="1"/>
  <c r="BG58" i="21"/>
  <c r="BH51" i="21" s="1"/>
  <c r="BL50" i="21" l="1"/>
  <c r="BL57" i="21" s="1"/>
  <c r="BM50" i="21" s="1"/>
  <c r="BM57" i="21" s="1"/>
  <c r="BN50" i="21" s="1"/>
  <c r="BN57" i="21" s="1"/>
  <c r="BO50" i="21" s="1"/>
  <c r="BO57" i="21" s="1"/>
  <c r="BP50" i="21" s="1"/>
  <c r="BP57" i="21" s="1"/>
  <c r="BQ50" i="21" s="1"/>
  <c r="BQ57" i="21" s="1"/>
  <c r="BR50" i="21" s="1"/>
  <c r="BR57" i="21" s="1"/>
  <c r="BS50" i="21" s="1"/>
  <c r="BS57" i="21" s="1"/>
  <c r="BT50" i="21" s="1"/>
  <c r="BT57" i="21" s="1"/>
  <c r="BU50" i="21" s="1"/>
  <c r="BU57" i="21" s="1"/>
  <c r="BV50" i="21" s="1"/>
  <c r="BV57" i="21" s="1"/>
  <c r="F5" i="21" s="1"/>
  <c r="G5" i="21" s="1"/>
  <c r="D27" i="23" s="1"/>
  <c r="K7" i="23"/>
  <c r="J19" i="23"/>
  <c r="Q7" i="23"/>
  <c r="H7" i="23"/>
  <c r="BH58" i="21"/>
  <c r="BI51" i="21" s="1"/>
  <c r="BI58" i="21" s="1"/>
  <c r="BJ51" i="21" s="1"/>
  <c r="BJ58" i="21" l="1"/>
  <c r="BK51" i="21" s="1"/>
  <c r="BK58" i="21" s="1"/>
  <c r="T7" i="23"/>
  <c r="E9" i="13"/>
  <c r="N7" i="23"/>
  <c r="D5" i="23"/>
  <c r="G27" i="23"/>
  <c r="J27" i="23" s="1"/>
  <c r="L27" i="23" s="1"/>
  <c r="J17" i="23" l="1"/>
  <c r="H5" i="23"/>
  <c r="K5" i="23"/>
  <c r="Q5" i="23"/>
  <c r="H9" i="13"/>
  <c r="E30" i="13"/>
  <c r="H30" i="13" s="1"/>
  <c r="BL51" i="21"/>
  <c r="BL58" i="21" s="1"/>
  <c r="BM51" i="21" s="1"/>
  <c r="BM58" i="21" s="1"/>
  <c r="BN51" i="21" s="1"/>
  <c r="BN58" i="21" s="1"/>
  <c r="BO51" i="21" s="1"/>
  <c r="BO58" i="21" s="1"/>
  <c r="BP51" i="21" s="1"/>
  <c r="BP58" i="21" s="1"/>
  <c r="BQ51" i="21" s="1"/>
  <c r="BQ58" i="21" s="1"/>
  <c r="BR51" i="21" s="1"/>
  <c r="BR58" i="21" s="1"/>
  <c r="BS51" i="21" s="1"/>
  <c r="BS58" i="21" s="1"/>
  <c r="BT51" i="21" s="1"/>
  <c r="BT58" i="21" s="1"/>
  <c r="BU51" i="21" s="1"/>
  <c r="BU58" i="21" s="1"/>
  <c r="BV51" i="21" s="1"/>
  <c r="BV58" i="21" s="1"/>
  <c r="F6" i="21" s="1"/>
  <c r="G6" i="21" s="1"/>
  <c r="D28" i="23" s="1"/>
  <c r="N5" i="23" l="1"/>
  <c r="T5" i="23"/>
  <c r="E7" i="13"/>
  <c r="G28" i="23"/>
  <c r="J28" i="23" s="1"/>
  <c r="L28" i="23" s="1"/>
  <c r="D6" i="23"/>
  <c r="J18" i="23" l="1"/>
  <c r="H6" i="23"/>
  <c r="E28" i="13"/>
  <c r="H28" i="13" s="1"/>
  <c r="H7" i="13"/>
  <c r="Q6" i="23"/>
  <c r="K6" i="23"/>
  <c r="N6" i="23" l="1"/>
  <c r="E8" i="13"/>
  <c r="T6" i="23"/>
  <c r="H8" i="13" l="1"/>
  <c r="E29" i="13"/>
  <c r="H29" i="13" s="1"/>
  <c r="AY53" i="21" l="1"/>
  <c r="AY60" i="21" s="1"/>
  <c r="AZ53" i="21" s="1"/>
  <c r="AZ60" i="21" s="1"/>
  <c r="BA53" i="21" s="1"/>
  <c r="BA60" i="21" s="1"/>
  <c r="BB53" i="21" s="1"/>
  <c r="BB60" i="21" s="1"/>
  <c r="BC53" i="21" s="1"/>
  <c r="BC60" i="21" s="1"/>
  <c r="BD53" i="21" s="1"/>
  <c r="BD60" i="21" s="1"/>
  <c r="BE53" i="21" s="1"/>
  <c r="BE60" i="21" s="1"/>
  <c r="BF53" i="21" s="1"/>
  <c r="BF60" i="21" s="1"/>
  <c r="BG53" i="21" s="1"/>
  <c r="BG60" i="21" l="1"/>
  <c r="BH53" i="21" s="1"/>
  <c r="BH60" i="21" l="1"/>
  <c r="BI53" i="21" s="1"/>
  <c r="BI60" i="21" l="1"/>
  <c r="BJ53" i="21" s="1"/>
  <c r="BJ60" i="21" l="1"/>
  <c r="BK53" i="21" s="1"/>
  <c r="BK60" i="21" s="1"/>
  <c r="BL53" i="21" l="1"/>
  <c r="BL60" i="21" s="1"/>
  <c r="BM53" i="21" s="1"/>
  <c r="BM60" i="21" s="1"/>
  <c r="BN53" i="21" s="1"/>
  <c r="BN60" i="21" s="1"/>
  <c r="BO53" i="21" s="1"/>
  <c r="BO60" i="21" s="1"/>
  <c r="BP53" i="21" s="1"/>
  <c r="BP60" i="21" s="1"/>
  <c r="BQ53" i="21" s="1"/>
  <c r="BQ60" i="21" s="1"/>
  <c r="BR53" i="21" s="1"/>
  <c r="BR60" i="21" s="1"/>
  <c r="BS53" i="21" s="1"/>
  <c r="BS60" i="21" s="1"/>
  <c r="BT53" i="21" s="1"/>
  <c r="BT60" i="21" s="1"/>
  <c r="BU53" i="21" s="1"/>
  <c r="BU60" i="21" s="1"/>
  <c r="BV53" i="21" s="1"/>
  <c r="BV60" i="21" s="1"/>
  <c r="F8" i="21" s="1"/>
  <c r="G8" i="21" s="1"/>
  <c r="D30" i="23" s="1"/>
  <c r="D8" i="23" l="1"/>
  <c r="G30" i="23"/>
  <c r="J30" i="23" l="1"/>
  <c r="L30" i="23" s="1"/>
  <c r="J20" i="23"/>
  <c r="Q8" i="23"/>
  <c r="H8" i="23"/>
  <c r="K8" i="23"/>
  <c r="N8" i="23" l="1"/>
  <c r="T8" i="23"/>
  <c r="E10" i="13"/>
  <c r="E31" i="13" l="1"/>
  <c r="H31" i="13" s="1"/>
  <c r="H10" i="13"/>
  <c r="AX65" i="21" l="1"/>
  <c r="AX62" i="21" l="1"/>
  <c r="AY49" i="21"/>
  <c r="AX64" i="21"/>
  <c r="AX61" i="21" s="1"/>
  <c r="AY56" i="21" l="1"/>
  <c r="AZ49" i="21"/>
  <c r="AZ56" i="21" l="1"/>
  <c r="BA49" i="21" s="1"/>
  <c r="AY62" i="21"/>
  <c r="AY64" i="21"/>
  <c r="AY61" i="21" s="1"/>
  <c r="BA56" i="21" l="1"/>
  <c r="AZ64" i="21"/>
  <c r="AZ61" i="21" s="1"/>
  <c r="AZ62" i="21"/>
  <c r="BA62" i="21" l="1"/>
  <c r="BA64" i="21"/>
  <c r="BB49" i="21"/>
  <c r="BB56" i="21" s="1"/>
  <c r="BC49" i="21" l="1"/>
  <c r="BB64" i="21"/>
  <c r="BB61" i="21" s="1"/>
  <c r="BB62" i="21"/>
  <c r="BA61" i="21"/>
  <c r="BC56" i="21" l="1"/>
  <c r="BD49" i="21" s="1"/>
  <c r="BD56" i="21" l="1"/>
  <c r="BE49" i="21" s="1"/>
  <c r="BC62" i="21"/>
  <c r="BC64" i="21"/>
  <c r="BC61" i="21" s="1"/>
  <c r="BE56" i="21" l="1"/>
  <c r="BF49" i="21" s="1"/>
  <c r="BF56" i="21" s="1"/>
  <c r="BD64" i="21"/>
  <c r="BD61" i="21" s="1"/>
  <c r="BD62" i="21"/>
  <c r="BG49" i="21" l="1"/>
  <c r="BF62" i="21"/>
  <c r="BE62" i="21"/>
  <c r="BE64" i="21"/>
  <c r="BE61" i="21" s="1"/>
  <c r="BF64" i="21" l="1"/>
  <c r="BG56" i="21"/>
  <c r="BH49" i="21" s="1"/>
  <c r="BH56" i="21" l="1"/>
  <c r="BI49" i="21" s="1"/>
  <c r="BI56" i="21" s="1"/>
  <c r="BG62" i="21"/>
  <c r="BG64" i="21"/>
  <c r="BG61" i="21" s="1"/>
  <c r="BF61" i="21"/>
  <c r="BJ49" i="21" l="1"/>
  <c r="BI62" i="21"/>
  <c r="BH62" i="21"/>
  <c r="BH64" i="21"/>
  <c r="BH61" i="21" s="1"/>
  <c r="BI64" i="21" l="1"/>
  <c r="BJ56" i="21"/>
  <c r="BJ62" i="21" l="1"/>
  <c r="BJ64" i="21"/>
  <c r="BJ61" i="21" s="1"/>
  <c r="BK49" i="21"/>
  <c r="BK56" i="21" s="1"/>
  <c r="BI61" i="21"/>
  <c r="BK62" i="21" l="1"/>
  <c r="BK64" i="21"/>
  <c r="BK61" i="21" s="1"/>
  <c r="BL49" i="21"/>
  <c r="BL56" i="21" s="1"/>
  <c r="BL64" i="21" l="1"/>
  <c r="BL61" i="21" s="1"/>
  <c r="BM49" i="21"/>
  <c r="BM56" i="21" s="1"/>
  <c r="BM62" i="21" s="1"/>
  <c r="BL62" i="21"/>
  <c r="BN49" i="21" l="1"/>
  <c r="BN56" i="21" s="1"/>
  <c r="BN62" i="21" s="1"/>
  <c r="BM64" i="21"/>
  <c r="BN64" i="21" l="1"/>
  <c r="BN61" i="21" s="1"/>
  <c r="BO49" i="21"/>
  <c r="BO56" i="21" s="1"/>
  <c r="BO62" i="21" s="1"/>
  <c r="BM61" i="21"/>
  <c r="BO64" i="21" l="1"/>
  <c r="BO61" i="21" s="1"/>
  <c r="BP49" i="21"/>
  <c r="BP56" i="21" s="1"/>
  <c r="BP62" i="21" s="1"/>
  <c r="BP64" i="21" l="1"/>
  <c r="BP61" i="21" s="1"/>
  <c r="BQ49" i="21"/>
  <c r="BQ56" i="21" s="1"/>
  <c r="BR49" i="21" s="1"/>
  <c r="BR56" i="21" l="1"/>
  <c r="BS49" i="21" s="1"/>
  <c r="BS56" i="21" s="1"/>
  <c r="BQ62" i="21"/>
  <c r="BQ64" i="21"/>
  <c r="BQ61" i="21" s="1"/>
  <c r="BT49" i="21" l="1"/>
  <c r="BT56" i="21" s="1"/>
  <c r="BS62" i="21"/>
  <c r="BR62" i="21"/>
  <c r="BR64" i="21"/>
  <c r="BR61" i="21" l="1"/>
  <c r="BS64" i="21"/>
  <c r="BT64" i="21" s="1"/>
  <c r="BU49" i="21"/>
  <c r="BT61" i="21" l="1"/>
  <c r="BU56" i="21"/>
  <c r="BU64" i="21" s="1"/>
  <c r="BS61" i="21"/>
  <c r="BV49" i="21" l="1"/>
  <c r="BV56" i="21" s="1"/>
  <c r="F4" i="21" s="1"/>
  <c r="BU61" i="21"/>
  <c r="F9" i="21" l="1"/>
  <c r="G4" i="21"/>
  <c r="BV64" i="21"/>
  <c r="BV61" i="21" l="1"/>
  <c r="G9" i="21"/>
  <c r="D26" i="23"/>
  <c r="D4" i="23" s="1"/>
  <c r="K4" i="23" l="1"/>
  <c r="J16" i="23"/>
  <c r="H4" i="23"/>
  <c r="G26" i="23"/>
  <c r="J26" i="23" s="1"/>
  <c r="D32" i="23"/>
  <c r="N4" i="23" l="1"/>
  <c r="Q4" i="23"/>
  <c r="J22" i="23"/>
  <c r="G32" i="23"/>
  <c r="J32" i="23" l="1"/>
  <c r="L26" i="23"/>
  <c r="L32" i="23" s="1"/>
  <c r="E6" i="13"/>
  <c r="T4" i="23"/>
  <c r="H6" i="13" l="1"/>
  <c r="E27" i="13"/>
  <c r="H27" i="13" s="1"/>
  <c r="B51" i="29" l="1"/>
  <c r="B74" i="29" l="1"/>
  <c r="C51" i="29"/>
  <c r="C74" i="29" s="1"/>
  <c r="D51" i="29" l="1"/>
  <c r="D74" i="29" s="1"/>
  <c r="G10" i="29" l="1"/>
  <c r="B39" i="30"/>
  <c r="B62" i="30" l="1"/>
  <c r="C39" i="30" l="1"/>
  <c r="C62" i="30" l="1"/>
  <c r="D39" i="30" l="1"/>
  <c r="D62" i="30" l="1"/>
  <c r="F10" i="30"/>
  <c r="BU51" i="22" l="1"/>
  <c r="AU38" i="26"/>
  <c r="AU61" i="26" l="1"/>
  <c r="BU74" i="22"/>
  <c r="BV51" i="22"/>
  <c r="BV74" i="22" s="1"/>
  <c r="AV38" i="28" l="1"/>
  <c r="AV38" i="26"/>
  <c r="BW51" i="22"/>
  <c r="BW74" i="22" s="1"/>
  <c r="AW38" i="26"/>
  <c r="AW61" i="26" s="1"/>
  <c r="AV61" i="26" l="1"/>
  <c r="F10" i="26"/>
  <c r="G10" i="22"/>
  <c r="AV61" i="28"/>
  <c r="AW38" i="28" l="1"/>
  <c r="BT39" i="21"/>
  <c r="AX38" i="28" l="1"/>
  <c r="AX61" i="28" s="1"/>
  <c r="AW61" i="28"/>
  <c r="F10" i="28"/>
  <c r="BT62" i="21"/>
  <c r="BU39" i="21" l="1"/>
  <c r="BU62" i="21" l="1"/>
  <c r="BV39" i="21" l="1"/>
  <c r="BV62" i="21" l="1"/>
  <c r="F1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C15" authorId="0" shapeId="0" xr:uid="{00000000-0006-0000-0100-000003000000}">
      <text>
        <r>
          <rPr>
            <b/>
            <sz val="9"/>
            <color indexed="81"/>
            <rFont val="Tahoma"/>
            <family val="2"/>
          </rPr>
          <t>Filley, Kimberly S:</t>
        </r>
        <r>
          <rPr>
            <sz val="9"/>
            <color indexed="81"/>
            <rFont val="Tahoma"/>
            <family val="2"/>
          </rPr>
          <t xml:space="preserve">
includes on-top adjustment to PC of
-$13K from Nov 21 rate filing wp CPA4 - tab PCR.1A (M3)</t>
        </r>
      </text>
    </comment>
    <comment ref="AK15" authorId="0" shapeId="0" xr:uid="{00000000-0006-0000-0100-000004000000}">
      <text>
        <r>
          <rPr>
            <b/>
            <sz val="9"/>
            <color indexed="81"/>
            <rFont val="Tahoma"/>
            <family val="2"/>
          </rPr>
          <t>Filley, Kimberly S:</t>
        </r>
        <r>
          <rPr>
            <sz val="9"/>
            <color indexed="81"/>
            <rFont val="Tahoma"/>
            <family val="2"/>
          </rPr>
          <t xml:space="preserve">
includes on-top adjustment to PC from AML4 - tab PCR.1B (M3)</t>
        </r>
      </text>
    </comment>
    <comment ref="AC16" authorId="0" shapeId="0" xr:uid="{00000000-0006-0000-0100-000006000000}">
      <text>
        <r>
          <rPr>
            <b/>
            <sz val="9"/>
            <color indexed="81"/>
            <rFont val="Tahoma"/>
            <family val="2"/>
          </rPr>
          <t>Filley, Kimberly S:</t>
        </r>
        <r>
          <rPr>
            <sz val="9"/>
            <color indexed="81"/>
            <rFont val="Tahoma"/>
            <family val="2"/>
          </rPr>
          <t xml:space="preserve">
includes on-top adjustment to PC of
-$3.3K from Nov 21 rate filing wp CPA4 - tab PCR.1A (M3)</t>
        </r>
      </text>
    </comment>
    <comment ref="AC17" authorId="0" shapeId="0" xr:uid="{00000000-0006-0000-0100-000007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C18" authorId="0" shapeId="0" xr:uid="{00000000-0006-0000-0100-000008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Z61" authorId="0" shapeId="0" xr:uid="{00000000-0006-0000-0100-00000E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1" authorId="0" shapeId="0" xr:uid="{00000000-0006-0000-0100-00000F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2" authorId="0" shapeId="0" xr:uid="{00000000-0006-0000-0100-000010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2" authorId="0" shapeId="0" xr:uid="{00000000-0006-0000-0100-000011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3" authorId="0" shapeId="0" xr:uid="{00000000-0006-0000-0100-000012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3" authorId="0" shapeId="0" xr:uid="{00000000-0006-0000-0100-000013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4" authorId="0" shapeId="0" xr:uid="{00000000-0006-0000-0100-000014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4" authorId="0" shapeId="0" xr:uid="{00000000-0006-0000-0100-000015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5" authorId="0" shapeId="0" xr:uid="{00000000-0006-0000-0100-000016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5" authorId="0" shapeId="0" xr:uid="{00000000-0006-0000-0100-000017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C68" authorId="0" shapeId="0" xr:uid="{00000000-0006-0000-0100-000019000000}">
      <text>
        <r>
          <rPr>
            <b/>
            <sz val="9"/>
            <color indexed="81"/>
            <rFont val="Tahoma"/>
            <family val="2"/>
          </rPr>
          <t>Filley, Kimberly S:</t>
        </r>
        <r>
          <rPr>
            <sz val="9"/>
            <color indexed="81"/>
            <rFont val="Tahoma"/>
            <family val="2"/>
          </rPr>
          <t xml:space="preserve">
includes on-top adjustment to PC interest of  -$359.54  related to Nov 21 rate filing </t>
        </r>
      </text>
    </comment>
    <comment ref="AK68" authorId="0" shapeId="0" xr:uid="{00000000-0006-0000-0100-00001A000000}">
      <text>
        <r>
          <rPr>
            <b/>
            <sz val="9"/>
            <color indexed="81"/>
            <rFont val="Tahoma"/>
            <family val="2"/>
          </rPr>
          <t>Filley, Kimberly S:</t>
        </r>
        <r>
          <rPr>
            <sz val="9"/>
            <color indexed="81"/>
            <rFont val="Tahoma"/>
            <family val="2"/>
          </rPr>
          <t xml:space="preserve">
formula changed to pick up on-top adjustment to PC interest from AML4- tab PCR.1b (M3) and allocate it all to res as pays is only related to res</t>
        </r>
      </text>
    </comment>
    <comment ref="AY68" authorId="0" shapeId="0" xr:uid="{00000000-0006-0000-0100-00001B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8" authorId="0" shapeId="0" xr:uid="{00000000-0006-0000-0100-00001C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 ref="BH68" authorId="0" shapeId="0" xr:uid="{00000000-0006-0000-0100-00001D000000}">
      <text>
        <r>
          <rPr>
            <b/>
            <sz val="9"/>
            <color indexed="81"/>
            <rFont val="Tahoma"/>
            <family val="2"/>
          </rPr>
          <t>Filley, Kimberly S:</t>
        </r>
        <r>
          <rPr>
            <sz val="9"/>
            <color indexed="81"/>
            <rFont val="Tahoma"/>
            <family val="2"/>
          </rPr>
          <t xml:space="preserve">
formula changed to pick up on-top adjustment to PC interest from JNG3- tab MEEIA 3 adjs and allocate it all to res as pays is only related to res</t>
        </r>
      </text>
    </comment>
    <comment ref="AC69" authorId="0" shapeId="0" xr:uid="{00000000-0006-0000-0100-00001E000000}">
      <text>
        <r>
          <rPr>
            <b/>
            <sz val="9"/>
            <color indexed="81"/>
            <rFont val="Tahoma"/>
            <family val="2"/>
          </rPr>
          <t>Filley, Kimberly S:</t>
        </r>
        <r>
          <rPr>
            <sz val="9"/>
            <color indexed="81"/>
            <rFont val="Tahoma"/>
            <family val="2"/>
          </rPr>
          <t xml:space="preserve">
includes on-top adjustment to PC interest of  -$32.66 related to Nov 21 rate filing </t>
        </r>
      </text>
    </comment>
    <comment ref="AY69" authorId="0" shapeId="0" xr:uid="{00000000-0006-0000-0100-00001F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9" authorId="0" shapeId="0" xr:uid="{00000000-0006-0000-0100-000020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0" authorId="0" shapeId="0" xr:uid="{00000000-0006-0000-0100-000021000000}">
      <text>
        <r>
          <rPr>
            <b/>
            <sz val="9"/>
            <color indexed="81"/>
            <rFont val="Tahoma"/>
            <family val="2"/>
          </rPr>
          <t>Filley, Kimberly S:</t>
        </r>
        <r>
          <rPr>
            <sz val="9"/>
            <color indexed="81"/>
            <rFont val="Tahoma"/>
            <family val="2"/>
          </rPr>
          <t xml:space="preserve">
includes on-top adjustment to PC interest of  -$66.91  related to Nov 21 rate filing </t>
        </r>
      </text>
    </comment>
    <comment ref="AY70" authorId="0" shapeId="0" xr:uid="{00000000-0006-0000-0100-000022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0" authorId="0" shapeId="0" xr:uid="{E1A19B70-EED5-454C-B6AE-A8A0170591DA}">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1" authorId="0" shapeId="0" xr:uid="{00000000-0006-0000-0100-000024000000}">
      <text>
        <r>
          <rPr>
            <b/>
            <sz val="9"/>
            <color indexed="81"/>
            <rFont val="Tahoma"/>
            <family val="2"/>
          </rPr>
          <t>Filley, Kimberly S:</t>
        </r>
        <r>
          <rPr>
            <sz val="9"/>
            <color indexed="81"/>
            <rFont val="Tahoma"/>
            <family val="2"/>
          </rPr>
          <t xml:space="preserve">
includes on-top adjustment to PC interest of  -$26.61  related to Nov 21 rate filing </t>
        </r>
      </text>
    </comment>
    <comment ref="AY71" authorId="0" shapeId="0" xr:uid="{00000000-0006-0000-0100-000025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1" authorId="0" shapeId="0" xr:uid="{B1A0F8BA-E123-44FB-BD8B-265637457DC3}">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2" authorId="0" shapeId="0" xr:uid="{00000000-0006-0000-0100-000027000000}">
      <text>
        <r>
          <rPr>
            <b/>
            <sz val="9"/>
            <color indexed="81"/>
            <rFont val="Tahoma"/>
            <family val="2"/>
          </rPr>
          <t>Filley, Kimberly S:</t>
        </r>
        <r>
          <rPr>
            <sz val="9"/>
            <color indexed="81"/>
            <rFont val="Tahoma"/>
            <family val="2"/>
          </rPr>
          <t xml:space="preserve">
includes on-top adjustment to PC interest of  -$6.25  related to Nov 21 rate filing </t>
        </r>
      </text>
    </comment>
    <comment ref="AY72" authorId="0" shapeId="0" xr:uid="{00000000-0006-0000-0100-000028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2" authorId="0" shapeId="0" xr:uid="{78D6D230-D73E-445E-B566-9F172EFEA326}">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Z76" authorId="0" shapeId="0" xr:uid="{00000000-0006-0000-0100-00002B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76" authorId="0" shapeId="0" xr:uid="{00000000-0006-0000-0100-00002C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M77" authorId="1" shapeId="0" xr:uid="{00000000-0006-0000-0100-00002D000000}">
      <text>
        <r>
          <rPr>
            <b/>
            <sz val="9"/>
            <color indexed="81"/>
            <rFont val="Tahoma"/>
            <family val="2"/>
          </rPr>
          <t>Filley, Kim:</t>
        </r>
        <r>
          <rPr>
            <sz val="9"/>
            <color indexed="81"/>
            <rFont val="Tahoma"/>
            <family val="2"/>
          </rPr>
          <t xml:space="preserve">
Effective Feb 1, 2022, ending MEEIA 2 balance rolled into MEEIA 3</t>
        </r>
      </text>
    </comment>
    <comment ref="AY77" authorId="0" shapeId="0" xr:uid="{00000000-0006-0000-0100-00002E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7" authorId="0" shapeId="0" xr:uid="{00000000-0006-0000-0100-00002F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Raysene Logan</author>
    <author>Filley, Kimberly S</author>
    <author>Logan, Raysene</author>
  </authors>
  <commentList>
    <comment ref="AR56" authorId="0" shapeId="0" xr:uid="{00000000-0006-0000-0300-00000A000000}">
      <text>
        <r>
          <rPr>
            <b/>
            <sz val="9"/>
            <color indexed="81"/>
            <rFont val="Tahoma"/>
            <family val="2"/>
          </rPr>
          <t>Raysene Logan:</t>
        </r>
        <r>
          <rPr>
            <sz val="9"/>
            <color indexed="81"/>
            <rFont val="Tahoma"/>
            <family val="2"/>
          </rPr>
          <t xml:space="preserve">
$9,652 Interest adj - interest on HER report adjustments booked in July 2019</t>
        </r>
      </text>
    </comment>
    <comment ref="CH56" authorId="1" shapeId="0" xr:uid="{00000000-0006-0000-0300-00000B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7" authorId="1" shapeId="0" xr:uid="{00000000-0006-0000-0300-00000C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8" authorId="1" shapeId="0" xr:uid="{00000000-0006-0000-0300-00000D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9" authorId="1" shapeId="0" xr:uid="{00000000-0006-0000-0300-00000E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60" authorId="1" shapeId="0" xr:uid="{00000000-0006-0000-0300-00000F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N65" authorId="2" shapeId="0" xr:uid="{00000000-0006-0000-0300-000011000000}">
      <text>
        <r>
          <rPr>
            <b/>
            <sz val="9"/>
            <color indexed="81"/>
            <rFont val="Tahoma"/>
            <family val="2"/>
          </rPr>
          <t>Logan, Raysene:</t>
        </r>
        <r>
          <rPr>
            <sz val="9"/>
            <color indexed="81"/>
            <rFont val="Tahoma"/>
            <family val="2"/>
          </rPr>
          <t xml:space="preserve">
Effective Feb 1, 2017, ending MEEIA 1 balance rolled into MEEIA 2</t>
        </r>
      </text>
    </comment>
    <comment ref="CH65" authorId="1" shapeId="0" xr:uid="{00000000-0006-0000-0300-000012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L56" authorId="0" shapeId="0" xr:uid="{00000000-0006-0000-0400-000009000000}">
      <text>
        <r>
          <rPr>
            <b/>
            <sz val="9"/>
            <color indexed="81"/>
            <rFont val="Tahoma"/>
            <family val="2"/>
          </rPr>
          <t>Filley, Kimberly S:</t>
        </r>
        <r>
          <rPr>
            <sz val="9"/>
            <color indexed="81"/>
            <rFont val="Tahoma"/>
            <family val="2"/>
          </rPr>
          <t xml:space="preserve">
interest adjustment of +$0.09 booked in Nov 19 as result of the air compressor margin rate being applied to all measures</t>
        </r>
      </text>
    </comment>
    <comment ref="AX56" authorId="0" shapeId="0" xr:uid="{00000000-0006-0000-0400-00000A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7" authorId="0" shapeId="0" xr:uid="{00000000-0006-0000-0400-00000B000000}">
      <text>
        <r>
          <rPr>
            <b/>
            <sz val="9"/>
            <color indexed="81"/>
            <rFont val="Tahoma"/>
            <family val="2"/>
          </rPr>
          <t>Filley, Kimberly S:</t>
        </r>
        <r>
          <rPr>
            <sz val="9"/>
            <color indexed="81"/>
            <rFont val="Tahoma"/>
            <family val="2"/>
          </rPr>
          <t xml:space="preserve">
interest adjustment of +$0.02 booked in Nov 19 as result of the air compressor margin rate being applied to all measures</t>
        </r>
      </text>
    </comment>
    <comment ref="AX57" authorId="0" shapeId="0" xr:uid="{00000000-0006-0000-0400-00000C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8" authorId="0" shapeId="0" xr:uid="{00000000-0006-0000-0400-00000D000000}">
      <text>
        <r>
          <rPr>
            <b/>
            <sz val="9"/>
            <color indexed="81"/>
            <rFont val="Tahoma"/>
            <family val="2"/>
          </rPr>
          <t>Filley, Kimberly S:</t>
        </r>
        <r>
          <rPr>
            <sz val="9"/>
            <color indexed="81"/>
            <rFont val="Tahoma"/>
            <family val="2"/>
          </rPr>
          <t xml:space="preserve">
interest adjustment of +$95.42 booked in Nov 19 as result of the air compressor margin rate being applied to all measures</t>
        </r>
      </text>
    </comment>
    <comment ref="AX58" authorId="0" shapeId="0" xr:uid="{00000000-0006-0000-0400-00000E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9" authorId="0" shapeId="0" xr:uid="{00000000-0006-0000-0400-00000F000000}">
      <text>
        <r>
          <rPr>
            <b/>
            <sz val="9"/>
            <color indexed="81"/>
            <rFont val="Tahoma"/>
            <family val="2"/>
          </rPr>
          <t>Filley, Kimberly S:</t>
        </r>
        <r>
          <rPr>
            <sz val="9"/>
            <color indexed="81"/>
            <rFont val="Tahoma"/>
            <family val="2"/>
          </rPr>
          <t xml:space="preserve">
interest adjustment of +$46.57 booked in Nov 19 as result of the air compressor margin rate being applied to all measures</t>
        </r>
      </text>
    </comment>
    <comment ref="AX59" authorId="0" shapeId="0" xr:uid="{00000000-0006-0000-0400-000010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60" authorId="0" shapeId="0" xr:uid="{00000000-0006-0000-0400-000011000000}">
      <text>
        <r>
          <rPr>
            <b/>
            <sz val="9"/>
            <color indexed="81"/>
            <rFont val="Tahoma"/>
            <family val="2"/>
          </rPr>
          <t>Filley, Kimberly S:</t>
        </r>
        <r>
          <rPr>
            <sz val="9"/>
            <color indexed="81"/>
            <rFont val="Tahoma"/>
            <family val="2"/>
          </rPr>
          <t xml:space="preserve">
interest adjustment of +$15.68 booked in Nov 19 as result of the air compressor margin rate being applied to all measures</t>
        </r>
      </text>
    </comment>
    <comment ref="AX60" authorId="0" shapeId="0" xr:uid="{00000000-0006-0000-0400-000012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AX65" authorId="0" shapeId="0" xr:uid="{53AD86A5-A944-4D82-AFC4-185FF6D92ECA}">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BJ65" authorId="1" shapeId="0" xr:uid="{51957A8E-9DA7-4BD6-9FAD-D0D7DB7BC2EB}">
      <text>
        <r>
          <rPr>
            <b/>
            <sz val="9"/>
            <color indexed="81"/>
            <rFont val="Tahoma"/>
            <family val="2"/>
          </rPr>
          <t>Filley, Kim:</t>
        </r>
        <r>
          <rPr>
            <sz val="9"/>
            <color indexed="81"/>
            <rFont val="Tahoma"/>
            <family val="2"/>
          </rPr>
          <t xml:space="preserve">
Effective Feb 1, 2024, ending MEEIA 2 balance rolled into MEEIA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Z55" authorId="0" shapeId="0" xr:uid="{00000000-0006-0000-0600-000009000000}">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6" authorId="0" shapeId="0" xr:uid="{00000000-0006-0000-0600-00000A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7" authorId="0" shapeId="0" xr:uid="{00000000-0006-0000-0600-00000B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8" authorId="0" shapeId="0" xr:uid="{00000000-0006-0000-0600-00000C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9" authorId="0" shapeId="0" xr:uid="{00000000-0006-0000-0600-00000D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N64" authorId="1" shapeId="0" xr:uid="{00000000-0006-0000-0600-00000E000000}">
      <text>
        <r>
          <rPr>
            <b/>
            <sz val="9"/>
            <color indexed="81"/>
            <rFont val="Tahoma"/>
            <family val="2"/>
          </rPr>
          <t>Filley, Kim:</t>
        </r>
        <r>
          <rPr>
            <sz val="9"/>
            <color indexed="81"/>
            <rFont val="Tahoma"/>
            <family val="2"/>
          </rPr>
          <t xml:space="preserve">
Effective Feb 1, 2022, ending MEEIA 2 balance rolled into MEEIA 3</t>
        </r>
      </text>
    </comment>
    <comment ref="Z64" authorId="0" shapeId="0" xr:uid="{565D5965-DDE6-46B9-BC79-19DEAC9F236B}">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K15" authorId="0" shapeId="0" xr:uid="{00000000-0006-0000-0800-000004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6" authorId="0" shapeId="0" xr:uid="{00000000-0006-0000-0800-000006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7" authorId="0" shapeId="0" xr:uid="{00000000-0006-0000-0800-000007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8" authorId="0" shapeId="0" xr:uid="{00000000-0006-0000-0800-000008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9" authorId="0" shapeId="0" xr:uid="{00000000-0006-0000-0800-000009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55" authorId="0" shapeId="0" xr:uid="{00000000-0006-0000-0800-000011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5" authorId="0" shapeId="0" xr:uid="{00000000-0006-0000-0800-000012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6" authorId="0" shapeId="0" xr:uid="{00000000-0006-0000-0800-000013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6" authorId="0" shapeId="0" xr:uid="{00000000-0006-0000-0800-000014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7" authorId="0" shapeId="0" xr:uid="{00000000-0006-0000-0800-000015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7" authorId="0" shapeId="0" xr:uid="{00000000-0006-0000-0800-000016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8" authorId="0" shapeId="0" xr:uid="{00000000-0006-0000-0800-000017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8" authorId="0" shapeId="0" xr:uid="{00000000-0006-0000-0800-000018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9" authorId="0" shapeId="0" xr:uid="{00000000-0006-0000-0800-000019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9" authorId="0" shapeId="0" xr:uid="{00000000-0006-0000-0800-00001A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M64" authorId="1" shapeId="0" xr:uid="{00000000-0006-0000-0800-00001C000000}">
      <text>
        <r>
          <rPr>
            <b/>
            <sz val="9"/>
            <color indexed="81"/>
            <rFont val="Tahoma"/>
            <family val="2"/>
          </rPr>
          <t>Filley, Kim:</t>
        </r>
        <r>
          <rPr>
            <sz val="9"/>
            <color indexed="81"/>
            <rFont val="Tahoma"/>
            <family val="2"/>
          </rPr>
          <t xml:space="preserve">
Effective Feb 1, 2022, ending MEEIA 2 balance rolled into MEEIA 3</t>
        </r>
      </text>
    </comment>
    <comment ref="Y64" authorId="0" shapeId="0" xr:uid="{109FDF86-A439-4D72-A2CD-C14732609828}">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List>
</comments>
</file>

<file path=xl/sharedStrings.xml><?xml version="1.0" encoding="utf-8"?>
<sst xmlns="http://schemas.openxmlformats.org/spreadsheetml/2006/main" count="815" uniqueCount="181">
  <si>
    <t>RES</t>
  </si>
  <si>
    <t>BUS</t>
  </si>
  <si>
    <t>Low Income</t>
  </si>
  <si>
    <t>Common/General</t>
  </si>
  <si>
    <t>SGS</t>
  </si>
  <si>
    <t>LGS</t>
  </si>
  <si>
    <t>SPS</t>
  </si>
  <si>
    <t>LPS</t>
  </si>
  <si>
    <t>Allocations</t>
  </si>
  <si>
    <t>Total</t>
  </si>
  <si>
    <t>PPC</t>
  </si>
  <si>
    <t>Service Class</t>
  </si>
  <si>
    <t>PC ($)</t>
  </si>
  <si>
    <t>PE (kWh)</t>
  </si>
  <si>
    <t>EEIC ($/kWh)</t>
  </si>
  <si>
    <t>1M</t>
  </si>
  <si>
    <t>2M</t>
  </si>
  <si>
    <t>3M</t>
  </si>
  <si>
    <t>4M</t>
  </si>
  <si>
    <t>11M</t>
  </si>
  <si>
    <t>12M</t>
  </si>
  <si>
    <t>PPC ($)</t>
  </si>
  <si>
    <t>PTD ($)</t>
  </si>
  <si>
    <t>PCR ($)</t>
  </si>
  <si>
    <t>TDR ($)</t>
  </si>
  <si>
    <t>CHECK</t>
  </si>
  <si>
    <t>INPUTS</t>
  </si>
  <si>
    <t>2. Forecasted program costs by allocation bucket (RES, BUS, Low Income, Common/General)</t>
  </si>
  <si>
    <t>For CSS</t>
  </si>
  <si>
    <t>Program Cost Rate</t>
  </si>
  <si>
    <t>Effective Period kWh</t>
  </si>
  <si>
    <t>1. RES</t>
  </si>
  <si>
    <t>RA ($)</t>
  </si>
  <si>
    <t>NPC</t>
  </si>
  <si>
    <t>NTD</t>
  </si>
  <si>
    <t>NOA</t>
  </si>
  <si>
    <t>Forecasted Program Costs</t>
  </si>
  <si>
    <t>RES excluding low income</t>
  </si>
  <si>
    <t>2. Total</t>
  </si>
  <si>
    <t>3. Low income exemption</t>
  </si>
  <si>
    <t>3. Low income exemption %</t>
  </si>
  <si>
    <t>EOR ($)</t>
  </si>
  <si>
    <t>EO ($)</t>
  </si>
  <si>
    <t>NEO</t>
  </si>
  <si>
    <t>TD Rate</t>
  </si>
  <si>
    <t>1. Forecasted kWh by Rate Class (Reduced for Opt-Out, Includes Low Income)</t>
  </si>
  <si>
    <t>NPC/PE</t>
  </si>
  <si>
    <t>($/kWh)</t>
  </si>
  <si>
    <t>NTD/PE</t>
  </si>
  <si>
    <t>NOA/PE</t>
  </si>
  <si>
    <t>1(M)-Residential Service</t>
  </si>
  <si>
    <t>2(M)-Small General Service</t>
  </si>
  <si>
    <t>3(M)-Large General Service</t>
  </si>
  <si>
    <t>4(M)-Small Primary Service</t>
  </si>
  <si>
    <t>11(M)-Large Primary Service</t>
  </si>
  <si>
    <t>12(M)-Large Transmission Service</t>
  </si>
  <si>
    <t>(NEO+NPI)</t>
  </si>
  <si>
    <t>EEIR</t>
  </si>
  <si>
    <t>Summary EEIR Components and Total EEIR</t>
  </si>
  <si>
    <t>Throughput Disincentive Calculation</t>
  </si>
  <si>
    <t>1. TD to be included in rates (includes low income)</t>
  </si>
  <si>
    <t>1. PTD</t>
  </si>
  <si>
    <t>NEO/PE</t>
  </si>
  <si>
    <t>Revenues</t>
  </si>
  <si>
    <t>Interest</t>
  </si>
  <si>
    <t>TDR</t>
  </si>
  <si>
    <t>FORECASTED</t>
  </si>
  <si>
    <t>SOURCE: GL</t>
  </si>
  <si>
    <t>Over/Under</t>
  </si>
  <si>
    <t>Cumulative Over/Under</t>
  </si>
  <si>
    <t>cumulative check</t>
  </si>
  <si>
    <t>monthly interest check</t>
  </si>
  <si>
    <t>Regulatory Asset/(Liability)</t>
  </si>
  <si>
    <t>Starting Balance</t>
  </si>
  <si>
    <t>1. Actual TD</t>
  </si>
  <si>
    <t>Actual TD</t>
  </si>
  <si>
    <t>Program Cost Reconciliation Calculation</t>
  </si>
  <si>
    <t>Billed kWh</t>
  </si>
  <si>
    <t>PCR</t>
  </si>
  <si>
    <t>1. Actual monthly program costs by allocation bucket (RES, BUS, Low Income, Common/General)</t>
  </si>
  <si>
    <t>3. Actual monthly billed revenues by rate class (program cost revenues only)</t>
  </si>
  <si>
    <t>4. Total monthly interest booked</t>
  </si>
  <si>
    <t>1. Actual Program Costs</t>
  </si>
  <si>
    <t>Allocated Actual Program Costs</t>
  </si>
  <si>
    <t>2. Actual KWh - Reduced for Opt-Out</t>
  </si>
  <si>
    <t>SOURCE: CSS DATA WAREHOUSE</t>
  </si>
  <si>
    <t>3. Actual Revenues - Program Costs Only</t>
  </si>
  <si>
    <t>4. Total Interest</t>
  </si>
  <si>
    <t>SOURCE: MEEIA 2 Over/Under Calculation file</t>
  </si>
  <si>
    <t>1. Actual monthly TD</t>
  </si>
  <si>
    <t>(Over)/Under</t>
  </si>
  <si>
    <t>5. Total Interest</t>
  </si>
  <si>
    <t>2. Actual monthly kWh billed sales by rate class (reduced for opt-out)</t>
  </si>
  <si>
    <t>1F. Forecasted program costs by allocation bucket (RES, BUS, Low Income, Common/General)</t>
  </si>
  <si>
    <t>2F. Forecasted kWh billed sales by rate class (reduced for opt-out)</t>
  </si>
  <si>
    <t>4F. Forecasted interest for accrued over/under</t>
  </si>
  <si>
    <t>Program Costs</t>
  </si>
  <si>
    <t>1F. Forecasted TD</t>
  </si>
  <si>
    <t>2. Actual monthly billed revenues by rate class (TD revenues only)</t>
  </si>
  <si>
    <t>TD Reconciliation Calculation</t>
  </si>
  <si>
    <t>Allocated Actual Revenue</t>
  </si>
  <si>
    <t>4. Actual Revenue Credits - Low Income Exemption</t>
  </si>
  <si>
    <t>6. Current Tariff Rate</t>
  </si>
  <si>
    <t>MEEIA 1 Ending Balance</t>
  </si>
  <si>
    <t>3. Actual Revenue Credits - Low Income Exemption</t>
  </si>
  <si>
    <t>5. Current Tariff Rate</t>
  </si>
  <si>
    <t>2F. Forecasted billed revenues by rate class</t>
  </si>
  <si>
    <t>SOURCE: Caculated based on amounts in Stipulation</t>
  </si>
  <si>
    <t>4. Actual monthly revenue credit for low income exempt customers (program cost revenues only)</t>
  </si>
  <si>
    <t>5. Total monthly interest booked</t>
  </si>
  <si>
    <t>5F. Forecasted interest for accrued over/under</t>
  </si>
  <si>
    <t>6. Actual program cost rate component of the tariff rate</t>
  </si>
  <si>
    <t>Beg Bal (M1)</t>
  </si>
  <si>
    <t>Ordered Adjustments</t>
  </si>
  <si>
    <t>1. OA</t>
  </si>
  <si>
    <t>5. Actual TD rate component of the tariff rate</t>
  </si>
  <si>
    <t>3. Actual monthly revenue credit for low income exempt customers (TD revenues only)</t>
  </si>
  <si>
    <t>2. Actual TD Revenues</t>
  </si>
  <si>
    <t>Total Reconciled</t>
  </si>
  <si>
    <t>Total Forecasted</t>
  </si>
  <si>
    <t>Ordered Adjustments Reconciliation Calculation</t>
  </si>
  <si>
    <t>OAR</t>
  </si>
  <si>
    <t>1. Actual OA to Amortize</t>
  </si>
  <si>
    <t>2. Actual Revenues - Ordered Adjustments</t>
  </si>
  <si>
    <t>1. Actual ordered adjustments to amortize by rate class</t>
  </si>
  <si>
    <t>2. Actual monthly billed revenues by rate class (ordered adjustment revenues only)</t>
  </si>
  <si>
    <t>3. Actual monthly revenue credit for low income exempt customers (ordered adjustment revenues only)</t>
  </si>
  <si>
    <t>5. Actual ordered adjustment rate component of the tariff rate</t>
  </si>
  <si>
    <t>OA to Amortize</t>
  </si>
  <si>
    <t>OA ($)</t>
  </si>
  <si>
    <t>OAR ($)</t>
  </si>
  <si>
    <t>Ordered Adj Rate</t>
  </si>
  <si>
    <t>EO Rate</t>
  </si>
  <si>
    <t>For Tariff (rounded)</t>
  </si>
  <si>
    <t>SOURCE: MEEIA 3 Over/Under Calculation file</t>
  </si>
  <si>
    <t>MEEIA 2019-21 EEIR Components (Applicable to MEEIA Cycle 3 Plan)</t>
  </si>
  <si>
    <t>Earnings Opportunity Reconciliation Calculation</t>
  </si>
  <si>
    <t>EO Amortization</t>
  </si>
  <si>
    <t>EOR</t>
  </si>
  <si>
    <t>1. Actual EO Amortization</t>
  </si>
  <si>
    <t>2. Actual Revenues - Earnings Opportunity</t>
  </si>
  <si>
    <t>1. Actual monthly earnings opportunity amortization by rate class</t>
  </si>
  <si>
    <t>1F. Forecasted monthly earnings opportunity amortization by rate class</t>
  </si>
  <si>
    <t>2. Actual monthly billed revenues by rate class (earnings opportunity revenues only)</t>
  </si>
  <si>
    <t>3. Actual monthly revenue credit for low income exempt customers (earnings opportunity revenues only)</t>
  </si>
  <si>
    <t>5. Actual earnings opportunity rate component of the tariff rate</t>
  </si>
  <si>
    <t>MEEIA 3</t>
  </si>
  <si>
    <t>EO</t>
  </si>
  <si>
    <t>Program Cost Calculation</t>
  </si>
  <si>
    <t>MEEIA 3 Allocations</t>
  </si>
  <si>
    <t>2. kWh reduced for opt-out</t>
  </si>
  <si>
    <t>%</t>
  </si>
  <si>
    <t>EO Totals</t>
  </si>
  <si>
    <t>PCR M3</t>
  </si>
  <si>
    <t>TDR M2</t>
  </si>
  <si>
    <t>TDR M3</t>
  </si>
  <si>
    <t>MEEIA 2 Ending Balance</t>
  </si>
  <si>
    <t>EOR M3</t>
  </si>
  <si>
    <t>Beginning Balance</t>
  </si>
  <si>
    <t>OAR 3</t>
  </si>
  <si>
    <t>M3 Total $</t>
  </si>
  <si>
    <t>Beg Bal (M2)</t>
  </si>
  <si>
    <t>2. Cumulative kWh by Rate Class (Reduced for Opt-out) - January through December 2022</t>
  </si>
  <si>
    <t>MEEIA 4</t>
  </si>
  <si>
    <t>MEEIA 4 Allocations</t>
  </si>
  <si>
    <t>Projections for 2025 EEIC</t>
  </si>
  <si>
    <t>Earnings Opportunity and TD Adjustment Calculation (MEEIA 3 - PY2022)</t>
  </si>
  <si>
    <t>Earnings Opportunity and TD Adjustment Calculation (MEEIA 3 - PY2023)</t>
  </si>
  <si>
    <t>1. MEEIA 3 EO awarded for PY 2022</t>
  </si>
  <si>
    <t>1. EO</t>
  </si>
  <si>
    <t>Total EEIC Revenue Requirement M3 &amp; M4 - Table 1</t>
  </si>
  <si>
    <t>MEEIA 2025-27 EEIR Components (Applicable to MEEIA Cycle 4 Plan)</t>
  </si>
  <si>
    <t>M4 Total $</t>
  </si>
  <si>
    <t>PCR M4</t>
  </si>
  <si>
    <t>TDR M4</t>
  </si>
  <si>
    <t>5. Effective Period kWh</t>
  </si>
  <si>
    <t>3. EO &amp; TD Adjustment</t>
  </si>
  <si>
    <t>4. kWh reduced for opt-out</t>
  </si>
  <si>
    <t>3. MEEIA 3 EO awarded &amp; includes MEEIA 3 EO TD adjustment for PY 2023</t>
  </si>
  <si>
    <t>4. Cumulative kWh by Rate Class (Reduced for Opt-out) - January through December 2023</t>
  </si>
  <si>
    <t>5. Forecasted kWh by Rate Class (Reduced for Opt-Out, Includes Low Income) - 12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</si>
</sst>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
    <numFmt numFmtId="169" formatCode="0.0000%"/>
    <numFmt numFmtId="170" formatCode="_(&quot;$&quot;* #,##0.000000_);_(&quot;$&quot;* \(#,##0.000000\);_(&quot;$&quot;* &quot;-&quot;??_);_(@_)"/>
    <numFmt numFmtId="171" formatCode="&quot;$&quot;#,##0.000000_);[Red]\(&quot;$&quot;#,##0.000000\)"/>
    <numFmt numFmtId="172" formatCode="_(&quot;$&quot;* #,##0.000_);_(&quot;$&quot;* \(#,##0.000\);_(&quot;$&quot;* &quot;-&quot;??_);_(@_)"/>
    <numFmt numFmtId="173" formatCode="_(* #,##0.000000_);_(* \(#,##0.000000\);_(* &quot;-&quot;??_);_(@_)"/>
    <numFmt numFmtId="174" formatCode="&quot;$&quot;#,##0.00000000_);[Red]\(&quot;$&quot;#,##0.00000000\)"/>
    <numFmt numFmtId="175" formatCode="mmm\-yyyy"/>
    <numFmt numFmtId="176" formatCode="_(&quot;$&quot;* #,##0.00000000_);_(&quot;$&quot;* \(#,##0.00000000\);_(&quot;$&quot;* &quot;-&quot;??_);_(@_)"/>
    <numFmt numFmtId="177" formatCode="0.000000%"/>
  </numFmts>
  <fonts count="4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9"/>
      <color theme="1"/>
      <name val="Courier New"/>
      <family val="3"/>
    </font>
    <font>
      <b/>
      <sz val="9"/>
      <color rgb="FF000000"/>
      <name val="Courier New"/>
      <family val="3"/>
    </font>
    <font>
      <sz val="9"/>
      <color theme="1"/>
      <name val="Courier New"/>
      <family val="3"/>
    </font>
    <font>
      <sz val="9"/>
      <color rgb="FF000000"/>
      <name val="Courier New"/>
      <family val="3"/>
    </font>
    <font>
      <b/>
      <u/>
      <sz val="9"/>
      <color theme="1"/>
      <name val="Courier New"/>
      <family val="3"/>
    </font>
    <font>
      <sz val="9"/>
      <color indexed="81"/>
      <name val="Tahoma"/>
      <family val="2"/>
    </font>
    <font>
      <b/>
      <sz val="9"/>
      <color indexed="81"/>
      <name val="Tahoma"/>
      <family val="2"/>
    </font>
    <font>
      <b/>
      <sz val="11"/>
      <color rgb="FF3F3F76"/>
      <name val="Calibri"/>
      <family val="2"/>
      <scheme val="minor"/>
    </font>
    <font>
      <sz val="11"/>
      <color theme="1"/>
      <name val="Book Antiqua"/>
      <family val="2"/>
    </font>
    <font>
      <b/>
      <sz val="11"/>
      <name val="Calibri"/>
      <family val="2"/>
      <scheme val="minor"/>
    </font>
    <font>
      <sz val="10"/>
      <name val="Courier New"/>
      <family val="3"/>
    </font>
    <font>
      <sz val="10"/>
      <color rgb="FFFF0000"/>
      <name val="Courier New"/>
      <family val="3"/>
    </font>
    <font>
      <u/>
      <sz val="11"/>
      <color theme="1"/>
      <name val="Calibri"/>
      <family val="2"/>
      <scheme val="minor"/>
    </font>
    <font>
      <sz val="11"/>
      <name val="Calibri"/>
      <family val="2"/>
      <scheme val="minor"/>
    </font>
    <font>
      <b/>
      <sz val="11"/>
      <color theme="9" tint="-0.249977111117893"/>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00"/>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8" tint="0.79998168889431442"/>
        <bgColor indexed="64"/>
      </patternFill>
    </fill>
  </fills>
  <borders count="6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double">
        <color rgb="FF3F3F3F"/>
      </left>
      <right style="medium">
        <color indexed="64"/>
      </right>
      <top style="double">
        <color rgb="FF3F3F3F"/>
      </top>
      <bottom style="double">
        <color rgb="FF3F3F3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thin">
        <color rgb="FF7F7F7F"/>
      </top>
      <bottom style="medium">
        <color indexed="64"/>
      </bottom>
      <diagonal/>
    </border>
    <border>
      <left/>
      <right/>
      <top/>
      <bottom style="thin">
        <color rgb="FF7F7F7F"/>
      </bottom>
      <diagonal/>
    </border>
    <border>
      <left style="thin">
        <color rgb="FF7F7F7F"/>
      </left>
      <right style="medium">
        <color auto="1"/>
      </right>
      <top/>
      <bottom style="medium">
        <color indexed="64"/>
      </bottom>
      <diagonal/>
    </border>
    <border>
      <left/>
      <right style="thin">
        <color rgb="FF7F7F7F"/>
      </right>
      <top/>
      <bottom style="thin">
        <color rgb="FF7F7F7F"/>
      </bottom>
      <diagonal/>
    </border>
    <border>
      <left style="medium">
        <color auto="1"/>
      </left>
      <right/>
      <top/>
      <bottom style="thin">
        <color rgb="FF7F7F7F"/>
      </bottom>
      <diagonal/>
    </border>
    <border>
      <left/>
      <right style="medium">
        <color auto="1"/>
      </right>
      <top/>
      <bottom style="thin">
        <color rgb="FF7F7F7F"/>
      </bottom>
      <diagonal/>
    </border>
    <border>
      <left style="medium">
        <color indexed="64"/>
      </left>
      <right style="double">
        <color rgb="FF3F3F3F"/>
      </right>
      <top style="double">
        <color rgb="FF3F3F3F"/>
      </top>
      <bottom style="double">
        <color rgb="FF3F3F3F"/>
      </bottom>
      <diagonal/>
    </border>
    <border>
      <left/>
      <right/>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style="medium">
        <color indexed="64"/>
      </bottom>
      <diagonal/>
    </border>
    <border>
      <left style="double">
        <color rgb="FF3F3F3F"/>
      </left>
      <right style="medium">
        <color indexed="64"/>
      </right>
      <top style="double">
        <color rgb="FF3F3F3F"/>
      </top>
      <bottom style="medium">
        <color indexed="64"/>
      </bottom>
      <diagonal/>
    </border>
    <border>
      <left/>
      <right/>
      <top style="thin">
        <color rgb="FF7F7F7F"/>
      </top>
      <bottom/>
      <diagonal/>
    </border>
    <border>
      <left/>
      <right style="medium">
        <color indexed="64"/>
      </right>
      <top style="thin">
        <color rgb="FF7F7F7F"/>
      </top>
      <bottom/>
      <diagonal/>
    </border>
    <border>
      <left style="medium">
        <color indexed="64"/>
      </left>
      <right/>
      <top style="thin">
        <color rgb="FF7F7F7F"/>
      </top>
      <bottom/>
      <diagonal/>
    </border>
    <border>
      <left style="medium">
        <color indexed="64"/>
      </left>
      <right style="medium">
        <color indexed="64"/>
      </right>
      <top style="double">
        <color rgb="FF3F3F3F"/>
      </top>
      <bottom style="double">
        <color rgb="FF3F3F3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bottom style="medium">
        <color indexed="64"/>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style="medium">
        <color indexed="64"/>
      </left>
      <right/>
      <top style="double">
        <color rgb="FF3F3F3F"/>
      </top>
      <bottom style="double">
        <color rgb="FF3F3F3F"/>
      </bottom>
      <diagonal/>
    </border>
    <border>
      <left/>
      <right style="medium">
        <color indexed="64"/>
      </right>
      <top style="thin">
        <color rgb="FF7F7F7F"/>
      </top>
      <bottom style="thin">
        <color rgb="FF7F7F7F"/>
      </bottom>
      <diagonal/>
    </border>
    <border>
      <left style="medium">
        <color indexed="64"/>
      </left>
      <right style="double">
        <color rgb="FF3F3F3F"/>
      </right>
      <top/>
      <bottom style="double">
        <color rgb="FF3F3F3F"/>
      </bottom>
      <diagonal/>
    </border>
    <border>
      <left style="double">
        <color rgb="FF3F3F3F"/>
      </left>
      <right style="double">
        <color rgb="FF3F3F3F"/>
      </right>
      <top/>
      <bottom style="double">
        <color rgb="FF3F3F3F"/>
      </bottom>
      <diagonal/>
    </border>
    <border>
      <left style="double">
        <color rgb="FF3F3F3F"/>
      </left>
      <right style="medium">
        <color indexed="64"/>
      </right>
      <top/>
      <bottom style="double">
        <color rgb="FF3F3F3F"/>
      </bottom>
      <diagonal/>
    </border>
    <border>
      <left style="medium">
        <color indexed="64"/>
      </left>
      <right/>
      <top style="thin">
        <color rgb="FF7F7F7F"/>
      </top>
      <bottom style="medium">
        <color indexed="64"/>
      </bottom>
      <diagonal/>
    </border>
    <border>
      <left/>
      <right style="medium">
        <color indexed="64"/>
      </right>
      <top style="thin">
        <color rgb="FF7F7F7F"/>
      </top>
      <bottom style="medium">
        <color indexed="64"/>
      </bottom>
      <diagonal/>
    </border>
    <border>
      <left style="thin">
        <color rgb="FF7F7F7F"/>
      </left>
      <right style="thin">
        <color rgb="FF7F7F7F"/>
      </right>
      <top style="double">
        <color rgb="FF3F3F3F"/>
      </top>
      <bottom style="double">
        <color rgb="FF3F3F3F"/>
      </bottom>
      <diagonal/>
    </border>
    <border>
      <left style="medium">
        <color indexed="64"/>
      </left>
      <right style="thin">
        <color rgb="FF7F7F7F"/>
      </right>
      <top/>
      <bottom style="thin">
        <color rgb="FF7F7F7F"/>
      </bottom>
      <diagonal/>
    </border>
  </borders>
  <cellStyleXfs count="32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8" borderId="15" applyNumberFormat="0" applyAlignment="0" applyProtection="0"/>
    <xf numFmtId="0" fontId="14" fillId="8" borderId="1" applyNumberFormat="0" applyAlignment="0" applyProtection="0"/>
    <xf numFmtId="0" fontId="1" fillId="9" borderId="16" applyNumberFormat="0" applyFont="0" applyAlignment="0" applyProtection="0"/>
    <xf numFmtId="0" fontId="15" fillId="0" borderId="24" applyNumberFormat="0" applyFill="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28"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1"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9" borderId="16"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2"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xf numFmtId="0" fontId="1" fillId="0" borderId="0"/>
    <xf numFmtId="43" fontId="12" fillId="0" borderId="0" applyFont="0" applyFill="0" applyBorder="0" applyAlignment="0" applyProtection="0"/>
    <xf numFmtId="43" fontId="38" fillId="0" borderId="0" applyFont="0" applyFill="0" applyBorder="0" applyAlignment="0" applyProtection="0"/>
  </cellStyleXfs>
  <cellXfs count="340">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166" fontId="0" fillId="0" borderId="0" xfId="0" applyNumberFormat="1"/>
    <xf numFmtId="0" fontId="9" fillId="0" borderId="0" xfId="0" applyFont="1" applyAlignment="1">
      <alignment horizontal="left"/>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7" borderId="4" xfId="0" applyFont="1" applyFill="1" applyBorder="1" applyAlignment="1">
      <alignment vertical="center" wrapText="1"/>
    </xf>
    <xf numFmtId="0" fontId="10" fillId="0" borderId="5" xfId="0" applyFont="1" applyBorder="1" applyAlignment="1">
      <alignment vertical="center" wrapText="1"/>
    </xf>
    <xf numFmtId="6" fontId="10" fillId="0" borderId="6" xfId="0" applyNumberFormat="1" applyFont="1" applyBorder="1" applyAlignment="1">
      <alignment vertical="center" wrapText="1"/>
    </xf>
    <xf numFmtId="5" fontId="11" fillId="0" borderId="6" xfId="0" applyNumberFormat="1" applyFont="1" applyBorder="1" applyAlignment="1">
      <alignment horizontal="right" vertical="center" wrapText="1"/>
    </xf>
    <xf numFmtId="6" fontId="11" fillId="0" borderId="6" xfId="0" applyNumberFormat="1" applyFont="1" applyBorder="1" applyAlignment="1">
      <alignment horizontal="right" vertical="center" wrapText="1"/>
    </xf>
    <xf numFmtId="3" fontId="10" fillId="0" borderId="6" xfId="0" applyNumberFormat="1" applyFont="1" applyBorder="1" applyAlignment="1">
      <alignment vertical="center" wrapText="1"/>
    </xf>
    <xf numFmtId="6" fontId="10" fillId="0" borderId="6" xfId="0" applyNumberFormat="1" applyFont="1" applyBorder="1" applyAlignment="1">
      <alignment horizontal="right" vertical="center" wrapText="1"/>
    </xf>
    <xf numFmtId="5" fontId="10" fillId="0" borderId="6" xfId="0" applyNumberFormat="1" applyFont="1" applyBorder="1" applyAlignment="1">
      <alignment vertical="center" wrapText="1"/>
    </xf>
    <xf numFmtId="43" fontId="0" fillId="0" borderId="0" xfId="1" applyFont="1"/>
    <xf numFmtId="43" fontId="6" fillId="6" borderId="2" xfId="1" applyFont="1" applyFill="1" applyBorder="1"/>
    <xf numFmtId="0" fontId="8" fillId="0" borderId="0" xfId="0" applyFont="1" applyAlignment="1">
      <alignment horizontal="right"/>
    </xf>
    <xf numFmtId="6" fontId="0" fillId="0" borderId="0" xfId="0" applyNumberFormat="1"/>
    <xf numFmtId="165" fontId="14" fillId="8" borderId="1" xfId="13" applyNumberFormat="1"/>
    <xf numFmtId="165" fontId="14" fillId="8" borderId="13" xfId="13" applyNumberFormat="1" applyBorder="1" applyAlignment="1">
      <alignment horizontal="center"/>
    </xf>
    <xf numFmtId="0" fontId="7" fillId="0" borderId="0" xfId="8" applyAlignment="1">
      <alignment horizontal="right"/>
    </xf>
    <xf numFmtId="167" fontId="5" fillId="5" borderId="1" xfId="6" applyNumberFormat="1"/>
    <xf numFmtId="167" fontId="14" fillId="8" borderId="1" xfId="13" applyNumberFormat="1"/>
    <xf numFmtId="165" fontId="13" fillId="8" borderId="15" xfId="12" applyNumberFormat="1"/>
    <xf numFmtId="165" fontId="5" fillId="5" borderId="14" xfId="6" applyNumberFormat="1" applyBorder="1" applyAlignment="1">
      <alignment horizontal="center"/>
    </xf>
    <xf numFmtId="10" fontId="1" fillId="9" borderId="16" xfId="14" applyNumberFormat="1" applyFont="1" applyAlignment="1">
      <alignment horizontal="center"/>
    </xf>
    <xf numFmtId="165" fontId="5" fillId="5" borderId="1" xfId="11" applyNumberFormat="1" applyFont="1" applyFill="1" applyBorder="1"/>
    <xf numFmtId="0" fontId="10" fillId="0" borderId="0" xfId="0" applyFont="1" applyAlignment="1">
      <alignment horizontal="center" vertical="center" wrapText="1"/>
    </xf>
    <xf numFmtId="165" fontId="0" fillId="0" borderId="0" xfId="0" applyNumberFormat="1"/>
    <xf numFmtId="10" fontId="5" fillId="0" borderId="0" xfId="2" applyNumberFormat="1" applyFont="1" applyFill="1" applyBorder="1"/>
    <xf numFmtId="165" fontId="5" fillId="0" borderId="0" xfId="11" applyNumberFormat="1" applyFont="1" applyFill="1" applyBorder="1"/>
    <xf numFmtId="3" fontId="0" fillId="0" borderId="0" xfId="0" applyNumberFormat="1"/>
    <xf numFmtId="8" fontId="0" fillId="0" borderId="0" xfId="0" applyNumberFormat="1"/>
    <xf numFmtId="44" fontId="0" fillId="0" borderId="0" xfId="11" applyFont="1"/>
    <xf numFmtId="172" fontId="0" fillId="0" borderId="0" xfId="0" applyNumberFormat="1"/>
    <xf numFmtId="168" fontId="0" fillId="0" borderId="0" xfId="2" applyNumberFormat="1" applyFont="1"/>
    <xf numFmtId="171" fontId="0" fillId="0" borderId="0" xfId="0" applyNumberFormat="1"/>
    <xf numFmtId="165" fontId="5" fillId="5" borderId="19" xfId="6" applyNumberFormat="1" applyBorder="1" applyAlignment="1">
      <alignment horizontal="center"/>
    </xf>
    <xf numFmtId="165" fontId="6" fillId="6" borderId="2" xfId="1" applyNumberFormat="1" applyFont="1" applyFill="1" applyBorder="1"/>
    <xf numFmtId="0" fontId="9" fillId="0" borderId="0" xfId="0" applyFont="1" applyAlignment="1">
      <alignment horizont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vertical="center" wrapText="1"/>
    </xf>
    <xf numFmtId="0" fontId="34" fillId="0" borderId="0" xfId="0" applyFont="1" applyAlignment="1">
      <alignment vertical="center"/>
    </xf>
    <xf numFmtId="171" fontId="33" fillId="0" borderId="6" xfId="0" applyNumberFormat="1" applyFont="1" applyBorder="1" applyAlignment="1">
      <alignment horizontal="center" vertical="center" wrapText="1"/>
    </xf>
    <xf numFmtId="171" fontId="31" fillId="0" borderId="8" xfId="0" applyNumberFormat="1" applyFont="1" applyBorder="1" applyAlignment="1">
      <alignment horizontal="center" vertical="center" wrapText="1"/>
    </xf>
    <xf numFmtId="171" fontId="31" fillId="0" borderId="10" xfId="0" applyNumberFormat="1" applyFont="1" applyBorder="1" applyAlignment="1">
      <alignment horizontal="center" vertical="center" wrapText="1"/>
    </xf>
    <xf numFmtId="171" fontId="0" fillId="0" borderId="6" xfId="0" applyNumberFormat="1" applyBorder="1" applyAlignment="1">
      <alignment vertical="center" wrapText="1"/>
    </xf>
    <xf numFmtId="171" fontId="31" fillId="0" borderId="6" xfId="0" applyNumberFormat="1" applyFont="1" applyBorder="1" applyAlignment="1">
      <alignment horizontal="center" vertical="center" wrapText="1"/>
    </xf>
    <xf numFmtId="0" fontId="8" fillId="0" borderId="0" xfId="0" applyFont="1" applyAlignment="1">
      <alignment horizontal="center"/>
    </xf>
    <xf numFmtId="3" fontId="14" fillId="8" borderId="1" xfId="13" applyNumberFormat="1"/>
    <xf numFmtId="165" fontId="6" fillId="6" borderId="2" xfId="7" applyNumberFormat="1"/>
    <xf numFmtId="0" fontId="0" fillId="0" borderId="17" xfId="0" applyBorder="1"/>
    <xf numFmtId="0" fontId="0" fillId="0" borderId="18" xfId="0" applyBorder="1"/>
    <xf numFmtId="0" fontId="7" fillId="0" borderId="18" xfId="8" applyBorder="1"/>
    <xf numFmtId="164" fontId="0" fillId="0" borderId="7" xfId="0" applyNumberFormat="1" applyBorder="1"/>
    <xf numFmtId="164" fontId="0" fillId="0" borderId="12" xfId="0" applyNumberFormat="1" applyBorder="1"/>
    <xf numFmtId="164" fontId="0" fillId="0" borderId="8" xfId="0" applyNumberFormat="1" applyBorder="1"/>
    <xf numFmtId="165" fontId="5" fillId="5" borderId="31" xfId="6" applyNumberFormat="1" applyBorder="1"/>
    <xf numFmtId="165" fontId="5" fillId="5" borderId="1" xfId="6" applyNumberFormat="1"/>
    <xf numFmtId="165" fontId="4" fillId="4" borderId="9" xfId="5" applyNumberFormat="1" applyBorder="1"/>
    <xf numFmtId="165" fontId="4" fillId="4" borderId="0" xfId="5" applyNumberFormat="1" applyBorder="1"/>
    <xf numFmtId="0" fontId="0" fillId="0" borderId="9" xfId="0" applyBorder="1"/>
    <xf numFmtId="165" fontId="0" fillId="0" borderId="9" xfId="0" applyNumberFormat="1" applyBorder="1"/>
    <xf numFmtId="0" fontId="0" fillId="0" borderId="10" xfId="0" applyBorder="1"/>
    <xf numFmtId="0" fontId="7" fillId="0" borderId="0" xfId="8" applyBorder="1"/>
    <xf numFmtId="165" fontId="5" fillId="5" borderId="32" xfId="6" applyNumberFormat="1" applyBorder="1"/>
    <xf numFmtId="170" fontId="5" fillId="5" borderId="33" xfId="6" applyNumberFormat="1" applyBorder="1"/>
    <xf numFmtId="44" fontId="0" fillId="0" borderId="9" xfId="0" applyNumberFormat="1" applyBorder="1"/>
    <xf numFmtId="165" fontId="14" fillId="8" borderId="31" xfId="13" applyNumberFormat="1" applyBorder="1"/>
    <xf numFmtId="165" fontId="14" fillId="8" borderId="32" xfId="13" applyNumberFormat="1" applyBorder="1"/>
    <xf numFmtId="44" fontId="14" fillId="8" borderId="1" xfId="13" applyNumberFormat="1"/>
    <xf numFmtId="165" fontId="14" fillId="8" borderId="13" xfId="13" applyNumberFormat="1" applyBorder="1"/>
    <xf numFmtId="165" fontId="5" fillId="5" borderId="34" xfId="11" applyNumberFormat="1" applyFont="1" applyFill="1" applyBorder="1"/>
    <xf numFmtId="165" fontId="5" fillId="5" borderId="14" xfId="11" applyNumberFormat="1" applyFont="1" applyFill="1" applyBorder="1"/>
    <xf numFmtId="165" fontId="5" fillId="5" borderId="35" xfId="11" applyNumberFormat="1" applyFont="1" applyFill="1" applyBorder="1"/>
    <xf numFmtId="0" fontId="0" fillId="0" borderId="12" xfId="0" applyBorder="1"/>
    <xf numFmtId="0" fontId="0" fillId="0" borderId="8" xfId="0" applyBorder="1"/>
    <xf numFmtId="10" fontId="5" fillId="0" borderId="9" xfId="2" applyNumberFormat="1" applyFont="1" applyFill="1" applyBorder="1"/>
    <xf numFmtId="169" fontId="0" fillId="0" borderId="9" xfId="2" applyNumberFormat="1" applyFont="1" applyBorder="1"/>
    <xf numFmtId="169" fontId="0" fillId="0" borderId="0" xfId="2" applyNumberFormat="1" applyFont="1" applyBorder="1"/>
    <xf numFmtId="0" fontId="7" fillId="0" borderId="0" xfId="8" applyBorder="1" applyAlignment="1">
      <alignment horizontal="right"/>
    </xf>
    <xf numFmtId="44" fontId="6" fillId="6" borderId="41" xfId="7" applyNumberFormat="1" applyBorder="1"/>
    <xf numFmtId="44" fontId="6" fillId="6" borderId="2" xfId="7" applyNumberFormat="1"/>
    <xf numFmtId="165" fontId="6" fillId="6" borderId="41" xfId="7" applyNumberFormat="1" applyBorder="1"/>
    <xf numFmtId="165" fontId="6" fillId="6" borderId="20" xfId="7" applyNumberFormat="1" applyBorder="1"/>
    <xf numFmtId="0" fontId="0" fillId="0" borderId="11" xfId="0" applyBorder="1"/>
    <xf numFmtId="0" fontId="0" fillId="0" borderId="42" xfId="0" applyBorder="1"/>
    <xf numFmtId="0" fontId="0" fillId="0" borderId="6" xfId="0" applyBorder="1"/>
    <xf numFmtId="0" fontId="7" fillId="0" borderId="12" xfId="8" applyBorder="1"/>
    <xf numFmtId="165" fontId="4" fillId="4" borderId="9" xfId="11" applyNumberFormat="1" applyFont="1" applyFill="1" applyBorder="1"/>
    <xf numFmtId="165" fontId="4" fillId="4" borderId="0" xfId="11" applyNumberFormat="1" applyFont="1" applyFill="1" applyBorder="1"/>
    <xf numFmtId="165" fontId="4" fillId="4" borderId="10" xfId="11" applyNumberFormat="1" applyFont="1" applyFill="1" applyBorder="1"/>
    <xf numFmtId="165" fontId="5" fillId="0" borderId="7" xfId="11" applyNumberFormat="1" applyFont="1" applyFill="1" applyBorder="1"/>
    <xf numFmtId="165" fontId="5" fillId="0" borderId="12" xfId="11" applyNumberFormat="1" applyFont="1" applyFill="1" applyBorder="1"/>
    <xf numFmtId="44" fontId="4" fillId="0" borderId="7" xfId="5" applyNumberFormat="1" applyFill="1" applyBorder="1"/>
    <xf numFmtId="165" fontId="4" fillId="0" borderId="12" xfId="11" applyNumberFormat="1" applyFont="1" applyFill="1" applyBorder="1"/>
    <xf numFmtId="165" fontId="4" fillId="0" borderId="8" xfId="11" applyNumberFormat="1" applyFont="1" applyFill="1" applyBorder="1"/>
    <xf numFmtId="165" fontId="0" fillId="0" borderId="11" xfId="0" applyNumberFormat="1" applyBorder="1"/>
    <xf numFmtId="165" fontId="0" fillId="0" borderId="42" xfId="0" applyNumberFormat="1" applyBorder="1"/>
    <xf numFmtId="165" fontId="4" fillId="4" borderId="6" xfId="5" applyNumberFormat="1" applyBorder="1"/>
    <xf numFmtId="165" fontId="4" fillId="0" borderId="0" xfId="11" applyNumberFormat="1" applyFont="1" applyFill="1" applyBorder="1"/>
    <xf numFmtId="165" fontId="6" fillId="6" borderId="43" xfId="7" applyNumberFormat="1" applyBorder="1"/>
    <xf numFmtId="44" fontId="5" fillId="5" borderId="1" xfId="11" applyFont="1" applyFill="1" applyBorder="1"/>
    <xf numFmtId="167" fontId="5" fillId="5" borderId="1" xfId="1" applyNumberFormat="1" applyFont="1" applyFill="1" applyBorder="1" applyAlignment="1">
      <alignment horizontal="center"/>
    </xf>
    <xf numFmtId="165" fontId="6" fillId="6" borderId="45" xfId="11" applyNumberFormat="1" applyFont="1" applyFill="1" applyBorder="1"/>
    <xf numFmtId="165" fontId="14" fillId="8" borderId="37" xfId="13" applyNumberFormat="1" applyBorder="1" applyAlignment="1">
      <alignment horizontal="center"/>
    </xf>
    <xf numFmtId="0" fontId="0" fillId="0" borderId="7" xfId="0" applyBorder="1"/>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Alignment="1">
      <alignment horizontal="center"/>
    </xf>
    <xf numFmtId="10" fontId="14" fillId="8" borderId="13"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3" fontId="5" fillId="5" borderId="32" xfId="6" applyNumberFormat="1" applyBorder="1"/>
    <xf numFmtId="167" fontId="6" fillId="6" borderId="2" xfId="1" applyNumberFormat="1" applyFont="1" applyFill="1" applyBorder="1"/>
    <xf numFmtId="10" fontId="6" fillId="6" borderId="2" xfId="1" applyNumberFormat="1" applyFont="1" applyFill="1" applyBorder="1"/>
    <xf numFmtId="10" fontId="6" fillId="6" borderId="20" xfId="1" applyNumberFormat="1" applyFont="1" applyFill="1" applyBorder="1"/>
    <xf numFmtId="0" fontId="9" fillId="0" borderId="0" xfId="0" applyFont="1"/>
    <xf numFmtId="10" fontId="14" fillId="0" borderId="0" xfId="13" applyNumberFormat="1" applyFill="1" applyBorder="1" applyAlignment="1">
      <alignment horizontal="center"/>
    </xf>
    <xf numFmtId="169" fontId="0" fillId="0" borderId="0" xfId="2" applyNumberFormat="1" applyFont="1" applyFill="1" applyBorder="1"/>
    <xf numFmtId="44" fontId="0" fillId="0" borderId="12" xfId="0" applyNumberFormat="1" applyBorder="1"/>
    <xf numFmtId="44" fontId="5" fillId="0" borderId="0" xfId="2" applyNumberFormat="1" applyFont="1" applyFill="1" applyBorder="1"/>
    <xf numFmtId="165" fontId="14" fillId="0" borderId="0" xfId="13" applyNumberFormat="1" applyFill="1" applyBorder="1"/>
    <xf numFmtId="165" fontId="5" fillId="5" borderId="0" xfId="6" applyNumberFormat="1" applyBorder="1"/>
    <xf numFmtId="165" fontId="0" fillId="0" borderId="48" xfId="0" applyNumberFormat="1" applyBorder="1"/>
    <xf numFmtId="0" fontId="0" fillId="0" borderId="46" xfId="0" applyBorder="1"/>
    <xf numFmtId="165" fontId="0" fillId="0" borderId="46" xfId="0" applyNumberFormat="1" applyBorder="1"/>
    <xf numFmtId="0" fontId="0" fillId="0" borderId="47" xfId="0" applyBorder="1"/>
    <xf numFmtId="0" fontId="0" fillId="0" borderId="0" xfId="0" applyAlignment="1">
      <alignment horizontal="left" indent="1"/>
    </xf>
    <xf numFmtId="170" fontId="5" fillId="0" borderId="0" xfId="6" applyNumberFormat="1" applyFill="1" applyBorder="1"/>
    <xf numFmtId="165" fontId="14" fillId="0" borderId="9" xfId="13" applyNumberFormat="1" applyFill="1" applyBorder="1"/>
    <xf numFmtId="165" fontId="37" fillId="5" borderId="46" xfId="6" applyNumberFormat="1" applyFont="1" applyBorder="1"/>
    <xf numFmtId="165" fontId="5" fillId="5" borderId="42" xfId="6" applyNumberFormat="1" applyBorder="1"/>
    <xf numFmtId="8" fontId="0" fillId="0" borderId="42" xfId="0" applyNumberFormat="1" applyBorder="1"/>
    <xf numFmtId="41" fontId="4" fillId="4" borderId="9" xfId="5" applyNumberFormat="1" applyBorder="1"/>
    <xf numFmtId="41" fontId="4" fillId="4" borderId="0" xfId="5" applyNumberFormat="1" applyBorder="1"/>
    <xf numFmtId="41" fontId="4" fillId="4" borderId="10" xfId="5" applyNumberFormat="1" applyBorder="1"/>
    <xf numFmtId="0" fontId="0" fillId="0" borderId="0" xfId="0" applyAlignment="1">
      <alignment horizontal="right"/>
    </xf>
    <xf numFmtId="173" fontId="0" fillId="0" borderId="0" xfId="1" applyNumberFormat="1" applyFont="1"/>
    <xf numFmtId="5" fontId="0" fillId="0" borderId="0" xfId="0" applyNumberFormat="1"/>
    <xf numFmtId="44" fontId="4" fillId="0" borderId="9" xfId="5" applyNumberFormat="1" applyFill="1" applyBorder="1"/>
    <xf numFmtId="165" fontId="4" fillId="0" borderId="10" xfId="11" applyNumberFormat="1" applyFont="1" applyFill="1" applyBorder="1"/>
    <xf numFmtId="165" fontId="4" fillId="4" borderId="11" xfId="5" applyNumberFormat="1" applyBorder="1"/>
    <xf numFmtId="165" fontId="4" fillId="4" borderId="42" xfId="5" applyNumberFormat="1" applyBorder="1"/>
    <xf numFmtId="43" fontId="0" fillId="0" borderId="0" xfId="1" applyFont="1" applyBorder="1"/>
    <xf numFmtId="171" fontId="0" fillId="0" borderId="0" xfId="1" applyNumberFormat="1" applyFont="1"/>
    <xf numFmtId="165" fontId="6" fillId="6" borderId="49" xfId="7" applyNumberFormat="1" applyBorder="1"/>
    <xf numFmtId="166" fontId="0" fillId="0" borderId="9" xfId="0" applyNumberFormat="1" applyBorder="1"/>
    <xf numFmtId="166" fontId="0" fillId="0" borderId="10" xfId="0" applyNumberFormat="1" applyBorder="1"/>
    <xf numFmtId="169" fontId="0" fillId="0" borderId="10" xfId="2" applyNumberFormat="1" applyFont="1" applyFill="1" applyBorder="1"/>
    <xf numFmtId="43" fontId="6" fillId="0" borderId="0" xfId="1" applyFont="1" applyFill="1" applyBorder="1"/>
    <xf numFmtId="43" fontId="0" fillId="0" borderId="0" xfId="0" applyNumberFormat="1"/>
    <xf numFmtId="0" fontId="7" fillId="0" borderId="0" xfId="8" applyFill="1" applyBorder="1" applyAlignment="1">
      <alignment horizontal="right"/>
    </xf>
    <xf numFmtId="167" fontId="5" fillId="0" borderId="0" xfId="6" applyNumberFormat="1" applyFill="1" applyBorder="1"/>
    <xf numFmtId="165" fontId="13" fillId="0" borderId="0" xfId="12" applyNumberFormat="1" applyFill="1" applyBorder="1"/>
    <xf numFmtId="167" fontId="14" fillId="0" borderId="0" xfId="13" applyNumberFormat="1" applyFill="1" applyBorder="1"/>
    <xf numFmtId="0" fontId="8" fillId="0" borderId="7" xfId="0" applyFont="1" applyBorder="1" applyAlignment="1">
      <alignment horizontal="right"/>
    </xf>
    <xf numFmtId="165" fontId="14" fillId="8" borderId="50" xfId="13" applyNumberFormat="1" applyBorder="1" applyAlignment="1">
      <alignment horizontal="center"/>
    </xf>
    <xf numFmtId="165" fontId="14" fillId="8" borderId="51" xfId="13" applyNumberFormat="1" applyBorder="1" applyAlignment="1">
      <alignment horizontal="center"/>
    </xf>
    <xf numFmtId="165" fontId="14" fillId="8" borderId="52" xfId="13" applyNumberFormat="1" applyBorder="1" applyAlignment="1">
      <alignment horizontal="center"/>
    </xf>
    <xf numFmtId="43" fontId="0" fillId="0" borderId="9" xfId="1" applyFont="1" applyBorder="1"/>
    <xf numFmtId="43" fontId="0" fillId="0" borderId="10" xfId="1" applyFont="1" applyBorder="1"/>
    <xf numFmtId="44" fontId="6" fillId="6" borderId="43" xfId="7" applyNumberFormat="1" applyBorder="1"/>
    <xf numFmtId="44" fontId="5" fillId="5" borderId="34" xfId="11" applyFont="1" applyFill="1" applyBorder="1"/>
    <xf numFmtId="44" fontId="5" fillId="5" borderId="14" xfId="11" applyFont="1" applyFill="1" applyBorder="1"/>
    <xf numFmtId="175" fontId="0" fillId="0" borderId="0" xfId="0" applyNumberFormat="1"/>
    <xf numFmtId="6" fontId="8" fillId="0" borderId="0" xfId="0" applyNumberFormat="1" applyFont="1"/>
    <xf numFmtId="5" fontId="8" fillId="0" borderId="0" xfId="0" applyNumberFormat="1" applyFont="1"/>
    <xf numFmtId="167" fontId="6" fillId="6" borderId="44" xfId="1" applyNumberFormat="1" applyFont="1" applyFill="1" applyBorder="1"/>
    <xf numFmtId="10" fontId="6" fillId="0" borderId="0" xfId="1" applyNumberFormat="1" applyFont="1" applyFill="1" applyBorder="1"/>
    <xf numFmtId="167" fontId="6" fillId="0" borderId="0" xfId="1" applyNumberFormat="1" applyFont="1" applyFill="1" applyBorder="1"/>
    <xf numFmtId="168" fontId="5" fillId="0" borderId="0" xfId="2" applyNumberFormat="1" applyFont="1" applyFill="1" applyBorder="1" applyAlignment="1">
      <alignment horizontal="center"/>
    </xf>
    <xf numFmtId="41" fontId="14" fillId="0" borderId="0" xfId="11" applyNumberFormat="1" applyFont="1" applyFill="1" applyBorder="1" applyAlignment="1">
      <alignment horizontal="center"/>
    </xf>
    <xf numFmtId="165" fontId="14" fillId="0" borderId="0" xfId="13" applyNumberFormat="1" applyFill="1" applyBorder="1" applyAlignment="1">
      <alignment horizontal="center"/>
    </xf>
    <xf numFmtId="9" fontId="6" fillId="6" borderId="44" xfId="2" applyFont="1" applyFill="1" applyBorder="1" applyAlignment="1">
      <alignment horizontal="center"/>
    </xf>
    <xf numFmtId="165" fontId="5" fillId="7" borderId="1" xfId="11" applyNumberFormat="1" applyFont="1" applyFill="1" applyBorder="1"/>
    <xf numFmtId="165" fontId="5" fillId="5" borderId="9" xfId="6" applyNumberFormat="1" applyBorder="1"/>
    <xf numFmtId="165" fontId="5" fillId="5" borderId="53" xfId="6" applyNumberFormat="1" applyBorder="1"/>
    <xf numFmtId="165" fontId="5" fillId="0" borderId="9" xfId="11" applyNumberFormat="1" applyFont="1" applyFill="1" applyBorder="1"/>
    <xf numFmtId="169" fontId="0" fillId="0" borderId="9" xfId="2" applyNumberFormat="1" applyFont="1" applyFill="1" applyBorder="1"/>
    <xf numFmtId="165" fontId="5" fillId="5" borderId="11" xfId="6" applyNumberFormat="1" applyBorder="1"/>
    <xf numFmtId="44" fontId="20" fillId="0" borderId="0" xfId="0" applyNumberFormat="1" applyFont="1"/>
    <xf numFmtId="0" fontId="20" fillId="0" borderId="0" xfId="0" applyFont="1"/>
    <xf numFmtId="165" fontId="5" fillId="5" borderId="33" xfId="6" applyNumberFormat="1" applyBorder="1"/>
    <xf numFmtId="165" fontId="4" fillId="0" borderId="0" xfId="5" applyNumberFormat="1" applyFill="1" applyBorder="1"/>
    <xf numFmtId="169" fontId="0" fillId="0" borderId="38" xfId="2" applyNumberFormat="1" applyFont="1" applyFill="1" applyBorder="1"/>
    <xf numFmtId="165" fontId="14" fillId="0" borderId="1" xfId="13" applyNumberFormat="1" applyFill="1"/>
    <xf numFmtId="0" fontId="39" fillId="0" borderId="0" xfId="0" applyFont="1"/>
    <xf numFmtId="0" fontId="0" fillId="0" borderId="0" xfId="0" applyAlignment="1">
      <alignment horizontal="center"/>
    </xf>
    <xf numFmtId="43" fontId="0" fillId="0" borderId="0" xfId="1" applyFont="1" applyFill="1"/>
    <xf numFmtId="0" fontId="7" fillId="0" borderId="0" xfId="8" applyFill="1" applyAlignment="1">
      <alignment horizontal="right"/>
    </xf>
    <xf numFmtId="0" fontId="7" fillId="0" borderId="0" xfId="8" applyFill="1"/>
    <xf numFmtId="6" fontId="40" fillId="0" borderId="6" xfId="0" applyNumberFormat="1" applyFont="1" applyBorder="1" applyAlignment="1">
      <alignment vertical="center" wrapText="1"/>
    </xf>
    <xf numFmtId="43" fontId="6" fillId="38" borderId="2" xfId="1" applyFont="1" applyFill="1" applyBorder="1"/>
    <xf numFmtId="44" fontId="0" fillId="0" borderId="0" xfId="11" applyFont="1" applyFill="1"/>
    <xf numFmtId="165" fontId="14" fillId="36" borderId="32" xfId="13" applyNumberFormat="1" applyFill="1" applyBorder="1"/>
    <xf numFmtId="165" fontId="5" fillId="37" borderId="14" xfId="11" applyNumberFormat="1" applyFont="1" applyFill="1" applyBorder="1"/>
    <xf numFmtId="165" fontId="6" fillId="38" borderId="2" xfId="7" applyNumberFormat="1" applyFill="1"/>
    <xf numFmtId="165" fontId="14" fillId="36" borderId="1" xfId="13" applyNumberFormat="1" applyFill="1"/>
    <xf numFmtId="10" fontId="5" fillId="37" borderId="1" xfId="2" applyNumberFormat="1" applyFont="1" applyFill="1" applyBorder="1"/>
    <xf numFmtId="165" fontId="5" fillId="5" borderId="54" xfId="6" applyNumberFormat="1" applyBorder="1"/>
    <xf numFmtId="165" fontId="14" fillId="36" borderId="13" xfId="13" applyNumberFormat="1" applyFill="1" applyBorder="1"/>
    <xf numFmtId="165" fontId="14" fillId="8" borderId="53" xfId="13" applyNumberFormat="1" applyBorder="1"/>
    <xf numFmtId="165" fontId="6" fillId="6" borderId="55" xfId="7" applyNumberFormat="1" applyBorder="1"/>
    <xf numFmtId="165" fontId="0" fillId="0" borderId="48" xfId="0" applyNumberFormat="1" applyBorder="1" applyAlignment="1">
      <alignment horizontal="center"/>
    </xf>
    <xf numFmtId="165" fontId="6" fillId="38" borderId="20" xfId="7" applyNumberFormat="1" applyFill="1" applyBorder="1"/>
    <xf numFmtId="44" fontId="0" fillId="0" borderId="9" xfId="11" applyFont="1" applyFill="1" applyBorder="1"/>
    <xf numFmtId="44" fontId="0" fillId="0" borderId="11" xfId="11" applyFont="1" applyFill="1" applyBorder="1"/>
    <xf numFmtId="165" fontId="5" fillId="0" borderId="0" xfId="6" applyNumberFormat="1" applyFill="1" applyBorder="1"/>
    <xf numFmtId="165" fontId="37" fillId="5" borderId="7" xfId="6" applyNumberFormat="1" applyFont="1" applyBorder="1"/>
    <xf numFmtId="165" fontId="37" fillId="0" borderId="12" xfId="6" applyNumberFormat="1" applyFont="1" applyFill="1" applyBorder="1"/>
    <xf numFmtId="165" fontId="5" fillId="0" borderId="42" xfId="6" applyNumberFormat="1" applyFill="1" applyBorder="1"/>
    <xf numFmtId="165" fontId="14" fillId="8" borderId="48" xfId="13" applyNumberFormat="1" applyBorder="1"/>
    <xf numFmtId="174" fontId="10" fillId="7" borderId="6" xfId="0" applyNumberFormat="1" applyFont="1" applyFill="1" applyBorder="1" applyAlignment="1">
      <alignment vertical="center" wrapText="1"/>
    </xf>
    <xf numFmtId="176" fontId="10" fillId="7" borderId="6" xfId="11" applyNumberFormat="1" applyFont="1" applyFill="1" applyBorder="1" applyAlignment="1">
      <alignment vertical="center" wrapText="1"/>
    </xf>
    <xf numFmtId="174" fontId="10" fillId="7" borderId="3" xfId="0" applyNumberFormat="1" applyFont="1" applyFill="1" applyBorder="1" applyAlignment="1">
      <alignment vertical="center" wrapText="1"/>
    </xf>
    <xf numFmtId="5" fontId="41" fillId="0" borderId="6" xfId="0" applyNumberFormat="1" applyFont="1" applyBorder="1" applyAlignment="1">
      <alignment horizontal="right" vertical="center" wrapText="1"/>
    </xf>
    <xf numFmtId="5" fontId="41" fillId="0" borderId="6" xfId="0" applyNumberFormat="1" applyFont="1" applyBorder="1" applyAlignment="1">
      <alignment vertical="center" wrapText="1"/>
    </xf>
    <xf numFmtId="0" fontId="7" fillId="0" borderId="12" xfId="8" applyFill="1" applyBorder="1"/>
    <xf numFmtId="0" fontId="7" fillId="0" borderId="0" xfId="8" applyFill="1" applyBorder="1"/>
    <xf numFmtId="165" fontId="6" fillId="38" borderId="55" xfId="7" applyNumberFormat="1" applyFill="1" applyBorder="1"/>
    <xf numFmtId="165" fontId="14" fillId="40" borderId="1" xfId="13" applyNumberFormat="1" applyFill="1"/>
    <xf numFmtId="166" fontId="8" fillId="0" borderId="0" xfId="0" applyNumberFormat="1" applyFont="1" applyAlignment="1">
      <alignment horizontal="right"/>
    </xf>
    <xf numFmtId="165" fontId="14" fillId="7" borderId="1" xfId="13" applyNumberFormat="1" applyFill="1"/>
    <xf numFmtId="165" fontId="14" fillId="36" borderId="31" xfId="13" applyNumberFormat="1" applyFill="1" applyBorder="1"/>
    <xf numFmtId="165" fontId="5" fillId="37" borderId="34" xfId="11" applyNumberFormat="1" applyFont="1" applyFill="1" applyBorder="1"/>
    <xf numFmtId="175" fontId="42" fillId="0" borderId="0" xfId="0" applyNumberFormat="1" applyFont="1" applyAlignment="1">
      <alignment horizontal="center"/>
    </xf>
    <xf numFmtId="165" fontId="14" fillId="8" borderId="33" xfId="13" applyNumberFormat="1" applyBorder="1"/>
    <xf numFmtId="169" fontId="0" fillId="0" borderId="36" xfId="2" applyNumberFormat="1" applyFont="1" applyFill="1" applyBorder="1"/>
    <xf numFmtId="165" fontId="21" fillId="0" borderId="9" xfId="6" applyNumberFormat="1" applyFont="1" applyFill="1" applyBorder="1"/>
    <xf numFmtId="165" fontId="5" fillId="37" borderId="0" xfId="6" applyNumberFormat="1" applyFill="1" applyBorder="1"/>
    <xf numFmtId="165" fontId="37" fillId="37" borderId="46" xfId="6" applyNumberFormat="1" applyFont="1" applyFill="1" applyBorder="1"/>
    <xf numFmtId="165" fontId="5" fillId="37" borderId="42" xfId="6" applyNumberFormat="1" applyFill="1" applyBorder="1"/>
    <xf numFmtId="165" fontId="14" fillId="8" borderId="56" xfId="13" applyNumberFormat="1" applyBorder="1"/>
    <xf numFmtId="44" fontId="6" fillId="6" borderId="57" xfId="7" applyNumberFormat="1" applyBorder="1"/>
    <xf numFmtId="44" fontId="6" fillId="6" borderId="58" xfId="7" applyNumberFormat="1" applyBorder="1"/>
    <xf numFmtId="44" fontId="6" fillId="6" borderId="59" xfId="7" applyNumberFormat="1" applyBorder="1"/>
    <xf numFmtId="165" fontId="14" fillId="8" borderId="34" xfId="13" applyNumberFormat="1" applyBorder="1"/>
    <xf numFmtId="165" fontId="14" fillId="8" borderId="14" xfId="13" applyNumberFormat="1" applyBorder="1"/>
    <xf numFmtId="165" fontId="14" fillId="8" borderId="19" xfId="13" applyNumberFormat="1" applyBorder="1"/>
    <xf numFmtId="164" fontId="43" fillId="0" borderId="12" xfId="0" applyNumberFormat="1" applyFont="1" applyBorder="1"/>
    <xf numFmtId="167" fontId="0" fillId="0" borderId="0" xfId="1" applyNumberFormat="1" applyFont="1" applyFill="1"/>
    <xf numFmtId="165" fontId="44" fillId="36" borderId="53" xfId="6" applyNumberFormat="1" applyFont="1" applyFill="1" applyBorder="1"/>
    <xf numFmtId="165" fontId="37" fillId="37" borderId="0" xfId="6" applyNumberFormat="1" applyFont="1" applyFill="1" applyBorder="1"/>
    <xf numFmtId="165" fontId="8" fillId="0" borderId="0" xfId="0" applyNumberFormat="1" applyFont="1"/>
    <xf numFmtId="5" fontId="40" fillId="0" borderId="6" xfId="0" applyNumberFormat="1" applyFont="1" applyBorder="1" applyAlignment="1">
      <alignment horizontal="right" vertical="center" wrapText="1"/>
    </xf>
    <xf numFmtId="5" fontId="40" fillId="0" borderId="6" xfId="0" applyNumberFormat="1" applyFont="1" applyBorder="1" applyAlignment="1">
      <alignment vertical="center" wrapText="1"/>
    </xf>
    <xf numFmtId="6" fontId="40" fillId="0" borderId="6" xfId="0" applyNumberFormat="1" applyFont="1" applyBorder="1" applyAlignment="1">
      <alignment horizontal="right" vertical="center" wrapText="1"/>
    </xf>
    <xf numFmtId="165" fontId="14" fillId="8" borderId="32" xfId="11" applyNumberFormat="1" applyFont="1" applyFill="1" applyBorder="1"/>
    <xf numFmtId="165" fontId="14" fillId="7" borderId="32" xfId="13" applyNumberFormat="1" applyFill="1" applyBorder="1"/>
    <xf numFmtId="165" fontId="14" fillId="39" borderId="32" xfId="13" applyNumberFormat="1" applyFill="1" applyBorder="1"/>
    <xf numFmtId="165" fontId="5" fillId="39" borderId="32" xfId="6" applyNumberFormat="1" applyFill="1" applyBorder="1"/>
    <xf numFmtId="0" fontId="20" fillId="0" borderId="0" xfId="0" applyFont="1" applyAlignment="1">
      <alignment wrapText="1"/>
    </xf>
    <xf numFmtId="165" fontId="14" fillId="8" borderId="61" xfId="13" applyNumberFormat="1" applyBorder="1"/>
    <xf numFmtId="165" fontId="5" fillId="5" borderId="60" xfId="6" applyNumberFormat="1" applyBorder="1"/>
    <xf numFmtId="165" fontId="5" fillId="5" borderId="14" xfId="6" applyNumberFormat="1" applyBorder="1"/>
    <xf numFmtId="165" fontId="6" fillId="6" borderId="62" xfId="7" applyNumberFormat="1" applyBorder="1"/>
    <xf numFmtId="165" fontId="14" fillId="8" borderId="60" xfId="13" applyNumberFormat="1" applyBorder="1"/>
    <xf numFmtId="177" fontId="0" fillId="0" borderId="0" xfId="2" applyNumberFormat="1" applyFont="1"/>
    <xf numFmtId="165" fontId="0" fillId="0" borderId="0" xfId="11" applyNumberFormat="1" applyFont="1"/>
    <xf numFmtId="167" fontId="0" fillId="0" borderId="0" xfId="1" applyNumberFormat="1" applyFont="1"/>
    <xf numFmtId="44" fontId="8" fillId="0" borderId="10" xfId="0" applyNumberFormat="1" applyFont="1" applyBorder="1"/>
    <xf numFmtId="169" fontId="0" fillId="0" borderId="39" xfId="0" applyNumberFormat="1" applyBorder="1"/>
    <xf numFmtId="169" fontId="0" fillId="0" borderId="36" xfId="0" applyNumberFormat="1" applyBorder="1"/>
    <xf numFmtId="169" fontId="0" fillId="0" borderId="40" xfId="0" applyNumberFormat="1" applyBorder="1"/>
    <xf numFmtId="176" fontId="40" fillId="7" borderId="6" xfId="11" applyNumberFormat="1" applyFont="1" applyFill="1" applyBorder="1" applyAlignment="1">
      <alignment vertical="center" wrapText="1"/>
    </xf>
    <xf numFmtId="177" fontId="0" fillId="0" borderId="0" xfId="2" applyNumberFormat="1" applyFont="1" applyFill="1"/>
    <xf numFmtId="44" fontId="8" fillId="0" borderId="46" xfId="0" applyNumberFormat="1" applyFont="1" applyBorder="1"/>
    <xf numFmtId="44" fontId="0" fillId="0" borderId="42" xfId="0" applyNumberFormat="1" applyBorder="1"/>
    <xf numFmtId="44" fontId="8" fillId="7" borderId="46" xfId="0" applyNumberFormat="1" applyFont="1" applyFill="1" applyBorder="1"/>
    <xf numFmtId="44" fontId="0" fillId="7" borderId="0" xfId="0" applyNumberFormat="1" applyFill="1"/>
    <xf numFmtId="44" fontId="0" fillId="7" borderId="42" xfId="0" applyNumberFormat="1" applyFill="1" applyBorder="1"/>
    <xf numFmtId="44" fontId="8" fillId="7" borderId="0" xfId="0" applyNumberFormat="1" applyFont="1" applyFill="1"/>
    <xf numFmtId="44" fontId="43" fillId="7" borderId="42" xfId="11" applyFont="1" applyFill="1" applyBorder="1"/>
    <xf numFmtId="44" fontId="0" fillId="7" borderId="0" xfId="11" applyFont="1" applyFill="1"/>
    <xf numFmtId="44" fontId="0" fillId="7" borderId="42" xfId="11" applyFont="1" applyFill="1" applyBorder="1"/>
    <xf numFmtId="44" fontId="0" fillId="0" borderId="42" xfId="11" applyFont="1" applyFill="1" applyBorder="1"/>
    <xf numFmtId="44" fontId="14" fillId="7" borderId="1" xfId="13" applyNumberFormat="1" applyFill="1"/>
    <xf numFmtId="44" fontId="14" fillId="8" borderId="31" xfId="13" applyNumberFormat="1" applyBorder="1"/>
    <xf numFmtId="44" fontId="14" fillId="8" borderId="14" xfId="13" applyNumberFormat="1" applyBorder="1"/>
    <xf numFmtId="43" fontId="6" fillId="6" borderId="0" xfId="1" applyFont="1" applyFill="1" applyBorder="1"/>
    <xf numFmtId="165" fontId="37" fillId="0" borderId="0" xfId="6" applyNumberFormat="1" applyFont="1" applyFill="1" applyBorder="1"/>
    <xf numFmtId="0" fontId="0" fillId="0" borderId="4" xfId="0" applyBorder="1"/>
    <xf numFmtId="164" fontId="43" fillId="0" borderId="8" xfId="0" applyNumberFormat="1" applyFont="1" applyBorder="1"/>
    <xf numFmtId="165" fontId="5" fillId="5" borderId="1" xfId="6" quotePrefix="1" applyNumberFormat="1"/>
    <xf numFmtId="165" fontId="5" fillId="5" borderId="13" xfId="6" quotePrefix="1" applyNumberFormat="1" applyBorder="1"/>
    <xf numFmtId="165" fontId="5" fillId="5" borderId="56" xfId="6" applyNumberFormat="1" applyBorder="1"/>
    <xf numFmtId="44" fontId="0" fillId="0" borderId="10" xfId="0" applyNumberFormat="1" applyBorder="1"/>
    <xf numFmtId="165" fontId="14" fillId="0" borderId="10" xfId="13" applyNumberFormat="1" applyFill="1" applyBorder="1"/>
    <xf numFmtId="165" fontId="5" fillId="0" borderId="10" xfId="11" applyNumberFormat="1" applyFont="1" applyFill="1" applyBorder="1"/>
    <xf numFmtId="169" fontId="0" fillId="0" borderId="63" xfId="2" applyNumberFormat="1" applyFont="1" applyFill="1" applyBorder="1"/>
    <xf numFmtId="169" fontId="0" fillId="0" borderId="40" xfId="2" applyNumberFormat="1" applyFont="1" applyFill="1" applyBorder="1"/>
    <xf numFmtId="44" fontId="43" fillId="7" borderId="0" xfId="11" applyFont="1" applyFill="1" applyBorder="1"/>
    <xf numFmtId="8" fontId="0" fillId="0" borderId="10" xfId="0" applyNumberFormat="1" applyBorder="1"/>
    <xf numFmtId="8" fontId="0" fillId="0" borderId="6" xfId="0" applyNumberFormat="1" applyBorder="1"/>
    <xf numFmtId="165" fontId="5" fillId="5" borderId="13" xfId="6" applyNumberFormat="1" applyBorder="1"/>
    <xf numFmtId="165" fontId="5" fillId="5" borderId="19" xfId="11" applyNumberFormat="1" applyFont="1" applyFill="1" applyBorder="1"/>
    <xf numFmtId="165" fontId="5" fillId="5" borderId="32" xfId="6" quotePrefix="1" applyNumberFormat="1" applyBorder="1"/>
    <xf numFmtId="164" fontId="43" fillId="0" borderId="7" xfId="0" applyNumberFormat="1" applyFont="1" applyBorder="1"/>
    <xf numFmtId="165" fontId="5" fillId="5" borderId="31" xfId="6" quotePrefix="1" applyNumberFormat="1" applyBorder="1"/>
    <xf numFmtId="8" fontId="0" fillId="0" borderId="9" xfId="0" applyNumberFormat="1" applyBorder="1"/>
    <xf numFmtId="8" fontId="0" fillId="0" borderId="11" xfId="0" applyNumberFormat="1" applyBorder="1"/>
    <xf numFmtId="44" fontId="8" fillId="0" borderId="0" xfId="0" applyNumberFormat="1" applyFont="1"/>
    <xf numFmtId="44" fontId="0" fillId="0" borderId="0" xfId="11" applyFont="1" applyFill="1" applyBorder="1"/>
    <xf numFmtId="44" fontId="0" fillId="7" borderId="0" xfId="11" applyFont="1" applyFill="1" applyBorder="1"/>
    <xf numFmtId="0" fontId="10" fillId="0" borderId="12" xfId="0" applyFont="1" applyBorder="1" applyAlignment="1">
      <alignment vertical="center" wrapText="1"/>
    </xf>
    <xf numFmtId="0" fontId="10" fillId="0" borderId="8" xfId="0" applyFont="1" applyBorder="1" applyAlignment="1">
      <alignment vertical="center" wrapText="1"/>
    </xf>
    <xf numFmtId="5" fontId="0" fillId="0" borderId="10" xfId="0" applyNumberFormat="1" applyBorder="1"/>
    <xf numFmtId="5" fontId="0" fillId="0" borderId="42" xfId="0" applyNumberFormat="1" applyBorder="1"/>
    <xf numFmtId="5" fontId="0" fillId="0" borderId="6" xfId="0" applyNumberFormat="1" applyBorder="1"/>
    <xf numFmtId="0" fontId="32" fillId="0" borderId="0" xfId="0" applyFont="1" applyAlignment="1">
      <alignment vertical="center" wrapText="1"/>
    </xf>
    <xf numFmtId="171" fontId="33" fillId="0" borderId="0" xfId="0" applyNumberFormat="1" applyFont="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3" fillId="3" borderId="17" xfId="4" applyBorder="1" applyAlignment="1">
      <alignment horizontal="center"/>
    </xf>
    <xf numFmtId="0" fontId="3" fillId="3" borderId="18" xfId="4" applyBorder="1" applyAlignment="1">
      <alignment horizontal="center"/>
    </xf>
    <xf numFmtId="0" fontId="3" fillId="3" borderId="4" xfId="4"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3" fillId="3" borderId="7" xfId="4" applyBorder="1" applyAlignment="1">
      <alignment horizontal="center"/>
    </xf>
    <xf numFmtId="0" fontId="3" fillId="3" borderId="12" xfId="4" applyBorder="1" applyAlignment="1">
      <alignment horizontal="center"/>
    </xf>
    <xf numFmtId="0" fontId="3" fillId="3" borderId="8" xfId="4" applyBorder="1" applyAlignment="1">
      <alignment horizontal="center"/>
    </xf>
    <xf numFmtId="0" fontId="8" fillId="36" borderId="0" xfId="0" applyFont="1" applyFill="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30" fillId="0" borderId="29" xfId="0" applyFont="1" applyBorder="1" applyAlignment="1">
      <alignment vertical="center" wrapText="1"/>
    </xf>
    <xf numFmtId="0" fontId="30" fillId="0" borderId="5" xfId="0" applyFont="1" applyBorder="1" applyAlignment="1">
      <alignment vertical="center" wrapText="1"/>
    </xf>
    <xf numFmtId="0" fontId="30" fillId="0" borderId="30" xfId="0" applyFont="1" applyBorder="1" applyAlignment="1">
      <alignment vertical="center" wrapText="1"/>
    </xf>
  </cellXfs>
  <cellStyles count="327">
    <cellStyle name="20% - Accent1" xfId="24" builtinId="30" customBuiltin="1"/>
    <cellStyle name="20% - Accent1 2" xfId="57" xr:uid="{00000000-0005-0000-0000-000001000000}"/>
    <cellStyle name="20% - Accent2" xfId="28" builtinId="34" customBuiltin="1"/>
    <cellStyle name="20% - Accent2 2" xfId="59" xr:uid="{00000000-0005-0000-0000-000003000000}"/>
    <cellStyle name="20% - Accent3" xfId="32" builtinId="38" customBuiltin="1"/>
    <cellStyle name="20% - Accent3 2" xfId="61" xr:uid="{00000000-0005-0000-0000-000005000000}"/>
    <cellStyle name="20% - Accent4" xfId="36" builtinId="42" customBuiltin="1"/>
    <cellStyle name="20% - Accent4 2" xfId="63" xr:uid="{00000000-0005-0000-0000-000007000000}"/>
    <cellStyle name="20% - Accent5" xfId="40" builtinId="46" customBuiltin="1"/>
    <cellStyle name="20% - Accent5 2" xfId="65" xr:uid="{00000000-0005-0000-0000-000009000000}"/>
    <cellStyle name="20% - Accent6" xfId="44" builtinId="50" customBuiltin="1"/>
    <cellStyle name="20% - Accent6 2" xfId="67" xr:uid="{00000000-0005-0000-0000-00000B000000}"/>
    <cellStyle name="40% - Accent1" xfId="25" builtinId="31" customBuiltin="1"/>
    <cellStyle name="40% - Accent1 2" xfId="58" xr:uid="{00000000-0005-0000-0000-00000D000000}"/>
    <cellStyle name="40% - Accent2" xfId="29" builtinId="35" customBuiltin="1"/>
    <cellStyle name="40% - Accent2 2" xfId="60" xr:uid="{00000000-0005-0000-0000-00000F000000}"/>
    <cellStyle name="40% - Accent3" xfId="33" builtinId="39" customBuiltin="1"/>
    <cellStyle name="40% - Accent3 2" xfId="62" xr:uid="{00000000-0005-0000-0000-000011000000}"/>
    <cellStyle name="40% - Accent4" xfId="37" builtinId="43" customBuiltin="1"/>
    <cellStyle name="40% - Accent4 2" xfId="64" xr:uid="{00000000-0005-0000-0000-000013000000}"/>
    <cellStyle name="40% - Accent5" xfId="41" builtinId="47" customBuiltin="1"/>
    <cellStyle name="40% - Accent5 2" xfId="66" xr:uid="{00000000-0005-0000-0000-000015000000}"/>
    <cellStyle name="40% - Accent6" xfId="45" builtinId="51" customBuiltin="1"/>
    <cellStyle name="40% - Accent6 2" xfId="68"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12" xfId="326" xr:uid="{00000000-0005-0000-0000-000028000000}"/>
    <cellStyle name="Comma 2" xfId="71" xr:uid="{00000000-0005-0000-0000-000029000000}"/>
    <cellStyle name="Comma 2 2" xfId="285" xr:uid="{00000000-0005-0000-0000-00002A000000}"/>
    <cellStyle name="Comma 2 2 2" xfId="49" xr:uid="{00000000-0005-0000-0000-00002B000000}"/>
    <cellStyle name="Comma 2 3" xfId="325" xr:uid="{00000000-0005-0000-0000-00002C000000}"/>
    <cellStyle name="Comma 3" xfId="69" xr:uid="{00000000-0005-0000-0000-00002D000000}"/>
    <cellStyle name="Comma 3 2" xfId="9" xr:uid="{00000000-0005-0000-0000-00002E000000}"/>
    <cellStyle name="Comma 3 3" xfId="322" xr:uid="{00000000-0005-0000-0000-00002F000000}"/>
    <cellStyle name="Comma 4" xfId="195" xr:uid="{00000000-0005-0000-0000-000030000000}"/>
    <cellStyle name="Comma 4 2" xfId="321" xr:uid="{00000000-0005-0000-0000-000031000000}"/>
    <cellStyle name="Comma 4 3" xfId="308" xr:uid="{00000000-0005-0000-0000-000032000000}"/>
    <cellStyle name="Comma 5" xfId="55" xr:uid="{00000000-0005-0000-0000-000033000000}"/>
    <cellStyle name="Comma 5 2" xfId="307" xr:uid="{00000000-0005-0000-0000-000034000000}"/>
    <cellStyle name="Comma 6" xfId="312" xr:uid="{00000000-0005-0000-0000-000035000000}"/>
    <cellStyle name="Comma 7" xfId="318" xr:uid="{00000000-0005-0000-0000-000036000000}"/>
    <cellStyle name="Comma 8" xfId="306" xr:uid="{00000000-0005-0000-0000-000037000000}"/>
    <cellStyle name="Comma 9" xfId="311" xr:uid="{00000000-0005-0000-0000-000038000000}"/>
    <cellStyle name="Currency" xfId="11" builtinId="4"/>
    <cellStyle name="Currency [0] 2" xfId="117" xr:uid="{00000000-0005-0000-0000-00003A000000}"/>
    <cellStyle name="Currency [0] 2 2" xfId="206" xr:uid="{00000000-0005-0000-0000-00003B000000}"/>
    <cellStyle name="Currency 10" xfId="196" xr:uid="{00000000-0005-0000-0000-00003C000000}"/>
    <cellStyle name="Currency 11" xfId="115" xr:uid="{00000000-0005-0000-0000-00003D000000}"/>
    <cellStyle name="Currency 12" xfId="200" xr:uid="{00000000-0005-0000-0000-00003E000000}"/>
    <cellStyle name="Currency 13" xfId="53" xr:uid="{00000000-0005-0000-0000-00003F000000}"/>
    <cellStyle name="Currency 13 2" xfId="291" xr:uid="{00000000-0005-0000-0000-000040000000}"/>
    <cellStyle name="Currency 14" xfId="288" xr:uid="{00000000-0005-0000-0000-000041000000}"/>
    <cellStyle name="Currency 15" xfId="292" xr:uid="{00000000-0005-0000-0000-000042000000}"/>
    <cellStyle name="Currency 16" xfId="294" xr:uid="{00000000-0005-0000-0000-000043000000}"/>
    <cellStyle name="Currency 17" xfId="295" xr:uid="{00000000-0005-0000-0000-000044000000}"/>
    <cellStyle name="Currency 18" xfId="296" xr:uid="{00000000-0005-0000-0000-000045000000}"/>
    <cellStyle name="Currency 19" xfId="297" xr:uid="{00000000-0005-0000-0000-000046000000}"/>
    <cellStyle name="Currency 2" xfId="72" xr:uid="{00000000-0005-0000-0000-000047000000}"/>
    <cellStyle name="Currency 2 2" xfId="114" xr:uid="{00000000-0005-0000-0000-000048000000}"/>
    <cellStyle name="Currency 2 2 2" xfId="205" xr:uid="{00000000-0005-0000-0000-000049000000}"/>
    <cellStyle name="Currency 2 3" xfId="283" xr:uid="{00000000-0005-0000-0000-00004A000000}"/>
    <cellStyle name="Currency 20" xfId="298" xr:uid="{00000000-0005-0000-0000-00004B000000}"/>
    <cellStyle name="Currency 21" xfId="299" xr:uid="{00000000-0005-0000-0000-00004C000000}"/>
    <cellStyle name="Currency 22" xfId="300" xr:uid="{00000000-0005-0000-0000-00004D000000}"/>
    <cellStyle name="Currency 23" xfId="320" xr:uid="{00000000-0005-0000-0000-00004E000000}"/>
    <cellStyle name="Currency 3" xfId="70" xr:uid="{00000000-0005-0000-0000-00004F000000}"/>
    <cellStyle name="Currency 3 2" xfId="282" xr:uid="{00000000-0005-0000-0000-000050000000}"/>
    <cellStyle name="Currency 3 3" xfId="316" xr:uid="{00000000-0005-0000-0000-000051000000}"/>
    <cellStyle name="Currency 4" xfId="118" xr:uid="{00000000-0005-0000-0000-000052000000}"/>
    <cellStyle name="Currency 4 2" xfId="207" xr:uid="{00000000-0005-0000-0000-000053000000}"/>
    <cellStyle name="Currency 4 2 2" xfId="47" xr:uid="{00000000-0005-0000-0000-000054000000}"/>
    <cellStyle name="Currency 4 3" xfId="284" xr:uid="{00000000-0005-0000-0000-000055000000}"/>
    <cellStyle name="Currency 5" xfId="119" xr:uid="{00000000-0005-0000-0000-000056000000}"/>
    <cellStyle name="Currency 5 2" xfId="208" xr:uid="{00000000-0005-0000-0000-000057000000}"/>
    <cellStyle name="Currency 6" xfId="120" xr:uid="{00000000-0005-0000-0000-000058000000}"/>
    <cellStyle name="Currency 6 2" xfId="209" xr:uid="{00000000-0005-0000-0000-000059000000}"/>
    <cellStyle name="Currency 7" xfId="121" xr:uid="{00000000-0005-0000-0000-00005A000000}"/>
    <cellStyle name="Currency 7 2" xfId="210" xr:uid="{00000000-0005-0000-0000-00005B000000}"/>
    <cellStyle name="Currency 8" xfId="197" xr:uid="{00000000-0005-0000-0000-00005C000000}"/>
    <cellStyle name="Currency 8 2" xfId="315" xr:uid="{00000000-0005-0000-0000-00005D000000}"/>
    <cellStyle name="Currency 9" xfId="198" xr:uid="{00000000-0005-0000-0000-00005E000000}"/>
    <cellStyle name="Currency 9 2" xfId="313" xr:uid="{00000000-0005-0000-0000-00005F000000}"/>
    <cellStyle name="Data Field" xfId="122" xr:uid="{00000000-0005-0000-0000-000060000000}"/>
    <cellStyle name="Data Field 2" xfId="211" xr:uid="{00000000-0005-0000-0000-000061000000}"/>
    <cellStyle name="Data Name" xfId="123" xr:uid="{00000000-0005-0000-0000-000062000000}"/>
    <cellStyle name="Data Name 2" xfId="212" xr:uid="{00000000-0005-0000-0000-000063000000}"/>
    <cellStyle name="Explanatory Text" xfId="8" builtinId="53" customBuiltin="1"/>
    <cellStyle name="Followed Hyperlink" xfId="290"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9" builtinId="8" customBuiltin="1"/>
    <cellStyle name="Hyperlink 2" xfId="124" xr:uid="{00000000-0005-0000-0000-00006C000000}"/>
    <cellStyle name="Hyperlink 3" xfId="125" xr:uid="{00000000-0005-0000-0000-00006D000000}"/>
    <cellStyle name="Hyperlink 4" xfId="303" xr:uid="{00000000-0005-0000-0000-00006E000000}"/>
    <cellStyle name="Hyperlink 5" xfId="301" xr:uid="{00000000-0005-0000-0000-00006F000000}"/>
    <cellStyle name="Input" xfId="6" builtinId="20" customBuiltin="1"/>
    <cellStyle name="Linked Cell" xfId="15" builtinId="24" customBuiltin="1"/>
    <cellStyle name="Neutral" xfId="5" builtinId="28" customBuiltin="1"/>
    <cellStyle name="Normal" xfId="0" builtinId="0"/>
    <cellStyle name="Normal 10" xfId="126" xr:uid="{00000000-0005-0000-0000-000074000000}"/>
    <cellStyle name="Normal 10 2" xfId="127" xr:uid="{00000000-0005-0000-0000-000075000000}"/>
    <cellStyle name="Normal 10 2 2" xfId="214" xr:uid="{00000000-0005-0000-0000-000076000000}"/>
    <cellStyle name="Normal 10 3" xfId="213" xr:uid="{00000000-0005-0000-0000-000077000000}"/>
    <cellStyle name="Normal 11" xfId="128" xr:uid="{00000000-0005-0000-0000-000078000000}"/>
    <cellStyle name="Normal 11 2" xfId="215" xr:uid="{00000000-0005-0000-0000-000079000000}"/>
    <cellStyle name="Normal 12" xfId="129" xr:uid="{00000000-0005-0000-0000-00007A000000}"/>
    <cellStyle name="Normal 12 2" xfId="216" xr:uid="{00000000-0005-0000-0000-00007B000000}"/>
    <cellStyle name="Normal 13" xfId="130" xr:uid="{00000000-0005-0000-0000-00007C000000}"/>
    <cellStyle name="Normal 13 2" xfId="217" xr:uid="{00000000-0005-0000-0000-00007D000000}"/>
    <cellStyle name="Normal 14" xfId="131" xr:uid="{00000000-0005-0000-0000-00007E000000}"/>
    <cellStyle name="Normal 14 2" xfId="218" xr:uid="{00000000-0005-0000-0000-00007F000000}"/>
    <cellStyle name="Normal 15" xfId="132" xr:uid="{00000000-0005-0000-0000-000080000000}"/>
    <cellStyle name="Normal 16" xfId="133" xr:uid="{00000000-0005-0000-0000-000081000000}"/>
    <cellStyle name="Normal 16 2" xfId="219" xr:uid="{00000000-0005-0000-0000-000082000000}"/>
    <cellStyle name="Normal 17" xfId="51" xr:uid="{00000000-0005-0000-0000-000083000000}"/>
    <cellStyle name="Normal 18" xfId="134" xr:uid="{00000000-0005-0000-0000-000084000000}"/>
    <cellStyle name="Normal 18 2" xfId="220" xr:uid="{00000000-0005-0000-0000-000085000000}"/>
    <cellStyle name="Normal 19" xfId="135" xr:uid="{00000000-0005-0000-0000-000086000000}"/>
    <cellStyle name="Normal 19 2" xfId="221" xr:uid="{00000000-0005-0000-0000-000087000000}"/>
    <cellStyle name="Normal 2" xfId="54" xr:uid="{00000000-0005-0000-0000-000088000000}"/>
    <cellStyle name="Normal 2 2" xfId="74" xr:uid="{00000000-0005-0000-0000-000089000000}"/>
    <cellStyle name="Normal 2 2 10" xfId="317" xr:uid="{00000000-0005-0000-0000-00008A000000}"/>
    <cellStyle name="Normal 2 2 2" xfId="75" xr:uid="{00000000-0005-0000-0000-00008B000000}"/>
    <cellStyle name="Normal 2 2 3" xfId="76" xr:uid="{00000000-0005-0000-0000-00008C000000}"/>
    <cellStyle name="Normal 2 2 4" xfId="77" xr:uid="{00000000-0005-0000-0000-00008D000000}"/>
    <cellStyle name="Normal 2 2 5" xfId="78" xr:uid="{00000000-0005-0000-0000-00008E000000}"/>
    <cellStyle name="Normal 2 2 6" xfId="79" xr:uid="{00000000-0005-0000-0000-00008F000000}"/>
    <cellStyle name="Normal 2 2 7" xfId="80" xr:uid="{00000000-0005-0000-0000-000090000000}"/>
    <cellStyle name="Normal 2 2 8" xfId="81" xr:uid="{00000000-0005-0000-0000-000091000000}"/>
    <cellStyle name="Normal 2 2 9" xfId="82" xr:uid="{00000000-0005-0000-0000-000092000000}"/>
    <cellStyle name="Normal 2 3" xfId="83" xr:uid="{00000000-0005-0000-0000-000093000000}"/>
    <cellStyle name="Normal 2 3 2" xfId="324" xr:uid="{00000000-0005-0000-0000-000094000000}"/>
    <cellStyle name="Normal 2 4" xfId="84" xr:uid="{00000000-0005-0000-0000-000095000000}"/>
    <cellStyle name="Normal 2 4 2" xfId="85" xr:uid="{00000000-0005-0000-0000-000096000000}"/>
    <cellStyle name="Normal 2 5" xfId="113" xr:uid="{00000000-0005-0000-0000-000097000000}"/>
    <cellStyle name="Normal 2 5 2" xfId="204" xr:uid="{00000000-0005-0000-0000-000098000000}"/>
    <cellStyle name="Normal 2 6" xfId="50" xr:uid="{00000000-0005-0000-0000-000099000000}"/>
    <cellStyle name="Normal 2 6 2" xfId="73" xr:uid="{00000000-0005-0000-0000-00009A000000}"/>
    <cellStyle name="Normal 2 7" xfId="302" xr:uid="{00000000-0005-0000-0000-00009B000000}"/>
    <cellStyle name="Normal 26" xfId="109" xr:uid="{00000000-0005-0000-0000-00009C000000}"/>
    <cellStyle name="Normal 26 2" xfId="202" xr:uid="{00000000-0005-0000-0000-00009D000000}"/>
    <cellStyle name="Normal 27" xfId="110" xr:uid="{00000000-0005-0000-0000-00009E000000}"/>
    <cellStyle name="Normal 27 2" xfId="203" xr:uid="{00000000-0005-0000-0000-00009F000000}"/>
    <cellStyle name="Normal 28" xfId="136" xr:uid="{00000000-0005-0000-0000-0000A0000000}"/>
    <cellStyle name="Normal 28 2" xfId="222" xr:uid="{00000000-0005-0000-0000-0000A1000000}"/>
    <cellStyle name="Normal 3" xfId="86" xr:uid="{00000000-0005-0000-0000-0000A2000000}"/>
    <cellStyle name="Normal 3 2" xfId="87" xr:uid="{00000000-0005-0000-0000-0000A3000000}"/>
    <cellStyle name="Normal 3 2 10" xfId="48" xr:uid="{00000000-0005-0000-0000-0000A4000000}"/>
    <cellStyle name="Normal 3 2 2" xfId="88" xr:uid="{00000000-0005-0000-0000-0000A5000000}"/>
    <cellStyle name="Normal 3 2 3" xfId="89" xr:uid="{00000000-0005-0000-0000-0000A6000000}"/>
    <cellStyle name="Normal 3 2 4" xfId="90" xr:uid="{00000000-0005-0000-0000-0000A7000000}"/>
    <cellStyle name="Normal 3 2 5" xfId="91" xr:uid="{00000000-0005-0000-0000-0000A8000000}"/>
    <cellStyle name="Normal 3 2 6" xfId="92" xr:uid="{00000000-0005-0000-0000-0000A9000000}"/>
    <cellStyle name="Normal 3 2 7" xfId="93" xr:uid="{00000000-0005-0000-0000-0000AA000000}"/>
    <cellStyle name="Normal 3 2 8" xfId="94" xr:uid="{00000000-0005-0000-0000-0000AB000000}"/>
    <cellStyle name="Normal 3 2 9" xfId="95" xr:uid="{00000000-0005-0000-0000-0000AC000000}"/>
    <cellStyle name="Normal 3 3" xfId="111" xr:uid="{00000000-0005-0000-0000-0000AD000000}"/>
    <cellStyle name="Normal 3 4" xfId="323" xr:uid="{00000000-0005-0000-0000-0000AE000000}"/>
    <cellStyle name="Normal 3 40" xfId="112" xr:uid="{00000000-0005-0000-0000-0000AF000000}"/>
    <cellStyle name="Normal 33" xfId="280" xr:uid="{00000000-0005-0000-0000-0000B0000000}"/>
    <cellStyle name="Normal 35" xfId="304" xr:uid="{00000000-0005-0000-0000-0000B1000000}"/>
    <cellStyle name="Normal 36" xfId="137" xr:uid="{00000000-0005-0000-0000-0000B2000000}"/>
    <cellStyle name="Normal 36 2" xfId="223" xr:uid="{00000000-0005-0000-0000-0000B3000000}"/>
    <cellStyle name="Normal 37" xfId="138" xr:uid="{00000000-0005-0000-0000-0000B4000000}"/>
    <cellStyle name="Normal 37 2" xfId="224" xr:uid="{00000000-0005-0000-0000-0000B5000000}"/>
    <cellStyle name="Normal 38" xfId="139" xr:uid="{00000000-0005-0000-0000-0000B6000000}"/>
    <cellStyle name="Normal 38 2" xfId="225" xr:uid="{00000000-0005-0000-0000-0000B7000000}"/>
    <cellStyle name="Normal 39" xfId="140" xr:uid="{00000000-0005-0000-0000-0000B8000000}"/>
    <cellStyle name="Normal 39 2" xfId="226" xr:uid="{00000000-0005-0000-0000-0000B9000000}"/>
    <cellStyle name="Normal 4" xfId="10" xr:uid="{00000000-0005-0000-0000-0000BA000000}"/>
    <cellStyle name="Normal 4 2" xfId="97" xr:uid="{00000000-0005-0000-0000-0000BB000000}"/>
    <cellStyle name="Normal 4 3" xfId="96" xr:uid="{00000000-0005-0000-0000-0000BC000000}"/>
    <cellStyle name="Normal 4 4" xfId="281" xr:uid="{00000000-0005-0000-0000-0000BD000000}"/>
    <cellStyle name="Normal 40" xfId="141" xr:uid="{00000000-0005-0000-0000-0000BE000000}"/>
    <cellStyle name="Normal 40 2" xfId="227" xr:uid="{00000000-0005-0000-0000-0000BF000000}"/>
    <cellStyle name="Normal 41" xfId="142" xr:uid="{00000000-0005-0000-0000-0000C0000000}"/>
    <cellStyle name="Normal 41 2" xfId="228" xr:uid="{00000000-0005-0000-0000-0000C1000000}"/>
    <cellStyle name="Normal 42" xfId="143" xr:uid="{00000000-0005-0000-0000-0000C2000000}"/>
    <cellStyle name="Normal 42 2" xfId="229" xr:uid="{00000000-0005-0000-0000-0000C3000000}"/>
    <cellStyle name="Normal 43" xfId="144" xr:uid="{00000000-0005-0000-0000-0000C4000000}"/>
    <cellStyle name="Normal 43 2" xfId="230" xr:uid="{00000000-0005-0000-0000-0000C5000000}"/>
    <cellStyle name="Normal 44" xfId="145" xr:uid="{00000000-0005-0000-0000-0000C6000000}"/>
    <cellStyle name="Normal 44 2" xfId="231" xr:uid="{00000000-0005-0000-0000-0000C7000000}"/>
    <cellStyle name="Normal 45" xfId="146" xr:uid="{00000000-0005-0000-0000-0000C8000000}"/>
    <cellStyle name="Normal 45 2" xfId="232" xr:uid="{00000000-0005-0000-0000-0000C9000000}"/>
    <cellStyle name="Normal 46" xfId="147" xr:uid="{00000000-0005-0000-0000-0000CA000000}"/>
    <cellStyle name="Normal 46 2" xfId="233" xr:uid="{00000000-0005-0000-0000-0000CB000000}"/>
    <cellStyle name="Normal 47" xfId="148" xr:uid="{00000000-0005-0000-0000-0000CC000000}"/>
    <cellStyle name="Normal 47 2" xfId="234" xr:uid="{00000000-0005-0000-0000-0000CD000000}"/>
    <cellStyle name="Normal 48" xfId="149" xr:uid="{00000000-0005-0000-0000-0000CE000000}"/>
    <cellStyle name="Normal 48 2" xfId="235" xr:uid="{00000000-0005-0000-0000-0000CF000000}"/>
    <cellStyle name="Normal 49" xfId="150" xr:uid="{00000000-0005-0000-0000-0000D0000000}"/>
    <cellStyle name="Normal 49 2" xfId="236" xr:uid="{00000000-0005-0000-0000-0000D1000000}"/>
    <cellStyle name="Normal 5" xfId="98" xr:uid="{00000000-0005-0000-0000-0000D2000000}"/>
    <cellStyle name="Normal 5 2" xfId="99" xr:uid="{00000000-0005-0000-0000-0000D3000000}"/>
    <cellStyle name="Normal 5 3" xfId="100" xr:uid="{00000000-0005-0000-0000-0000D4000000}"/>
    <cellStyle name="Normal 5 4" xfId="101" xr:uid="{00000000-0005-0000-0000-0000D5000000}"/>
    <cellStyle name="Normal 5 5" xfId="319" xr:uid="{00000000-0005-0000-0000-0000D6000000}"/>
    <cellStyle name="Normal 50" xfId="151" xr:uid="{00000000-0005-0000-0000-0000D7000000}"/>
    <cellStyle name="Normal 50 2" xfId="237" xr:uid="{00000000-0005-0000-0000-0000D8000000}"/>
    <cellStyle name="Normal 51" xfId="152" xr:uid="{00000000-0005-0000-0000-0000D9000000}"/>
    <cellStyle name="Normal 51 2" xfId="238" xr:uid="{00000000-0005-0000-0000-0000DA000000}"/>
    <cellStyle name="Normal 52" xfId="153" xr:uid="{00000000-0005-0000-0000-0000DB000000}"/>
    <cellStyle name="Normal 52 2" xfId="239" xr:uid="{00000000-0005-0000-0000-0000DC000000}"/>
    <cellStyle name="Normal 53" xfId="154" xr:uid="{00000000-0005-0000-0000-0000DD000000}"/>
    <cellStyle name="Normal 53 2" xfId="240" xr:uid="{00000000-0005-0000-0000-0000DE000000}"/>
    <cellStyle name="Normal 54" xfId="155" xr:uid="{00000000-0005-0000-0000-0000DF000000}"/>
    <cellStyle name="Normal 54 2" xfId="241" xr:uid="{00000000-0005-0000-0000-0000E0000000}"/>
    <cellStyle name="Normal 55" xfId="156" xr:uid="{00000000-0005-0000-0000-0000E1000000}"/>
    <cellStyle name="Normal 55 2" xfId="242" xr:uid="{00000000-0005-0000-0000-0000E2000000}"/>
    <cellStyle name="Normal 56" xfId="157" xr:uid="{00000000-0005-0000-0000-0000E3000000}"/>
    <cellStyle name="Normal 56 2" xfId="243" xr:uid="{00000000-0005-0000-0000-0000E4000000}"/>
    <cellStyle name="Normal 57" xfId="158" xr:uid="{00000000-0005-0000-0000-0000E5000000}"/>
    <cellStyle name="Normal 57 2" xfId="244" xr:uid="{00000000-0005-0000-0000-0000E6000000}"/>
    <cellStyle name="Normal 58" xfId="159" xr:uid="{00000000-0005-0000-0000-0000E7000000}"/>
    <cellStyle name="Normal 58 2" xfId="245" xr:uid="{00000000-0005-0000-0000-0000E8000000}"/>
    <cellStyle name="Normal 59" xfId="160" xr:uid="{00000000-0005-0000-0000-0000E9000000}"/>
    <cellStyle name="Normal 59 2" xfId="246" xr:uid="{00000000-0005-0000-0000-0000EA000000}"/>
    <cellStyle name="Normal 6" xfId="102" xr:uid="{00000000-0005-0000-0000-0000EB000000}"/>
    <cellStyle name="Normal 6 2" xfId="103" xr:uid="{00000000-0005-0000-0000-0000EC000000}"/>
    <cellStyle name="Normal 6 3" xfId="104" xr:uid="{00000000-0005-0000-0000-0000ED000000}"/>
    <cellStyle name="Normal 6 4" xfId="310" xr:uid="{00000000-0005-0000-0000-0000EE000000}"/>
    <cellStyle name="Normal 60" xfId="161" xr:uid="{00000000-0005-0000-0000-0000EF000000}"/>
    <cellStyle name="Normal 60 2" xfId="247" xr:uid="{00000000-0005-0000-0000-0000F0000000}"/>
    <cellStyle name="Normal 61" xfId="162" xr:uid="{00000000-0005-0000-0000-0000F1000000}"/>
    <cellStyle name="Normal 61 2" xfId="248" xr:uid="{00000000-0005-0000-0000-0000F2000000}"/>
    <cellStyle name="Normal 62" xfId="163" xr:uid="{00000000-0005-0000-0000-0000F3000000}"/>
    <cellStyle name="Normal 62 2" xfId="249" xr:uid="{00000000-0005-0000-0000-0000F4000000}"/>
    <cellStyle name="Normal 63" xfId="164" xr:uid="{00000000-0005-0000-0000-0000F5000000}"/>
    <cellStyle name="Normal 63 2" xfId="250" xr:uid="{00000000-0005-0000-0000-0000F6000000}"/>
    <cellStyle name="Normal 64" xfId="165" xr:uid="{00000000-0005-0000-0000-0000F7000000}"/>
    <cellStyle name="Normal 64 2" xfId="251" xr:uid="{00000000-0005-0000-0000-0000F8000000}"/>
    <cellStyle name="Normal 65" xfId="166" xr:uid="{00000000-0005-0000-0000-0000F9000000}"/>
    <cellStyle name="Normal 65 2" xfId="252" xr:uid="{00000000-0005-0000-0000-0000FA000000}"/>
    <cellStyle name="Normal 66" xfId="167" xr:uid="{00000000-0005-0000-0000-0000FB000000}"/>
    <cellStyle name="Normal 66 2" xfId="253" xr:uid="{00000000-0005-0000-0000-0000FC000000}"/>
    <cellStyle name="Normal 67" xfId="168" xr:uid="{00000000-0005-0000-0000-0000FD000000}"/>
    <cellStyle name="Normal 67 2" xfId="254" xr:uid="{00000000-0005-0000-0000-0000FE000000}"/>
    <cellStyle name="Normal 69" xfId="169" xr:uid="{00000000-0005-0000-0000-0000FF000000}"/>
    <cellStyle name="Normal 69 2" xfId="255" xr:uid="{00000000-0005-0000-0000-000000010000}"/>
    <cellStyle name="Normal 7" xfId="105" xr:uid="{00000000-0005-0000-0000-000001010000}"/>
    <cellStyle name="Normal 7 2" xfId="309" xr:uid="{00000000-0005-0000-0000-000002010000}"/>
    <cellStyle name="Normal 70" xfId="170" xr:uid="{00000000-0005-0000-0000-000003010000}"/>
    <cellStyle name="Normal 70 2" xfId="256" xr:uid="{00000000-0005-0000-0000-000004010000}"/>
    <cellStyle name="Normal 71" xfId="171" xr:uid="{00000000-0005-0000-0000-000005010000}"/>
    <cellStyle name="Normal 71 2" xfId="257" xr:uid="{00000000-0005-0000-0000-000006010000}"/>
    <cellStyle name="Normal 72" xfId="172" xr:uid="{00000000-0005-0000-0000-000007010000}"/>
    <cellStyle name="Normal 72 2" xfId="258" xr:uid="{00000000-0005-0000-0000-000008010000}"/>
    <cellStyle name="Normal 73" xfId="173" xr:uid="{00000000-0005-0000-0000-000009010000}"/>
    <cellStyle name="Normal 73 2" xfId="259" xr:uid="{00000000-0005-0000-0000-00000A010000}"/>
    <cellStyle name="Normal 74" xfId="174" xr:uid="{00000000-0005-0000-0000-00000B010000}"/>
    <cellStyle name="Normal 74 2" xfId="260" xr:uid="{00000000-0005-0000-0000-00000C010000}"/>
    <cellStyle name="Normal 75" xfId="175" xr:uid="{00000000-0005-0000-0000-00000D010000}"/>
    <cellStyle name="Normal 75 2" xfId="261" xr:uid="{00000000-0005-0000-0000-00000E010000}"/>
    <cellStyle name="Normal 76" xfId="176" xr:uid="{00000000-0005-0000-0000-00000F010000}"/>
    <cellStyle name="Normal 76 2" xfId="262" xr:uid="{00000000-0005-0000-0000-000010010000}"/>
    <cellStyle name="Normal 77" xfId="177" xr:uid="{00000000-0005-0000-0000-000011010000}"/>
    <cellStyle name="Normal 77 2" xfId="263" xr:uid="{00000000-0005-0000-0000-000012010000}"/>
    <cellStyle name="Normal 78" xfId="178" xr:uid="{00000000-0005-0000-0000-000013010000}"/>
    <cellStyle name="Normal 78 2" xfId="264" xr:uid="{00000000-0005-0000-0000-000014010000}"/>
    <cellStyle name="Normal 79" xfId="179" xr:uid="{00000000-0005-0000-0000-000015010000}"/>
    <cellStyle name="Normal 79 2" xfId="265" xr:uid="{00000000-0005-0000-0000-000016010000}"/>
    <cellStyle name="Normal 8" xfId="106" xr:uid="{00000000-0005-0000-0000-000017010000}"/>
    <cellStyle name="Normal 80" xfId="180" xr:uid="{00000000-0005-0000-0000-000018010000}"/>
    <cellStyle name="Normal 80 2" xfId="266" xr:uid="{00000000-0005-0000-0000-000019010000}"/>
    <cellStyle name="Normal 81" xfId="181" xr:uid="{00000000-0005-0000-0000-00001A010000}"/>
    <cellStyle name="Normal 81 2" xfId="267" xr:uid="{00000000-0005-0000-0000-00001B010000}"/>
    <cellStyle name="Normal 82" xfId="182" xr:uid="{00000000-0005-0000-0000-00001C010000}"/>
    <cellStyle name="Normal 82 2" xfId="268" xr:uid="{00000000-0005-0000-0000-00001D010000}"/>
    <cellStyle name="Normal 83" xfId="183" xr:uid="{00000000-0005-0000-0000-00001E010000}"/>
    <cellStyle name="Normal 83 2" xfId="269" xr:uid="{00000000-0005-0000-0000-00001F010000}"/>
    <cellStyle name="Normal 84" xfId="184" xr:uid="{00000000-0005-0000-0000-000020010000}"/>
    <cellStyle name="Normal 84 2" xfId="270" xr:uid="{00000000-0005-0000-0000-000021010000}"/>
    <cellStyle name="Normal 85" xfId="185" xr:uid="{00000000-0005-0000-0000-000022010000}"/>
    <cellStyle name="Normal 85 2" xfId="271" xr:uid="{00000000-0005-0000-0000-000023010000}"/>
    <cellStyle name="Normal 86" xfId="186" xr:uid="{00000000-0005-0000-0000-000024010000}"/>
    <cellStyle name="Normal 86 2" xfId="272" xr:uid="{00000000-0005-0000-0000-000025010000}"/>
    <cellStyle name="Normal 87" xfId="187" xr:uid="{00000000-0005-0000-0000-000026010000}"/>
    <cellStyle name="Normal 87 2" xfId="273" xr:uid="{00000000-0005-0000-0000-000027010000}"/>
    <cellStyle name="Normal 9" xfId="107" xr:uid="{00000000-0005-0000-0000-000028010000}"/>
    <cellStyle name="Normal 9 2" xfId="108" xr:uid="{00000000-0005-0000-0000-000029010000}"/>
    <cellStyle name="Normal 9 2 2" xfId="201" xr:uid="{00000000-0005-0000-0000-00002A010000}"/>
    <cellStyle name="Note" xfId="14" builtinId="10" customBuiltin="1"/>
    <cellStyle name="Note 2" xfId="56" xr:uid="{00000000-0005-0000-0000-00002C010000}"/>
    <cellStyle name="Output" xfId="12" builtinId="21" customBuiltin="1"/>
    <cellStyle name="Percent" xfId="2" builtinId="5"/>
    <cellStyle name="Percent 10" xfId="116" xr:uid="{00000000-0005-0000-0000-00002F010000}"/>
    <cellStyle name="Percent 11" xfId="52" xr:uid="{00000000-0005-0000-0000-000030010000}"/>
    <cellStyle name="Percent 11 2" xfId="293" xr:uid="{00000000-0005-0000-0000-000031010000}"/>
    <cellStyle name="Percent 2" xfId="188" xr:uid="{00000000-0005-0000-0000-000032010000}"/>
    <cellStyle name="Percent 2 2" xfId="274" xr:uid="{00000000-0005-0000-0000-000033010000}"/>
    <cellStyle name="Percent 3" xfId="189" xr:uid="{00000000-0005-0000-0000-000034010000}"/>
    <cellStyle name="Percent 3 2" xfId="275" xr:uid="{00000000-0005-0000-0000-000035010000}"/>
    <cellStyle name="Percent 3 3" xfId="286" xr:uid="{00000000-0005-0000-0000-000036010000}"/>
    <cellStyle name="Percent 3 4" xfId="314" xr:uid="{00000000-0005-0000-0000-000037010000}"/>
    <cellStyle name="Percent 4" xfId="190" xr:uid="{00000000-0005-0000-0000-000038010000}"/>
    <cellStyle name="Percent 4 2" xfId="276" xr:uid="{00000000-0005-0000-0000-000039010000}"/>
    <cellStyle name="Percent 4 3" xfId="287" xr:uid="{00000000-0005-0000-0000-00003A010000}"/>
    <cellStyle name="Percent 5" xfId="191" xr:uid="{00000000-0005-0000-0000-00003B010000}"/>
    <cellStyle name="Percent 5 2" xfId="277" xr:uid="{00000000-0005-0000-0000-00003C010000}"/>
    <cellStyle name="Percent 6" xfId="192" xr:uid="{00000000-0005-0000-0000-00003D010000}"/>
    <cellStyle name="Percent 6 2" xfId="278" xr:uid="{00000000-0005-0000-0000-00003E010000}"/>
    <cellStyle name="Percent 7" xfId="193" xr:uid="{00000000-0005-0000-0000-00003F010000}"/>
    <cellStyle name="Percent 7 2" xfId="305" xr:uid="{00000000-0005-0000-0000-000040010000}"/>
    <cellStyle name="Percent 8" xfId="194" xr:uid="{00000000-0005-0000-0000-000041010000}"/>
    <cellStyle name="Percent 8 2" xfId="279" xr:uid="{00000000-0005-0000-0000-000042010000}"/>
    <cellStyle name="Percent 9" xfId="199" xr:uid="{00000000-0005-0000-0000-000043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seworks21.ameren.com/460/RiderEEIC/Library/2024%20Nov%20Filing/JNG4%20-%20MEEIA%20Rider%20Calcs%20November%202024%20-%20Support.xlsx" TargetMode="External"/><Relationship Id="rId1" Type="http://schemas.openxmlformats.org/officeDocument/2006/relationships/externalLinkPath" Target="JNG4%20-%20MEEIA%20Rider%20Calcs%20November%202024%20-%20Suppor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aseworks21.ameren.com/460/RiderEEIC/Library/2024%20Nov%20Filing/JNG3%20-%20MEEIA%20over%20under%20calculations%20Nov%2024.xlsx" TargetMode="External"/><Relationship Id="rId1" Type="http://schemas.openxmlformats.org/officeDocument/2006/relationships/externalLinkPath" Target="JNG3%20-%20MEEIA%20over%20under%20calculations%20Nov%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C.1, PCR.2F, EO.5"/>
      <sheetName val="PPC.2, PCR.1F"/>
      <sheetName val="PPC.3, PCR.2"/>
      <sheetName val="PCR.1 (M3)"/>
      <sheetName val="PCR1.A (M3)"/>
      <sheetName val="PCR1.B (M3)"/>
      <sheetName val="PCR.3 (M3)"/>
      <sheetName val="PCR.4 (M3)"/>
      <sheetName val="PCR.5 (M3)"/>
      <sheetName val="PCR.5F"/>
      <sheetName val="PCR.6, TDR.5, EOR.5, OAR.5"/>
      <sheetName val="PTD.1, TDR.1, &amp; TDR.1F"/>
      <sheetName val="TDR.2 (M2)"/>
      <sheetName val="TDR.2 (M3)"/>
      <sheetName val="TDR.3 (M2)"/>
      <sheetName val="TDR.3 (M3)"/>
      <sheetName val="TDR.4 (M2)"/>
      <sheetName val="TDR.4 (M3)"/>
      <sheetName val="TDR.4F"/>
      <sheetName val="EO.1"/>
      <sheetName val="EO.2"/>
      <sheetName val="EO.3"/>
      <sheetName val="EO.4"/>
      <sheetName val="EOR.1F, EOR.1"/>
      <sheetName val="EOR.2 (M3)"/>
      <sheetName val="EOR.3 (M3)"/>
      <sheetName val="EOR.4 (M3)"/>
      <sheetName val="EOR.4F"/>
      <sheetName val="OAR.1A (M3)"/>
      <sheetName val="OAR.1B (M3)"/>
      <sheetName val="OAR.1C (M3)"/>
      <sheetName val="OAR.2 (M3)"/>
      <sheetName val="OAR.3 (M3)"/>
      <sheetName val="OAR.4 (M3)"/>
      <sheetName val="OAR.4F"/>
    </sheetNames>
    <sheetDataSet>
      <sheetData sheetId="0">
        <row r="27">
          <cell r="Q27">
            <v>13123013582.390793</v>
          </cell>
          <cell r="R27">
            <v>13123013582.390793</v>
          </cell>
        </row>
        <row r="28">
          <cell r="Q28">
            <v>3189499539.3651609</v>
          </cell>
          <cell r="R28">
            <v>3189499539.3651609</v>
          </cell>
        </row>
        <row r="29">
          <cell r="Q29">
            <v>6758129930.8800106</v>
          </cell>
          <cell r="R29">
            <v>6758129930.8800106</v>
          </cell>
        </row>
        <row r="30">
          <cell r="Q30">
            <v>2873169676.4508505</v>
          </cell>
          <cell r="R30">
            <v>2873169676.4508505</v>
          </cell>
        </row>
        <row r="31">
          <cell r="Q31">
            <v>869932432.58731532</v>
          </cell>
          <cell r="R31">
            <v>869932432.58731532</v>
          </cell>
        </row>
      </sheetData>
      <sheetData sheetId="1">
        <row r="21">
          <cell r="F21">
            <v>0</v>
          </cell>
          <cell r="G21">
            <v>18756111.88321742</v>
          </cell>
        </row>
        <row r="22">
          <cell r="F22">
            <v>0</v>
          </cell>
          <cell r="G22">
            <v>22569999.629823834</v>
          </cell>
        </row>
        <row r="23">
          <cell r="F23">
            <v>0</v>
          </cell>
          <cell r="G23">
            <v>9999999.5624391157</v>
          </cell>
        </row>
        <row r="24">
          <cell r="F24">
            <v>0</v>
          </cell>
          <cell r="G24">
            <v>0</v>
          </cell>
        </row>
        <row r="28">
          <cell r="E28">
            <v>1540217.1530572069</v>
          </cell>
          <cell r="F28">
            <v>3622699.7254595435</v>
          </cell>
          <cell r="G28">
            <v>0</v>
          </cell>
          <cell r="H28">
            <v>0</v>
          </cell>
          <cell r="I28">
            <v>0</v>
          </cell>
          <cell r="J28">
            <v>862189.06402896566</v>
          </cell>
        </row>
        <row r="29">
          <cell r="E29">
            <v>4599183.0698242383</v>
          </cell>
          <cell r="F29">
            <v>14470003.882834464</v>
          </cell>
          <cell r="G29">
            <v>0</v>
          </cell>
          <cell r="H29">
            <v>0</v>
          </cell>
          <cell r="I29">
            <v>0</v>
          </cell>
          <cell r="J29">
            <v>0</v>
          </cell>
        </row>
        <row r="30">
          <cell r="E30">
            <v>1011386.3594138328</v>
          </cell>
          <cell r="F30">
            <v>1545713.0962357754</v>
          </cell>
          <cell r="G30">
            <v>0</v>
          </cell>
          <cell r="H30">
            <v>0</v>
          </cell>
          <cell r="I30">
            <v>0</v>
          </cell>
          <cell r="J30">
            <v>155633.34402326509</v>
          </cell>
        </row>
        <row r="31">
          <cell r="E31">
            <v>63000</v>
          </cell>
          <cell r="F31">
            <v>100000</v>
          </cell>
          <cell r="G31">
            <v>0</v>
          </cell>
          <cell r="H31">
            <v>0</v>
          </cell>
          <cell r="I31">
            <v>0</v>
          </cell>
          <cell r="J31">
            <v>0</v>
          </cell>
        </row>
      </sheetData>
      <sheetData sheetId="2">
        <row r="30">
          <cell r="P30">
            <v>785388980</v>
          </cell>
          <cell r="Q30">
            <v>745552820</v>
          </cell>
          <cell r="R30">
            <v>999249366</v>
          </cell>
          <cell r="S30">
            <v>1328710328</v>
          </cell>
          <cell r="T30">
            <v>1345571317</v>
          </cell>
          <cell r="U30">
            <v>1065182267</v>
          </cell>
          <cell r="V30">
            <v>935823271</v>
          </cell>
          <cell r="W30">
            <v>821487370</v>
          </cell>
          <cell r="X30">
            <v>1061048123</v>
          </cell>
          <cell r="Y30">
            <v>1655009463</v>
          </cell>
          <cell r="Z30">
            <v>1329247401</v>
          </cell>
          <cell r="AA30">
            <v>1071720684</v>
          </cell>
          <cell r="AB30">
            <v>1035354332</v>
          </cell>
          <cell r="AC30">
            <v>838111932</v>
          </cell>
          <cell r="AD30">
            <v>1238437606</v>
          </cell>
          <cell r="AE30">
            <v>1451979984</v>
          </cell>
          <cell r="AF30">
            <v>1300666274</v>
          </cell>
          <cell r="AG30">
            <v>1250635703</v>
          </cell>
          <cell r="AH30">
            <v>971081766</v>
          </cell>
          <cell r="AI30">
            <v>906818656</v>
          </cell>
          <cell r="AJ30">
            <v>1263779046</v>
          </cell>
          <cell r="AK30">
            <v>1395672993</v>
          </cell>
          <cell r="AL30">
            <v>1407530571</v>
          </cell>
          <cell r="AM30">
            <v>1268128455</v>
          </cell>
          <cell r="AN30">
            <v>872933544</v>
          </cell>
          <cell r="AO30">
            <v>738196558</v>
          </cell>
          <cell r="AP30">
            <v>978975302</v>
          </cell>
          <cell r="AQ30">
            <v>1243909773</v>
          </cell>
          <cell r="AR30">
            <v>1310015315</v>
          </cell>
          <cell r="AS30">
            <v>1208033233</v>
          </cell>
          <cell r="AT30">
            <v>993546162</v>
          </cell>
          <cell r="AU30">
            <v>897156231</v>
          </cell>
          <cell r="AV30">
            <v>1208147189</v>
          </cell>
          <cell r="AW30">
            <v>1334184680</v>
          </cell>
          <cell r="AX30">
            <v>1302694951</v>
          </cell>
          <cell r="AY30">
            <v>1123586700</v>
          </cell>
          <cell r="AZ30">
            <v>886578697</v>
          </cell>
          <cell r="BA30">
            <v>790098101</v>
          </cell>
          <cell r="BB30">
            <v>1041013964</v>
          </cell>
          <cell r="BC30">
            <v>1397050553</v>
          </cell>
          <cell r="BD30">
            <v>1310723723</v>
          </cell>
          <cell r="BE30">
            <v>1275164339</v>
          </cell>
          <cell r="BF30">
            <v>800796996</v>
          </cell>
          <cell r="BG30">
            <v>856955103</v>
          </cell>
          <cell r="BH30">
            <v>1137867523</v>
          </cell>
          <cell r="BI30">
            <v>1482496943</v>
          </cell>
          <cell r="BJ30">
            <v>1507047480</v>
          </cell>
          <cell r="BK30">
            <v>1193201650</v>
          </cell>
          <cell r="BL30">
            <v>803567941</v>
          </cell>
          <cell r="BM30">
            <v>753161249</v>
          </cell>
          <cell r="BN30">
            <v>1061485022</v>
          </cell>
          <cell r="BO30">
            <v>1299384453</v>
          </cell>
          <cell r="BP30">
            <v>1325635096</v>
          </cell>
          <cell r="BQ30">
            <v>1302322503</v>
          </cell>
          <cell r="BR30">
            <v>902367562</v>
          </cell>
          <cell r="BS30">
            <v>616534565.60039997</v>
          </cell>
          <cell r="BT30">
            <v>621003419.78059995</v>
          </cell>
          <cell r="BU30">
            <v>656971283.38569999</v>
          </cell>
          <cell r="BV30">
            <v>646272651.48329997</v>
          </cell>
          <cell r="BW30">
            <v>615981334.59430003</v>
          </cell>
          <cell r="BX30">
            <v>577077250.67460001</v>
          </cell>
          <cell r="BY30">
            <v>787949883.91209996</v>
          </cell>
          <cell r="BZ30">
            <v>1060197293</v>
          </cell>
          <cell r="CA30">
            <v>1457350528</v>
          </cell>
          <cell r="CB30">
            <v>1390553772</v>
          </cell>
          <cell r="CC30">
            <v>1159635260</v>
          </cell>
          <cell r="CD30">
            <v>837049627</v>
          </cell>
          <cell r="CQ30">
            <v>778350513.42400002</v>
          </cell>
          <cell r="CR30">
            <v>1086671129</v>
          </cell>
          <cell r="CS30">
            <v>1422169141</v>
          </cell>
          <cell r="CT30">
            <v>1336981468</v>
          </cell>
          <cell r="CU30">
            <v>926412440</v>
          </cell>
          <cell r="CV30">
            <v>848897331</v>
          </cell>
          <cell r="CW30">
            <v>766903433</v>
          </cell>
          <cell r="CX30">
            <v>1042127801</v>
          </cell>
          <cell r="CY30">
            <v>1392030781</v>
          </cell>
          <cell r="CZ30">
            <v>1268811473</v>
          </cell>
          <cell r="DA30">
            <v>1204491382</v>
          </cell>
          <cell r="DB30">
            <v>881094739</v>
          </cell>
        </row>
        <row r="31">
          <cell r="P31">
            <v>230986921</v>
          </cell>
          <cell r="Q31">
            <v>228484392</v>
          </cell>
          <cell r="R31">
            <v>271547337</v>
          </cell>
          <cell r="S31">
            <v>314773105</v>
          </cell>
          <cell r="T31">
            <v>317794583</v>
          </cell>
          <cell r="U31">
            <v>284270101</v>
          </cell>
          <cell r="V31">
            <v>269129889</v>
          </cell>
          <cell r="W31">
            <v>240618906</v>
          </cell>
          <cell r="X31">
            <v>265688240</v>
          </cell>
          <cell r="Y31">
            <v>350848362</v>
          </cell>
          <cell r="Z31">
            <v>304988610</v>
          </cell>
          <cell r="AA31">
            <v>267166722</v>
          </cell>
          <cell r="AB31">
            <v>263421812</v>
          </cell>
          <cell r="AC31">
            <v>238338730</v>
          </cell>
          <cell r="AD31">
            <v>299991891</v>
          </cell>
          <cell r="AE31">
            <v>330814291</v>
          </cell>
          <cell r="AF31">
            <v>309298324</v>
          </cell>
          <cell r="AG31">
            <v>303923884</v>
          </cell>
          <cell r="AH31">
            <v>267631865</v>
          </cell>
          <cell r="AI31">
            <v>241319654</v>
          </cell>
          <cell r="AJ31">
            <v>291652347</v>
          </cell>
          <cell r="AK31">
            <v>307968093</v>
          </cell>
          <cell r="AL31">
            <v>308068267</v>
          </cell>
          <cell r="AM31">
            <v>290178959</v>
          </cell>
          <cell r="AN31">
            <v>235096003</v>
          </cell>
          <cell r="AO31">
            <v>221772499</v>
          </cell>
          <cell r="AP31">
            <v>258735845</v>
          </cell>
          <cell r="AQ31">
            <v>295975497</v>
          </cell>
          <cell r="AR31">
            <v>304175879</v>
          </cell>
          <cell r="AS31">
            <v>293549572</v>
          </cell>
          <cell r="AT31">
            <v>264736629</v>
          </cell>
          <cell r="AU31">
            <v>237145043</v>
          </cell>
          <cell r="AV31">
            <v>278572550</v>
          </cell>
          <cell r="AW31">
            <v>297050898</v>
          </cell>
          <cell r="AX31">
            <v>290934660</v>
          </cell>
          <cell r="AY31">
            <v>265078600</v>
          </cell>
          <cell r="AZ31">
            <v>203506574</v>
          </cell>
          <cell r="BA31">
            <v>184563246</v>
          </cell>
          <cell r="BB31">
            <v>231230759</v>
          </cell>
          <cell r="BC31">
            <v>288425422</v>
          </cell>
          <cell r="BD31">
            <v>281389691</v>
          </cell>
          <cell r="BE31">
            <v>269111017</v>
          </cell>
          <cell r="BF31">
            <v>218212399</v>
          </cell>
          <cell r="BG31">
            <v>218068919</v>
          </cell>
          <cell r="BH31">
            <v>251883126</v>
          </cell>
          <cell r="BI31">
            <v>300425840</v>
          </cell>
          <cell r="BJ31">
            <v>303577891</v>
          </cell>
          <cell r="BK31">
            <v>265359424</v>
          </cell>
          <cell r="BL31">
            <v>211100441</v>
          </cell>
          <cell r="BM31">
            <v>205986967</v>
          </cell>
          <cell r="BN31">
            <v>264522271</v>
          </cell>
          <cell r="BO31">
            <v>291815734</v>
          </cell>
          <cell r="BP31">
            <v>291413887</v>
          </cell>
          <cell r="BQ31">
            <v>294374400</v>
          </cell>
          <cell r="BR31">
            <v>245524134</v>
          </cell>
          <cell r="BS31">
            <v>219607159</v>
          </cell>
          <cell r="BT31">
            <v>250528302</v>
          </cell>
          <cell r="BU31">
            <v>295412831</v>
          </cell>
          <cell r="BV31">
            <v>301068791</v>
          </cell>
          <cell r="BW31">
            <v>261058604</v>
          </cell>
          <cell r="BX31">
            <v>230949228</v>
          </cell>
          <cell r="BY31">
            <v>223998788</v>
          </cell>
          <cell r="BZ31">
            <v>260692423</v>
          </cell>
          <cell r="CA31">
            <v>312328749</v>
          </cell>
          <cell r="CB31">
            <v>305346654</v>
          </cell>
          <cell r="CC31">
            <v>279929276</v>
          </cell>
          <cell r="CD31">
            <v>230143220</v>
          </cell>
          <cell r="CQ31">
            <v>224485019</v>
          </cell>
          <cell r="CR31">
            <v>258087459</v>
          </cell>
          <cell r="CS31">
            <v>311334710</v>
          </cell>
          <cell r="CT31">
            <v>292542260</v>
          </cell>
          <cell r="CU31">
            <v>235940797</v>
          </cell>
          <cell r="CV31">
            <v>229085910</v>
          </cell>
          <cell r="CW31">
            <v>218207531</v>
          </cell>
          <cell r="CX31">
            <v>266604752</v>
          </cell>
          <cell r="CY31">
            <v>318705410</v>
          </cell>
          <cell r="CZ31">
            <v>299140757</v>
          </cell>
          <cell r="DA31">
            <v>291256399</v>
          </cell>
          <cell r="DB31">
            <v>245729806</v>
          </cell>
        </row>
        <row r="32">
          <cell r="P32">
            <v>562854773</v>
          </cell>
          <cell r="Q32">
            <v>578075204</v>
          </cell>
          <cell r="R32">
            <v>655641906</v>
          </cell>
          <cell r="S32">
            <v>714056556</v>
          </cell>
          <cell r="T32">
            <v>727381902</v>
          </cell>
          <cell r="U32">
            <v>685704779</v>
          </cell>
          <cell r="V32">
            <v>658415575</v>
          </cell>
          <cell r="W32">
            <v>591258230</v>
          </cell>
          <cell r="X32">
            <v>617045102</v>
          </cell>
          <cell r="Y32">
            <v>713223360</v>
          </cell>
          <cell r="Z32">
            <v>637748229</v>
          </cell>
          <cell r="AA32">
            <v>591995322</v>
          </cell>
          <cell r="AB32">
            <v>597309651</v>
          </cell>
          <cell r="AC32">
            <v>591787732</v>
          </cell>
          <cell r="AD32">
            <v>706111391</v>
          </cell>
          <cell r="AE32">
            <v>750019857</v>
          </cell>
          <cell r="AF32">
            <v>709167976</v>
          </cell>
          <cell r="AG32">
            <v>721543630</v>
          </cell>
          <cell r="AH32">
            <v>655717182</v>
          </cell>
          <cell r="AI32">
            <v>583325592</v>
          </cell>
          <cell r="AJ32">
            <v>635010680</v>
          </cell>
          <cell r="AK32">
            <v>645753087</v>
          </cell>
          <cell r="AL32">
            <v>624256369</v>
          </cell>
          <cell r="AM32">
            <v>599641261</v>
          </cell>
          <cell r="AN32">
            <v>546450417</v>
          </cell>
          <cell r="AO32">
            <v>548775486</v>
          </cell>
          <cell r="AP32">
            <v>609609142</v>
          </cell>
          <cell r="AQ32">
            <v>656813642</v>
          </cell>
          <cell r="AR32">
            <v>671886437</v>
          </cell>
          <cell r="AS32">
            <v>678219627</v>
          </cell>
          <cell r="AT32">
            <v>622550219</v>
          </cell>
          <cell r="AU32">
            <v>549600433</v>
          </cell>
          <cell r="AV32">
            <v>596432225</v>
          </cell>
          <cell r="AW32">
            <v>616923082</v>
          </cell>
          <cell r="AX32">
            <v>599527620</v>
          </cell>
          <cell r="AY32">
            <v>566693954</v>
          </cell>
          <cell r="AZ32">
            <v>483801855</v>
          </cell>
          <cell r="BA32">
            <v>451939609</v>
          </cell>
          <cell r="BB32">
            <v>534583835</v>
          </cell>
          <cell r="BC32">
            <v>624356693</v>
          </cell>
          <cell r="BD32">
            <v>621885740</v>
          </cell>
          <cell r="BE32">
            <v>619148163</v>
          </cell>
          <cell r="BF32">
            <v>528448107.69999999</v>
          </cell>
          <cell r="BG32">
            <v>514648084</v>
          </cell>
          <cell r="BH32">
            <v>553120787</v>
          </cell>
          <cell r="BI32">
            <v>592823385</v>
          </cell>
          <cell r="BJ32">
            <v>585712392</v>
          </cell>
          <cell r="BK32">
            <v>543642088</v>
          </cell>
          <cell r="BL32">
            <v>483262229</v>
          </cell>
          <cell r="BM32">
            <v>492375125.19999999</v>
          </cell>
          <cell r="BN32">
            <v>586671915</v>
          </cell>
          <cell r="BO32">
            <v>641235470</v>
          </cell>
          <cell r="BP32">
            <v>634777638</v>
          </cell>
          <cell r="BQ32">
            <v>647017474</v>
          </cell>
          <cell r="BR32">
            <v>568724491</v>
          </cell>
          <cell r="BS32">
            <v>505304455</v>
          </cell>
          <cell r="BT32">
            <v>552284069</v>
          </cell>
          <cell r="BU32">
            <v>590858313</v>
          </cell>
          <cell r="BV32">
            <v>582248455</v>
          </cell>
          <cell r="BW32">
            <v>534070902</v>
          </cell>
          <cell r="BX32">
            <v>506459043</v>
          </cell>
          <cell r="BY32">
            <v>516003997</v>
          </cell>
          <cell r="BZ32">
            <v>579943536</v>
          </cell>
          <cell r="CA32">
            <v>650768443</v>
          </cell>
          <cell r="CB32">
            <v>645110540</v>
          </cell>
          <cell r="CC32">
            <v>617464584</v>
          </cell>
          <cell r="CD32">
            <v>530232061</v>
          </cell>
          <cell r="CQ32">
            <v>496155566</v>
          </cell>
          <cell r="CR32">
            <v>533840032</v>
          </cell>
          <cell r="CS32">
            <v>585074116</v>
          </cell>
          <cell r="CT32">
            <v>530212754</v>
          </cell>
          <cell r="CU32">
            <v>493196594</v>
          </cell>
          <cell r="CV32">
            <v>492216077</v>
          </cell>
          <cell r="CW32">
            <v>494860364</v>
          </cell>
          <cell r="CX32">
            <v>560458750</v>
          </cell>
          <cell r="CY32">
            <v>632894485</v>
          </cell>
          <cell r="CZ32">
            <v>593928493</v>
          </cell>
          <cell r="DA32">
            <v>594218359</v>
          </cell>
          <cell r="DB32">
            <v>530006142</v>
          </cell>
        </row>
        <row r="33">
          <cell r="P33">
            <v>262317859</v>
          </cell>
          <cell r="Q33">
            <v>265729533</v>
          </cell>
          <cell r="R33">
            <v>305383990</v>
          </cell>
          <cell r="S33">
            <v>299141306</v>
          </cell>
          <cell r="T33">
            <v>315582091</v>
          </cell>
          <cell r="U33">
            <v>303646750</v>
          </cell>
          <cell r="V33">
            <v>297206861</v>
          </cell>
          <cell r="W33">
            <v>267769856</v>
          </cell>
          <cell r="X33">
            <v>280403761</v>
          </cell>
          <cell r="Y33">
            <v>308993823</v>
          </cell>
          <cell r="Z33">
            <v>274104685</v>
          </cell>
          <cell r="AA33">
            <v>272372147</v>
          </cell>
          <cell r="AB33">
            <v>251417733</v>
          </cell>
          <cell r="AC33">
            <v>289575324</v>
          </cell>
          <cell r="AD33">
            <v>314032531</v>
          </cell>
          <cell r="AE33">
            <v>325203026</v>
          </cell>
          <cell r="AF33">
            <v>319660753</v>
          </cell>
          <cell r="AG33">
            <v>311095874</v>
          </cell>
          <cell r="AH33">
            <v>289535965</v>
          </cell>
          <cell r="AI33">
            <v>271491896</v>
          </cell>
          <cell r="AJ33">
            <v>291933586</v>
          </cell>
          <cell r="AK33">
            <v>252980562</v>
          </cell>
          <cell r="AL33">
            <v>248710812</v>
          </cell>
          <cell r="AM33">
            <v>242499726</v>
          </cell>
          <cell r="AN33">
            <v>232539680</v>
          </cell>
          <cell r="AO33">
            <v>229224298</v>
          </cell>
          <cell r="AP33">
            <v>266349220</v>
          </cell>
          <cell r="AQ33">
            <v>267674678</v>
          </cell>
          <cell r="AR33">
            <v>281003685</v>
          </cell>
          <cell r="AS33">
            <v>279302255</v>
          </cell>
          <cell r="AT33">
            <v>258807768</v>
          </cell>
          <cell r="AU33">
            <v>239334214</v>
          </cell>
          <cell r="AV33">
            <v>241025466</v>
          </cell>
          <cell r="AW33">
            <v>247898204</v>
          </cell>
          <cell r="AX33">
            <v>255420215</v>
          </cell>
          <cell r="AY33">
            <v>225135566</v>
          </cell>
          <cell r="AZ33">
            <v>219961316</v>
          </cell>
          <cell r="BA33">
            <v>207074154</v>
          </cell>
          <cell r="BB33">
            <v>241165089</v>
          </cell>
          <cell r="BC33">
            <v>253833450</v>
          </cell>
          <cell r="BD33">
            <v>266058831</v>
          </cell>
          <cell r="BE33">
            <v>266126792</v>
          </cell>
          <cell r="BF33">
            <v>236673642.40000001</v>
          </cell>
          <cell r="BG33">
            <v>234876378</v>
          </cell>
          <cell r="BH33">
            <v>245759481</v>
          </cell>
          <cell r="BI33">
            <v>241302585</v>
          </cell>
          <cell r="BJ33">
            <v>254211213</v>
          </cell>
          <cell r="BK33">
            <v>216207694</v>
          </cell>
          <cell r="BL33">
            <v>214809052</v>
          </cell>
          <cell r="BM33">
            <v>221576502.5</v>
          </cell>
          <cell r="BN33">
            <v>232417188</v>
          </cell>
          <cell r="BO33">
            <v>286577542</v>
          </cell>
          <cell r="BP33">
            <v>263115351</v>
          </cell>
          <cell r="BQ33">
            <v>266455046</v>
          </cell>
          <cell r="BR33">
            <v>230080105</v>
          </cell>
          <cell r="BS33">
            <v>200697530</v>
          </cell>
          <cell r="BT33">
            <v>263803028</v>
          </cell>
          <cell r="BU33">
            <v>254759231</v>
          </cell>
          <cell r="BV33">
            <v>236605471</v>
          </cell>
          <cell r="BW33">
            <v>220600472</v>
          </cell>
          <cell r="BX33">
            <v>227017145</v>
          </cell>
          <cell r="BY33">
            <v>225997805</v>
          </cell>
          <cell r="BZ33">
            <v>251076328</v>
          </cell>
          <cell r="CA33">
            <v>267504084</v>
          </cell>
          <cell r="CB33">
            <v>272015339</v>
          </cell>
          <cell r="CC33">
            <v>258297228</v>
          </cell>
          <cell r="CD33">
            <v>229178636</v>
          </cell>
          <cell r="CQ33">
            <v>219441539</v>
          </cell>
          <cell r="CR33">
            <v>218534163</v>
          </cell>
          <cell r="CS33">
            <v>232541184</v>
          </cell>
          <cell r="CT33">
            <v>222844092</v>
          </cell>
          <cell r="CU33">
            <v>216520104</v>
          </cell>
          <cell r="CV33">
            <v>207628128</v>
          </cell>
          <cell r="CW33">
            <v>217699925</v>
          </cell>
          <cell r="CX33">
            <v>237346838</v>
          </cell>
          <cell r="CY33">
            <v>254880958</v>
          </cell>
          <cell r="CZ33">
            <v>240871472</v>
          </cell>
          <cell r="DA33">
            <v>236345293</v>
          </cell>
          <cell r="DB33">
            <v>231951126</v>
          </cell>
        </row>
        <row r="34">
          <cell r="P34">
            <v>130771713</v>
          </cell>
          <cell r="Q34">
            <v>133006544</v>
          </cell>
          <cell r="R34">
            <v>158813593</v>
          </cell>
          <cell r="S34">
            <v>150211763</v>
          </cell>
          <cell r="T34">
            <v>166478792</v>
          </cell>
          <cell r="U34">
            <v>158634223</v>
          </cell>
          <cell r="V34">
            <v>151247524</v>
          </cell>
          <cell r="W34">
            <v>147830606</v>
          </cell>
          <cell r="X34">
            <v>132139915</v>
          </cell>
          <cell r="Y34">
            <v>134787267</v>
          </cell>
          <cell r="Z34">
            <v>125603697</v>
          </cell>
          <cell r="AA34">
            <v>125857767</v>
          </cell>
          <cell r="AB34">
            <v>119174583</v>
          </cell>
          <cell r="AC34">
            <v>136766539</v>
          </cell>
          <cell r="AD34">
            <v>151258088</v>
          </cell>
          <cell r="AE34">
            <v>155948179</v>
          </cell>
          <cell r="AF34">
            <v>160224923</v>
          </cell>
          <cell r="AG34">
            <v>150480926</v>
          </cell>
          <cell r="AH34">
            <v>148580162</v>
          </cell>
          <cell r="AI34">
            <v>139627995</v>
          </cell>
          <cell r="AJ34">
            <v>135972391</v>
          </cell>
          <cell r="AK34">
            <v>101960146</v>
          </cell>
          <cell r="AL34">
            <v>96075286</v>
          </cell>
          <cell r="AM34">
            <v>99309923</v>
          </cell>
          <cell r="AN34">
            <v>98876748</v>
          </cell>
          <cell r="AO34">
            <v>96480454</v>
          </cell>
          <cell r="AP34">
            <v>121526151</v>
          </cell>
          <cell r="AQ34">
            <v>113123855</v>
          </cell>
          <cell r="AR34">
            <v>125262874</v>
          </cell>
          <cell r="AS34">
            <v>126945040</v>
          </cell>
          <cell r="AT34">
            <v>119752379</v>
          </cell>
          <cell r="AU34">
            <v>106348532</v>
          </cell>
          <cell r="AV34">
            <v>100067076</v>
          </cell>
          <cell r="AW34">
            <v>105899561</v>
          </cell>
          <cell r="AX34">
            <v>111203176</v>
          </cell>
          <cell r="AY34">
            <v>86704807</v>
          </cell>
          <cell r="AZ34">
            <v>92097434</v>
          </cell>
          <cell r="BA34">
            <v>93506334</v>
          </cell>
          <cell r="BB34">
            <v>92139707</v>
          </cell>
          <cell r="BC34">
            <v>105110654</v>
          </cell>
          <cell r="BD34">
            <v>108265948</v>
          </cell>
          <cell r="BE34">
            <v>109806573</v>
          </cell>
          <cell r="BF34">
            <v>96724322.099999994</v>
          </cell>
          <cell r="BG34">
            <v>94866307</v>
          </cell>
          <cell r="BH34">
            <v>96874394</v>
          </cell>
          <cell r="BI34">
            <v>84244327</v>
          </cell>
          <cell r="BJ34">
            <v>112346620</v>
          </cell>
          <cell r="BK34">
            <v>50801494</v>
          </cell>
          <cell r="BL34">
            <v>85186767</v>
          </cell>
          <cell r="BM34">
            <v>94290468.700000003</v>
          </cell>
          <cell r="BN34">
            <v>96665030</v>
          </cell>
          <cell r="BO34">
            <v>111403127</v>
          </cell>
          <cell r="BP34">
            <v>106051211</v>
          </cell>
          <cell r="BQ34">
            <v>114673513</v>
          </cell>
          <cell r="BR34">
            <v>105106440</v>
          </cell>
          <cell r="BS34">
            <v>69778498</v>
          </cell>
          <cell r="BT34">
            <v>110311543</v>
          </cell>
          <cell r="BU34">
            <v>91160220</v>
          </cell>
          <cell r="BV34">
            <v>84926008</v>
          </cell>
          <cell r="BW34">
            <v>81012090</v>
          </cell>
          <cell r="BX34">
            <v>85726323</v>
          </cell>
          <cell r="BY34">
            <v>71350428</v>
          </cell>
          <cell r="BZ34">
            <v>86976917</v>
          </cell>
          <cell r="CA34">
            <v>99783323</v>
          </cell>
          <cell r="CB34">
            <v>98663196</v>
          </cell>
          <cell r="CC34">
            <v>102858299</v>
          </cell>
          <cell r="CD34">
            <v>88364839</v>
          </cell>
          <cell r="CQ34">
            <v>85657578</v>
          </cell>
          <cell r="CR34">
            <v>96441503</v>
          </cell>
          <cell r="CS34">
            <v>86731223</v>
          </cell>
          <cell r="CT34">
            <v>77476531</v>
          </cell>
          <cell r="CU34">
            <v>59042973</v>
          </cell>
          <cell r="CV34">
            <v>57210973</v>
          </cell>
          <cell r="CW34">
            <v>69610474</v>
          </cell>
          <cell r="CX34">
            <v>70581627</v>
          </cell>
          <cell r="CY34">
            <v>81457799</v>
          </cell>
          <cell r="CZ34">
            <v>80264416</v>
          </cell>
          <cell r="DA34">
            <v>70127730</v>
          </cell>
          <cell r="DB34">
            <v>70045643</v>
          </cell>
        </row>
        <row r="41">
          <cell r="DC41">
            <v>4.1097239407801085E-2</v>
          </cell>
        </row>
      </sheetData>
      <sheetData sheetId="3">
        <row r="84">
          <cell r="AP84">
            <v>2419897.69</v>
          </cell>
          <cell r="BN84">
            <v>1774241.62</v>
          </cell>
          <cell r="BO84">
            <v>5703445.4899999993</v>
          </cell>
          <cell r="BP84">
            <v>3980509.310000001</v>
          </cell>
          <cell r="BQ84">
            <v>1229751.8400000005</v>
          </cell>
          <cell r="BR84">
            <v>1560192.2500000002</v>
          </cell>
          <cell r="BS84">
            <v>1237694.96</v>
          </cell>
          <cell r="BT84">
            <v>1768567.6000000003</v>
          </cell>
          <cell r="BU84">
            <v>2649432.73</v>
          </cell>
          <cell r="BV84">
            <v>2423210.7200000002</v>
          </cell>
          <cell r="BW84">
            <v>3149556.2399999993</v>
          </cell>
          <cell r="BX84">
            <v>229081.48000000007</v>
          </cell>
          <cell r="BY84">
            <v>2209613.11</v>
          </cell>
        </row>
        <row r="85">
          <cell r="BN85">
            <v>1087242.5900000001</v>
          </cell>
          <cell r="BO85">
            <v>15225471.890000002</v>
          </cell>
          <cell r="BP85">
            <v>-1097258.5499999998</v>
          </cell>
          <cell r="BQ85">
            <v>703520.42</v>
          </cell>
          <cell r="BR85">
            <v>684035.7</v>
          </cell>
          <cell r="BS85">
            <v>1084211.82</v>
          </cell>
          <cell r="BT85">
            <v>1150201.71</v>
          </cell>
          <cell r="BU85">
            <v>1390610.98</v>
          </cell>
          <cell r="BV85">
            <v>1102566.8</v>
          </cell>
          <cell r="BW85">
            <v>1894343.3600000003</v>
          </cell>
          <cell r="BX85">
            <v>2470610.5700000008</v>
          </cell>
          <cell r="BY85">
            <v>2617622.7599999998</v>
          </cell>
        </row>
        <row r="86">
          <cell r="BN86">
            <v>540971.29</v>
          </cell>
          <cell r="BO86">
            <v>2107349.1199999996</v>
          </cell>
          <cell r="BP86">
            <v>35595.000000000073</v>
          </cell>
          <cell r="BQ86">
            <v>355463.42000000004</v>
          </cell>
          <cell r="BR86">
            <v>1367481.26</v>
          </cell>
          <cell r="BS86">
            <v>1881361.64</v>
          </cell>
          <cell r="BT86">
            <v>1521678.75</v>
          </cell>
          <cell r="BU86">
            <v>1672550.09</v>
          </cell>
          <cell r="BV86">
            <v>1431097.3900000001</v>
          </cell>
          <cell r="BW86">
            <v>1262805.02</v>
          </cell>
          <cell r="BX86">
            <v>1868674.73</v>
          </cell>
          <cell r="BY86">
            <v>1430613.54</v>
          </cell>
        </row>
        <row r="87">
          <cell r="BN87">
            <v>32886.94</v>
          </cell>
          <cell r="BO87">
            <v>110198.73</v>
          </cell>
          <cell r="BP87">
            <v>-477.84999999999854</v>
          </cell>
          <cell r="BQ87">
            <v>36512.32</v>
          </cell>
          <cell r="BR87">
            <v>136922.94</v>
          </cell>
          <cell r="BS87">
            <v>54610.61</v>
          </cell>
          <cell r="BT87">
            <v>97324.04</v>
          </cell>
          <cell r="BU87">
            <v>148825.06</v>
          </cell>
          <cell r="BV87">
            <v>74106.570000000007</v>
          </cell>
          <cell r="BW87">
            <v>66389.62</v>
          </cell>
          <cell r="BX87">
            <v>31890.61</v>
          </cell>
          <cell r="BY87">
            <v>113206.44</v>
          </cell>
        </row>
      </sheetData>
      <sheetData sheetId="4"/>
      <sheetData sheetId="5">
        <row r="10">
          <cell r="B10">
            <v>-60467.71</v>
          </cell>
          <cell r="D10">
            <v>-124.32999999999993</v>
          </cell>
        </row>
      </sheetData>
      <sheetData sheetId="6">
        <row r="6">
          <cell r="BD6">
            <v>-1775315.6199999985</v>
          </cell>
          <cell r="BE6">
            <v>-2472791.1100000008</v>
          </cell>
          <cell r="BF6">
            <v>-3236653.750000007</v>
          </cell>
          <cell r="BG6">
            <v>-3255785.8</v>
          </cell>
          <cell r="BH6">
            <v>-2554668.2700000065</v>
          </cell>
          <cell r="BI6">
            <v>-2349888.0700000064</v>
          </cell>
          <cell r="BJ6">
            <v>-2131590.8300000052</v>
          </cell>
          <cell r="BK6">
            <v>-2908421.5700000059</v>
          </cell>
          <cell r="BL6">
            <v>-3886063.9200000106</v>
          </cell>
          <cell r="BM6">
            <v>-3542001.860000005</v>
          </cell>
          <cell r="BN6">
            <v>-3363674.4300000076</v>
          </cell>
          <cell r="BO6">
            <v>-2456888.8400000036</v>
          </cell>
        </row>
        <row r="7">
          <cell r="BD7">
            <v>-557705.97000000079</v>
          </cell>
          <cell r="BE7">
            <v>-641233.05000000086</v>
          </cell>
          <cell r="BF7">
            <v>-773207.86</v>
          </cell>
          <cell r="BG7">
            <v>-743074.0600000011</v>
          </cell>
          <cell r="BH7">
            <v>-621155.89999999932</v>
          </cell>
          <cell r="BI7">
            <v>-603356.46999999974</v>
          </cell>
          <cell r="BJ7">
            <v>-574697.34999999881</v>
          </cell>
          <cell r="BK7">
            <v>-702201.80999999971</v>
          </cell>
          <cell r="BL7">
            <v>-835049.03</v>
          </cell>
          <cell r="BM7">
            <v>-787932.16000000027</v>
          </cell>
          <cell r="BN7">
            <v>-767128.09000000078</v>
          </cell>
          <cell r="BO7">
            <v>-647225.3800000021</v>
          </cell>
        </row>
        <row r="8">
          <cell r="BD8">
            <v>-1299465.7799999998</v>
          </cell>
          <cell r="BE8">
            <v>-1392319.5499999996</v>
          </cell>
          <cell r="BF8">
            <v>-1525019.3300000008</v>
          </cell>
          <cell r="BG8">
            <v>-1384336.6000000006</v>
          </cell>
          <cell r="BH8">
            <v>-1286125.1900000004</v>
          </cell>
          <cell r="BI8">
            <v>-1283547.9199999995</v>
          </cell>
          <cell r="BJ8">
            <v>-1290454.3900000008</v>
          </cell>
          <cell r="BK8">
            <v>-1461538.29</v>
          </cell>
          <cell r="BL8">
            <v>-1639959.0799999998</v>
          </cell>
          <cell r="BM8">
            <v>-1548876.7199999993</v>
          </cell>
          <cell r="BN8">
            <v>-1549629.8099999998</v>
          </cell>
          <cell r="BO8">
            <v>-1382179.4899999995</v>
          </cell>
        </row>
        <row r="9">
          <cell r="BD9">
            <v>-594352.00999999978</v>
          </cell>
          <cell r="BE9">
            <v>-584360.65000000014</v>
          </cell>
          <cell r="BF9">
            <v>-613448.77000000014</v>
          </cell>
          <cell r="BG9">
            <v>-593027.7699999999</v>
          </cell>
          <cell r="BH9">
            <v>-569780.88</v>
          </cell>
          <cell r="BI9">
            <v>-546060.61</v>
          </cell>
          <cell r="BJ9">
            <v>-572550.80999999971</v>
          </cell>
          <cell r="BK9">
            <v>-624222.3600000001</v>
          </cell>
          <cell r="BL9">
            <v>-521677.19000000006</v>
          </cell>
          <cell r="BM9">
            <v>-633492.18000000017</v>
          </cell>
          <cell r="BN9">
            <v>-621588.12999999977</v>
          </cell>
          <cell r="BO9">
            <v>-610031.38</v>
          </cell>
        </row>
        <row r="10">
          <cell r="BD10">
            <v>-249349.24000000008</v>
          </cell>
          <cell r="BE10">
            <v>-280741.27000000008</v>
          </cell>
          <cell r="BF10">
            <v>-202295.83</v>
          </cell>
          <cell r="BG10">
            <v>-181674.2</v>
          </cell>
          <cell r="BH10">
            <v>-158223.86000000002</v>
          </cell>
          <cell r="BI10">
            <v>-153268.18</v>
          </cell>
          <cell r="BJ10">
            <v>-186486.40000000002</v>
          </cell>
          <cell r="BK10">
            <v>-189088.19</v>
          </cell>
          <cell r="BL10">
            <v>-218225.40999999995</v>
          </cell>
          <cell r="BM10">
            <v>-215028.41</v>
          </cell>
          <cell r="BN10">
            <v>-187872.19999999998</v>
          </cell>
          <cell r="BO10">
            <v>-187652.27000000005</v>
          </cell>
        </row>
      </sheetData>
      <sheetData sheetId="7">
        <row r="7">
          <cell r="BD7">
            <v>-78263.01999999999</v>
          </cell>
          <cell r="BE7">
            <v>-115069.90999999999</v>
          </cell>
          <cell r="BF7">
            <v>-150101.47000000006</v>
          </cell>
          <cell r="BG7">
            <v>-156751.58000000002</v>
          </cell>
          <cell r="BH7">
            <v>-125133.19000000002</v>
          </cell>
          <cell r="BI7">
            <v>-111725.12</v>
          </cell>
          <cell r="BJ7">
            <v>-92310.48</v>
          </cell>
          <cell r="BK7">
            <v>-113682.01</v>
          </cell>
          <cell r="BL7">
            <v>-151244.02000000002</v>
          </cell>
          <cell r="BM7">
            <v>-138140.38</v>
          </cell>
          <cell r="BN7">
            <v>-129974.18999999999</v>
          </cell>
          <cell r="BO7">
            <v>-98499.439999999988</v>
          </cell>
        </row>
      </sheetData>
      <sheetData sheetId="8">
        <row r="68">
          <cell r="W68">
            <v>68780.490000000005</v>
          </cell>
        </row>
        <row r="69">
          <cell r="W69">
            <v>-13204.81</v>
          </cell>
        </row>
        <row r="70">
          <cell r="W70">
            <v>2522.0300000000002</v>
          </cell>
        </row>
        <row r="71">
          <cell r="W71">
            <v>19706.810000000001</v>
          </cell>
        </row>
        <row r="72">
          <cell r="W72">
            <v>26504.9</v>
          </cell>
        </row>
        <row r="73">
          <cell r="W73">
            <v>30084.34</v>
          </cell>
        </row>
        <row r="74">
          <cell r="W74">
            <v>31163.759999999998</v>
          </cell>
        </row>
        <row r="75">
          <cell r="W75">
            <v>31775.73</v>
          </cell>
        </row>
        <row r="76">
          <cell r="W76">
            <v>41715.14</v>
          </cell>
        </row>
        <row r="77">
          <cell r="W77">
            <v>43420.71</v>
          </cell>
        </row>
        <row r="78">
          <cell r="W78">
            <v>49948.73</v>
          </cell>
        </row>
        <row r="79">
          <cell r="W79">
            <v>42245.9</v>
          </cell>
        </row>
      </sheetData>
      <sheetData sheetId="9"/>
      <sheetData sheetId="10"/>
      <sheetData sheetId="11"/>
      <sheetData sheetId="12">
        <row r="7">
          <cell r="CN7">
            <v>-12652.239999999994</v>
          </cell>
          <cell r="CO7">
            <v>-17636.480000000032</v>
          </cell>
          <cell r="CP7">
            <v>-23087.030000000035</v>
          </cell>
        </row>
        <row r="8">
          <cell r="CN8">
            <v>-4218.810000000004</v>
          </cell>
          <cell r="CO8">
            <v>-4872.9000000000033</v>
          </cell>
          <cell r="CP8">
            <v>-5883.7200000000039</v>
          </cell>
        </row>
        <row r="9">
          <cell r="CN9">
            <v>-3484.9999999999986</v>
          </cell>
          <cell r="CO9">
            <v>-3454.2799999999997</v>
          </cell>
          <cell r="CP9">
            <v>-4096.0199999999995</v>
          </cell>
        </row>
        <row r="10">
          <cell r="CN10">
            <v>-889.04</v>
          </cell>
          <cell r="CO10">
            <v>-874.10000000000014</v>
          </cell>
          <cell r="CP10">
            <v>-923.35</v>
          </cell>
        </row>
      </sheetData>
      <sheetData sheetId="13">
        <row r="6">
          <cell r="BD6">
            <v>-653625.79</v>
          </cell>
          <cell r="BE6">
            <v>-910434.22</v>
          </cell>
          <cell r="BF6">
            <v>-1191729.8599999992</v>
          </cell>
          <cell r="BG6">
            <v>-902975.12999999896</v>
          </cell>
          <cell r="BH6">
            <v>-301871.3200000003</v>
          </cell>
          <cell r="BI6">
            <v>-270897.64000000019</v>
          </cell>
          <cell r="BJ6">
            <v>-245579.13000000018</v>
          </cell>
          <cell r="BK6">
            <v>-335264.72000000038</v>
          </cell>
          <cell r="BL6">
            <v>-448247.77000000014</v>
          </cell>
          <cell r="BM6">
            <v>-408404.26</v>
          </cell>
          <cell r="BN6">
            <v>-387762.56999999983</v>
          </cell>
          <cell r="BO6">
            <v>-283021.01999999996</v>
          </cell>
        </row>
        <row r="7">
          <cell r="BD7">
            <v>-124505.35000000008</v>
          </cell>
          <cell r="BE7">
            <v>-143114.57999999967</v>
          </cell>
          <cell r="BF7">
            <v>-172661.9399999998</v>
          </cell>
          <cell r="BG7">
            <v>-182184.4699999998</v>
          </cell>
          <cell r="BH7">
            <v>-166367.26999999993</v>
          </cell>
          <cell r="BI7">
            <v>-161733.90000000005</v>
          </cell>
          <cell r="BJ7">
            <v>-154028.50999999998</v>
          </cell>
          <cell r="BK7">
            <v>-188258.76999999987</v>
          </cell>
          <cell r="BL7">
            <v>-225103.89999999997</v>
          </cell>
          <cell r="BM7">
            <v>-211259.27000000022</v>
          </cell>
          <cell r="BN7">
            <v>-205684.71999999997</v>
          </cell>
          <cell r="BO7">
            <v>-173502.17999999996</v>
          </cell>
        </row>
        <row r="8">
          <cell r="BD8">
            <v>-765733.92</v>
          </cell>
          <cell r="BE8">
            <v>-816557.83999999973</v>
          </cell>
          <cell r="BF8">
            <v>-899820.36999999988</v>
          </cell>
          <cell r="BG8">
            <v>-678121.61999999953</v>
          </cell>
          <cell r="BH8">
            <v>-394853.95999999996</v>
          </cell>
          <cell r="BI8">
            <v>-390347.84000000026</v>
          </cell>
          <cell r="BJ8">
            <v>-392311.86000000004</v>
          </cell>
          <cell r="BK8">
            <v>-444401.89</v>
          </cell>
          <cell r="BL8">
            <v>-501845.24000000011</v>
          </cell>
          <cell r="BM8">
            <v>-470958.4699999998</v>
          </cell>
          <cell r="BN8">
            <v>-471187.06999999989</v>
          </cell>
          <cell r="BO8">
            <v>-420272.20999999985</v>
          </cell>
        </row>
        <row r="9">
          <cell r="BD9">
            <v>-202710.94999999998</v>
          </cell>
          <cell r="BE9">
            <v>-199303.11000000002</v>
          </cell>
          <cell r="BF9">
            <v>-210550.35000000006</v>
          </cell>
          <cell r="BG9">
            <v>-168623.56000000006</v>
          </cell>
          <cell r="BH9">
            <v>-84037.779999999955</v>
          </cell>
          <cell r="BI9">
            <v>-76596.08</v>
          </cell>
          <cell r="BJ9">
            <v>-80331.309999999983</v>
          </cell>
          <cell r="BK9">
            <v>-87580.989999999991</v>
          </cell>
          <cell r="BL9">
            <v>-94051.099999999991</v>
          </cell>
          <cell r="BM9">
            <v>-88881.490000000034</v>
          </cell>
          <cell r="BN9">
            <v>-87211.459999999992</v>
          </cell>
          <cell r="BO9">
            <v>-85590.090000000055</v>
          </cell>
        </row>
        <row r="10">
          <cell r="BD10">
            <v>-28952.260000000006</v>
          </cell>
          <cell r="BE10">
            <v>-32597.200000000004</v>
          </cell>
          <cell r="BF10">
            <v>-28562.539999999997</v>
          </cell>
          <cell r="BG10">
            <v>-20444.850000000002</v>
          </cell>
          <cell r="BH10">
            <v>-14661.1</v>
          </cell>
          <cell r="BI10">
            <v>-14188.33</v>
          </cell>
          <cell r="BJ10">
            <v>-17263.419999999998</v>
          </cell>
          <cell r="BK10">
            <v>-17504.250000000004</v>
          </cell>
          <cell r="BL10">
            <v>-20201.560000000001</v>
          </cell>
          <cell r="BM10">
            <v>-19905.560000000001</v>
          </cell>
          <cell r="BN10">
            <v>-17391.68</v>
          </cell>
          <cell r="BO10">
            <v>-17371.310000000001</v>
          </cell>
        </row>
      </sheetData>
      <sheetData sheetId="14">
        <row r="5">
          <cell r="CC5">
            <v>-561.49999999999989</v>
          </cell>
          <cell r="CD5">
            <v>-824.4</v>
          </cell>
          <cell r="CE5">
            <v>-1074.04</v>
          </cell>
        </row>
      </sheetData>
      <sheetData sheetId="15">
        <row r="7">
          <cell r="BD7">
            <v>-28828.210000000003</v>
          </cell>
          <cell r="BE7">
            <v>-42384.13</v>
          </cell>
          <cell r="BF7">
            <v>-55287.310000000005</v>
          </cell>
          <cell r="BG7">
            <v>-45208.590000000004</v>
          </cell>
          <cell r="BH7">
            <v>-15001.789999999997</v>
          </cell>
          <cell r="BI7">
            <v>-12897.53</v>
          </cell>
          <cell r="BJ7">
            <v>-10642.49</v>
          </cell>
          <cell r="BK7">
            <v>-13111.119999999997</v>
          </cell>
          <cell r="BL7">
            <v>-17456.84</v>
          </cell>
          <cell r="BM7">
            <v>-15939.500000000004</v>
          </cell>
          <cell r="BN7">
            <v>-14994.950000000003</v>
          </cell>
          <cell r="BO7">
            <v>-11357.540000000003</v>
          </cell>
        </row>
      </sheetData>
      <sheetData sheetId="16">
        <row r="102">
          <cell r="W102">
            <v>-597.16999999999996</v>
          </cell>
        </row>
        <row r="103">
          <cell r="W103">
            <v>-474.73</v>
          </cell>
        </row>
        <row r="104">
          <cell r="W104">
            <v>-310.02999999999997</v>
          </cell>
        </row>
      </sheetData>
      <sheetData sheetId="17">
        <row r="77">
          <cell r="W77">
            <v>2623.6</v>
          </cell>
        </row>
        <row r="78">
          <cell r="W78">
            <v>9669.65</v>
          </cell>
        </row>
        <row r="79">
          <cell r="W79">
            <v>17045</v>
          </cell>
        </row>
        <row r="80">
          <cell r="W80">
            <v>22880.59</v>
          </cell>
        </row>
        <row r="81">
          <cell r="W81">
            <v>24831.9</v>
          </cell>
        </row>
        <row r="82">
          <cell r="W82">
            <v>26921.59</v>
          </cell>
        </row>
        <row r="83">
          <cell r="W83">
            <v>27613.25</v>
          </cell>
        </row>
        <row r="84">
          <cell r="W84">
            <v>23650.09</v>
          </cell>
        </row>
        <row r="85">
          <cell r="W85">
            <v>17668.27</v>
          </cell>
        </row>
        <row r="86">
          <cell r="W86">
            <v>11474.51</v>
          </cell>
        </row>
        <row r="87">
          <cell r="W87">
            <v>8495.9699999999993</v>
          </cell>
        </row>
        <row r="88">
          <cell r="W88">
            <v>8870.27</v>
          </cell>
        </row>
      </sheetData>
      <sheetData sheetId="18"/>
      <sheetData sheetId="19">
        <row r="41">
          <cell r="F41">
            <v>4073.1120319161564</v>
          </cell>
        </row>
      </sheetData>
      <sheetData sheetId="20">
        <row r="5">
          <cell r="B5">
            <v>11040509151.5189</v>
          </cell>
        </row>
        <row r="6">
          <cell r="B6">
            <v>3194596149</v>
          </cell>
        </row>
        <row r="7">
          <cell r="B7">
            <v>6842679309</v>
          </cell>
        </row>
        <row r="8">
          <cell r="B8">
            <v>2915868381</v>
          </cell>
        </row>
        <row r="9">
          <cell r="B9">
            <v>1065733750</v>
          </cell>
        </row>
      </sheetData>
      <sheetData sheetId="21">
        <row r="41">
          <cell r="H41">
            <v>11298401.482485076</v>
          </cell>
        </row>
      </sheetData>
      <sheetData sheetId="22">
        <row r="5">
          <cell r="B5">
            <v>12946083609.424</v>
          </cell>
        </row>
        <row r="6">
          <cell r="B6">
            <v>3194596149</v>
          </cell>
        </row>
        <row r="7">
          <cell r="B7">
            <v>6842679309</v>
          </cell>
        </row>
        <row r="8">
          <cell r="B8">
            <v>2915868381</v>
          </cell>
        </row>
        <row r="9">
          <cell r="B9">
            <v>1065733750</v>
          </cell>
        </row>
      </sheetData>
      <sheetData sheetId="23">
        <row r="14">
          <cell r="K14">
            <v>366491.70580342977</v>
          </cell>
        </row>
        <row r="15">
          <cell r="K15">
            <v>106045.1991780656</v>
          </cell>
        </row>
        <row r="16">
          <cell r="K16">
            <v>227143.98202153886</v>
          </cell>
        </row>
        <row r="17">
          <cell r="K17">
            <v>96792.780313393101</v>
          </cell>
        </row>
        <row r="18">
          <cell r="K18">
            <v>35377.225326247884</v>
          </cell>
        </row>
        <row r="34">
          <cell r="K34">
            <v>468682.42858043453</v>
          </cell>
        </row>
        <row r="35">
          <cell r="K35">
            <v>114518.53969547611</v>
          </cell>
        </row>
        <row r="36">
          <cell r="K36">
            <v>248899.9565739058</v>
          </cell>
        </row>
        <row r="37">
          <cell r="K37">
            <v>105304.43813358348</v>
          </cell>
        </row>
        <row r="38">
          <cell r="K38">
            <v>41552.063016860156</v>
          </cell>
        </row>
      </sheetData>
      <sheetData sheetId="24">
        <row r="5">
          <cell r="AI5">
            <v>-289918.6999999999</v>
          </cell>
          <cell r="AJ5">
            <v>-403824.4200000001</v>
          </cell>
          <cell r="AK5">
            <v>-528599.26000000036</v>
          </cell>
          <cell r="AL5">
            <v>-473866.94000000035</v>
          </cell>
          <cell r="AM5">
            <v>-298136.36999999965</v>
          </cell>
          <cell r="AN5">
            <v>-273020.14000000007</v>
          </cell>
          <cell r="AO5">
            <v>-247634.80000000002</v>
          </cell>
          <cell r="AP5">
            <v>-337889.81999999983</v>
          </cell>
          <cell r="AQ5">
            <v>-451516.41000000015</v>
          </cell>
          <cell r="AR5">
            <v>-411517.37999999966</v>
          </cell>
          <cell r="AS5">
            <v>-390791.12</v>
          </cell>
          <cell r="AT5">
            <v>-285414.12000000005</v>
          </cell>
        </row>
        <row r="6">
          <cell r="AI6">
            <v>-91719.4</v>
          </cell>
          <cell r="AJ6">
            <v>-105466.46999999999</v>
          </cell>
          <cell r="AK6">
            <v>-127220.65999999987</v>
          </cell>
          <cell r="AL6">
            <v>-118040.32000000011</v>
          </cell>
          <cell r="AM6">
            <v>-93155.410000000105</v>
          </cell>
          <cell r="AN6">
            <v>-90429.430000000109</v>
          </cell>
          <cell r="AO6">
            <v>-86140.210000000094</v>
          </cell>
          <cell r="AP6">
            <v>-105251.46999999997</v>
          </cell>
          <cell r="AQ6">
            <v>-125834.89000000001</v>
          </cell>
          <cell r="AR6">
            <v>-118108.13000000014</v>
          </cell>
          <cell r="AS6">
            <v>-114984.3899999999</v>
          </cell>
          <cell r="AT6">
            <v>-97011.459999999977</v>
          </cell>
        </row>
        <row r="7">
          <cell r="AI7">
            <v>-207118.64</v>
          </cell>
          <cell r="AJ7">
            <v>-221798.39999999991</v>
          </cell>
          <cell r="AK7">
            <v>-243385.30999999985</v>
          </cell>
          <cell r="AL7">
            <v>-221790.97999999995</v>
          </cell>
          <cell r="AM7">
            <v>-207579.39000000004</v>
          </cell>
          <cell r="AN7">
            <v>-207197.52</v>
          </cell>
          <cell r="AO7">
            <v>-208313.58999999994</v>
          </cell>
          <cell r="AP7">
            <v>-235930.21000000002</v>
          </cell>
          <cell r="AQ7">
            <v>-266427.14999999991</v>
          </cell>
          <cell r="AR7">
            <v>-250028.2</v>
          </cell>
          <cell r="AS7">
            <v>-250151.02000000011</v>
          </cell>
          <cell r="AT7">
            <v>-223120.15999999997</v>
          </cell>
        </row>
        <row r="8">
          <cell r="AI8">
            <v>-94242.790000000008</v>
          </cell>
          <cell r="AJ8">
            <v>-92658.32</v>
          </cell>
          <cell r="AK8">
            <v>-97887.490000000034</v>
          </cell>
          <cell r="AL8">
            <v>-94614.37</v>
          </cell>
          <cell r="AM8">
            <v>-92222.27</v>
          </cell>
          <cell r="AN8">
            <v>-88449.540000000023</v>
          </cell>
          <cell r="AO8">
            <v>-92740.140000000029</v>
          </cell>
          <cell r="AP8">
            <v>-101109.7</v>
          </cell>
          <cell r="AQ8">
            <v>-108579.32000000005</v>
          </cell>
          <cell r="AR8">
            <v>-102611.09999999999</v>
          </cell>
          <cell r="AS8">
            <v>-100683</v>
          </cell>
          <cell r="AT8">
            <v>-98811.169999999955</v>
          </cell>
        </row>
        <row r="9">
          <cell r="AI9">
            <v>-51223.240000000005</v>
          </cell>
          <cell r="AJ9">
            <v>-57672.029999999992</v>
          </cell>
          <cell r="AK9">
            <v>-50533.69999999999</v>
          </cell>
          <cell r="AL9">
            <v>-37615.89</v>
          </cell>
          <cell r="AM9">
            <v>-34189.75</v>
          </cell>
          <cell r="AN9">
            <v>-33125.15</v>
          </cell>
          <cell r="AO9">
            <v>-40304.490000000005</v>
          </cell>
          <cell r="AP9">
            <v>-40866.759999999995</v>
          </cell>
          <cell r="AQ9">
            <v>-47164.060000000005</v>
          </cell>
          <cell r="AR9">
            <v>-46473.07</v>
          </cell>
          <cell r="AS9">
            <v>-40603.939999999995</v>
          </cell>
          <cell r="AT9">
            <v>-40556.429999999993</v>
          </cell>
        </row>
      </sheetData>
      <sheetData sheetId="25">
        <row r="7">
          <cell r="AI7">
            <v>-12786.539999999997</v>
          </cell>
          <cell r="AJ7">
            <v>-18799.95</v>
          </cell>
          <cell r="AK7">
            <v>-24523.609999999997</v>
          </cell>
          <cell r="AL7">
            <v>-23134.709999999995</v>
          </cell>
          <cell r="AM7">
            <v>-14651.699999999999</v>
          </cell>
          <cell r="AN7">
            <v>-12992.95</v>
          </cell>
          <cell r="AO7">
            <v>-10735.099999999997</v>
          </cell>
          <cell r="AP7">
            <v>-13219.770000000002</v>
          </cell>
          <cell r="AQ7">
            <v>-17587.940000000002</v>
          </cell>
          <cell r="AR7">
            <v>-16064.160000000002</v>
          </cell>
          <cell r="AS7">
            <v>-15114.570000000002</v>
          </cell>
          <cell r="AT7">
            <v>-11453.330000000002</v>
          </cell>
        </row>
      </sheetData>
      <sheetData sheetId="26">
        <row r="40">
          <cell r="W40">
            <v>-549.30999999999995</v>
          </cell>
        </row>
        <row r="41">
          <cell r="W41">
            <v>-1001.73</v>
          </cell>
        </row>
        <row r="42">
          <cell r="W42">
            <v>-667.89</v>
          </cell>
        </row>
        <row r="43">
          <cell r="W43">
            <v>-159.56</v>
          </cell>
        </row>
        <row r="44">
          <cell r="W44">
            <v>-643.9</v>
          </cell>
        </row>
        <row r="45">
          <cell r="W45">
            <v>-1295.32</v>
          </cell>
        </row>
        <row r="46">
          <cell r="W46">
            <v>-2015.84</v>
          </cell>
        </row>
        <row r="47">
          <cell r="W47">
            <v>-2098.2199999999998</v>
          </cell>
        </row>
        <row r="48">
          <cell r="W48">
            <v>-1338.92</v>
          </cell>
        </row>
        <row r="49">
          <cell r="W49">
            <v>-891.71</v>
          </cell>
        </row>
        <row r="50">
          <cell r="W50">
            <v>-565.23</v>
          </cell>
        </row>
        <row r="51">
          <cell r="W51">
            <v>-886.66</v>
          </cell>
        </row>
      </sheetData>
      <sheetData sheetId="27"/>
      <sheetData sheetId="28"/>
      <sheetData sheetId="29"/>
      <sheetData sheetId="30">
        <row r="13">
          <cell r="R13">
            <v>-967.04033262850135</v>
          </cell>
        </row>
        <row r="14">
          <cell r="R14">
            <v>-182.06222458098637</v>
          </cell>
        </row>
        <row r="15">
          <cell r="R15">
            <v>-402.54591301473556</v>
          </cell>
        </row>
        <row r="16">
          <cell r="R16">
            <v>-172.21957146528257</v>
          </cell>
        </row>
        <row r="17">
          <cell r="R17">
            <v>-69.441958310495465</v>
          </cell>
        </row>
      </sheetData>
      <sheetData sheetId="31">
        <row r="5">
          <cell r="W5">
            <v>-9.6800000000000015</v>
          </cell>
          <cell r="X5">
            <v>-41.709999999999994</v>
          </cell>
          <cell r="Y5">
            <v>-206.73999999999995</v>
          </cell>
          <cell r="Z5">
            <v>-179.49000000000004</v>
          </cell>
          <cell r="AA5">
            <v>-19.040000000000024</v>
          </cell>
          <cell r="AB5">
            <v>-10.550000000000006</v>
          </cell>
          <cell r="AC5">
            <v>-10.289999999999997</v>
          </cell>
          <cell r="AD5">
            <v>-25.070000000000022</v>
          </cell>
          <cell r="AE5">
            <v>-41.779999999999973</v>
          </cell>
          <cell r="AF5">
            <v>-29.370000000000015</v>
          </cell>
          <cell r="AG5">
            <v>-26.690000000000037</v>
          </cell>
          <cell r="AH5">
            <v>-13.089999999999998</v>
          </cell>
        </row>
        <row r="6">
          <cell r="W6">
            <v>0.61</v>
          </cell>
          <cell r="X6">
            <v>-0.31999999999999995</v>
          </cell>
          <cell r="Y6">
            <v>0.31000000000000005</v>
          </cell>
          <cell r="Z6">
            <v>-139.92999999999992</v>
          </cell>
          <cell r="AA6">
            <v>-368.04999999999933</v>
          </cell>
          <cell r="AB6">
            <v>-356.64999999999907</v>
          </cell>
          <cell r="AC6">
            <v>-339.21999999999895</v>
          </cell>
          <cell r="AD6">
            <v>-436.5199999999989</v>
          </cell>
          <cell r="AE6">
            <v>-542.50999999999874</v>
          </cell>
          <cell r="AF6">
            <v>-503.84999999999883</v>
          </cell>
          <cell r="AG6">
            <v>-486.46999999999883</v>
          </cell>
          <cell r="AH6">
            <v>-394.09999999999923</v>
          </cell>
        </row>
        <row r="7">
          <cell r="W7">
            <v>0.04</v>
          </cell>
          <cell r="X7">
            <v>31.9</v>
          </cell>
          <cell r="Y7">
            <v>0</v>
          </cell>
          <cell r="Z7">
            <v>-415.56</v>
          </cell>
          <cell r="AA7">
            <v>-973.74000000000024</v>
          </cell>
          <cell r="AB7">
            <v>-984.2299999999999</v>
          </cell>
          <cell r="AC7">
            <v>-989.42</v>
          </cell>
          <cell r="AD7">
            <v>-1120.79</v>
          </cell>
          <cell r="AE7">
            <v>-1265.6000000000001</v>
          </cell>
          <cell r="AF7">
            <v>-1187.7400000000009</v>
          </cell>
          <cell r="AG7">
            <v>-1188.0899999999997</v>
          </cell>
          <cell r="AH7">
            <v>-1059.4799999999998</v>
          </cell>
        </row>
        <row r="9">
          <cell r="W9">
            <v>171.34</v>
          </cell>
          <cell r="X9">
            <v>192.89999999999998</v>
          </cell>
          <cell r="Y9">
            <v>169</v>
          </cell>
          <cell r="Z9">
            <v>105.77</v>
          </cell>
          <cell r="AA9">
            <v>0.36</v>
          </cell>
        </row>
      </sheetData>
      <sheetData sheetId="32">
        <row r="7">
          <cell r="Y7">
            <v>-0.22999999999999998</v>
          </cell>
          <cell r="Z7">
            <v>-3.3999999999999995</v>
          </cell>
          <cell r="AA7">
            <v>-12.889999999999999</v>
          </cell>
          <cell r="AB7">
            <v>-12.399999999999999</v>
          </cell>
          <cell r="AC7">
            <v>-1.56</v>
          </cell>
          <cell r="AD7">
            <v>-0.51</v>
          </cell>
          <cell r="AE7">
            <v>-0.1</v>
          </cell>
          <cell r="AF7">
            <v>-0.12000000000000001</v>
          </cell>
          <cell r="AG7">
            <v>-0.47000000000000003</v>
          </cell>
          <cell r="AH7">
            <v>-0.23</v>
          </cell>
          <cell r="AI7">
            <v>-0.18999999999999997</v>
          </cell>
          <cell r="AJ7">
            <v>-6.0000000000000005E-2</v>
          </cell>
        </row>
      </sheetData>
      <sheetData sheetId="33">
        <row r="44">
          <cell r="W44">
            <v>-157.99</v>
          </cell>
        </row>
        <row r="45">
          <cell r="W45">
            <v>-159.27000000000001</v>
          </cell>
        </row>
        <row r="46">
          <cell r="W46">
            <v>-154.94999999999999</v>
          </cell>
        </row>
        <row r="47">
          <cell r="W47">
            <v>-152.79</v>
          </cell>
        </row>
        <row r="48">
          <cell r="W48">
            <v>-148.79</v>
          </cell>
        </row>
        <row r="49">
          <cell r="W49">
            <v>-145.24</v>
          </cell>
        </row>
        <row r="50">
          <cell r="W50">
            <v>-139.51</v>
          </cell>
        </row>
        <row r="51">
          <cell r="W51">
            <v>-134.43</v>
          </cell>
        </row>
        <row r="52">
          <cell r="W52">
            <v>-127.14</v>
          </cell>
        </row>
        <row r="53">
          <cell r="W53">
            <v>-119.36</v>
          </cell>
        </row>
        <row r="54">
          <cell r="W54">
            <v>-106.82</v>
          </cell>
        </row>
        <row r="55">
          <cell r="W55">
            <v>-93.88</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EIA 4 calcs"/>
      <sheetName val="M4 Allocations - TD"/>
      <sheetName val="MEEIA 3 calcs"/>
      <sheetName val="PAYS interest calculation"/>
      <sheetName val="MEEIA 3 adjs"/>
      <sheetName val="M3 Allocations - TD"/>
      <sheetName val="M3 TD amort"/>
      <sheetName val="MEEIA 2 calcs"/>
      <sheetName val="MEEIA 2 adjs"/>
      <sheetName val="M2 Allocations - TD"/>
      <sheetName val="M2 TD amort"/>
    </sheetNames>
    <sheetDataSet>
      <sheetData sheetId="0">
        <row r="10">
          <cell r="C10">
            <v>0</v>
          </cell>
          <cell r="D10">
            <v>0</v>
          </cell>
          <cell r="E10">
            <v>4190.67</v>
          </cell>
        </row>
        <row r="21">
          <cell r="C21">
            <v>0</v>
          </cell>
          <cell r="D21">
            <v>0</v>
          </cell>
          <cell r="E21">
            <v>7.0100000000000007</v>
          </cell>
        </row>
      </sheetData>
      <sheetData sheetId="1">
        <row r="23">
          <cell r="B23">
            <v>961721412.71587527</v>
          </cell>
          <cell r="C23">
            <v>1214824095.0295494</v>
          </cell>
          <cell r="D23">
            <v>1429524901.4319398</v>
          </cell>
        </row>
        <row r="24">
          <cell r="B24">
            <v>230556313.97548485</v>
          </cell>
          <cell r="C24">
            <v>275979565.87286288</v>
          </cell>
          <cell r="D24">
            <v>310395670.82745898</v>
          </cell>
        </row>
        <row r="25">
          <cell r="B25">
            <v>503402364.62291127</v>
          </cell>
          <cell r="C25">
            <v>553970107.07777035</v>
          </cell>
          <cell r="D25">
            <v>582129216.80663931</v>
          </cell>
        </row>
        <row r="26">
          <cell r="B26">
            <v>220932655.9857884</v>
          </cell>
          <cell r="C26">
            <v>233594424.1517618</v>
          </cell>
          <cell r="D26">
            <v>243692177.27010703</v>
          </cell>
        </row>
        <row r="27">
          <cell r="B27">
            <v>67785624.340276375</v>
          </cell>
          <cell r="C27">
            <v>67021875.10198836</v>
          </cell>
          <cell r="D27">
            <v>66767907.568719082</v>
          </cell>
        </row>
        <row r="31">
          <cell r="B31">
            <v>0</v>
          </cell>
          <cell r="C31">
            <v>0</v>
          </cell>
          <cell r="D31">
            <v>1676.0444770623374</v>
          </cell>
        </row>
        <row r="32">
          <cell r="B32">
            <v>0</v>
          </cell>
          <cell r="C32">
            <v>0</v>
          </cell>
          <cell r="D32">
            <v>6.9103690592109759</v>
          </cell>
        </row>
        <row r="33">
          <cell r="B33">
            <v>0</v>
          </cell>
          <cell r="C33">
            <v>0</v>
          </cell>
          <cell r="D33">
            <v>12.959999466356765</v>
          </cell>
        </row>
        <row r="34">
          <cell r="B34">
            <v>0</v>
          </cell>
          <cell r="C34">
            <v>0</v>
          </cell>
          <cell r="D34">
            <v>5.425342683710296</v>
          </cell>
        </row>
        <row r="35">
          <cell r="B35">
            <v>0</v>
          </cell>
          <cell r="C35">
            <v>0</v>
          </cell>
          <cell r="D35">
            <v>1.4864604309111322</v>
          </cell>
        </row>
        <row r="39">
          <cell r="P39">
            <v>850461.4832296127</v>
          </cell>
        </row>
        <row r="40">
          <cell r="P40">
            <v>98759.319825821323</v>
          </cell>
        </row>
        <row r="41">
          <cell r="P41">
            <v>505631.49478679895</v>
          </cell>
        </row>
        <row r="42">
          <cell r="P42">
            <v>164665.62000262106</v>
          </cell>
        </row>
        <row r="43">
          <cell r="P43">
            <v>30720.546477511649</v>
          </cell>
        </row>
      </sheetData>
      <sheetData sheetId="2">
        <row r="5">
          <cell r="AZ5">
            <v>-558.33848963666242</v>
          </cell>
        </row>
        <row r="9">
          <cell r="F9">
            <v>2.7878150000000001E-2</v>
          </cell>
          <cell r="G9">
            <v>2.6622739999999999E-2</v>
          </cell>
          <cell r="H9">
            <v>2.677361E-2</v>
          </cell>
          <cell r="I9">
            <v>2.6500570000000001E-2</v>
          </cell>
          <cell r="J9">
            <v>2.594869E-2</v>
          </cell>
          <cell r="K9">
            <v>2.3511899999999999E-2</v>
          </cell>
          <cell r="L9">
            <v>2.21687E-2</v>
          </cell>
          <cell r="M9">
            <v>2.113932E-2</v>
          </cell>
          <cell r="N9">
            <v>1.8159890000000001E-2</v>
          </cell>
          <cell r="O9">
            <v>1.9151990000000001E-2</v>
          </cell>
          <cell r="P9">
            <v>1.8890779999999999E-2</v>
          </cell>
          <cell r="Q9">
            <v>1.8035829999999999E-2</v>
          </cell>
          <cell r="R9">
            <v>1.888592E-2</v>
          </cell>
          <cell r="S9">
            <v>9.3845999999999999E-3</v>
          </cell>
          <cell r="T9">
            <v>1.2906700000000001E-3</v>
          </cell>
          <cell r="U9">
            <v>1.2563100000000001E-3</v>
          </cell>
          <cell r="V9">
            <v>1.9366299999999999E-3</v>
          </cell>
          <cell r="W9">
            <v>1.3658500000000001E-3</v>
          </cell>
          <cell r="X9">
            <v>1.23916E-3</v>
          </cell>
          <cell r="Y9">
            <v>2E-3</v>
          </cell>
          <cell r="Z9">
            <v>2.5244400000000002E-3</v>
          </cell>
          <cell r="AA9">
            <v>2.8469900000000002E-3</v>
          </cell>
          <cell r="AB9">
            <v>2.0613900000000002E-3</v>
          </cell>
          <cell r="AC9">
            <v>2.3221700000000001E-3</v>
          </cell>
          <cell r="AD9">
            <v>2.1367399999999998E-3</v>
          </cell>
          <cell r="AE9">
            <v>2.2512299999999999E-3</v>
          </cell>
          <cell r="AF9">
            <v>2.2427200000000001E-3</v>
          </cell>
          <cell r="AG9">
            <v>2.01659E-3</v>
          </cell>
          <cell r="AH9">
            <v>1.3954900000000001E-3</v>
          </cell>
          <cell r="AI9">
            <v>2.0509899999999999E-3</v>
          </cell>
          <cell r="AJ9">
            <v>1.9323299999999999E-3</v>
          </cell>
          <cell r="AK9">
            <v>1.5E-3</v>
          </cell>
          <cell r="AL9">
            <v>1.5320900000000001E-3</v>
          </cell>
          <cell r="AM9">
            <v>2.6046400000000001E-3</v>
          </cell>
          <cell r="AN9">
            <v>2.3444999999999998E-3</v>
          </cell>
          <cell r="AO9">
            <v>2.9584899999999998E-3</v>
          </cell>
          <cell r="AP9">
            <v>6.8829599999999996E-3</v>
          </cell>
          <cell r="AQ9">
            <v>6.0041599999999997E-3</v>
          </cell>
          <cell r="AR9">
            <v>9.4970499999999999E-3</v>
          </cell>
          <cell r="AS9">
            <v>1.4858659999999999E-2</v>
          </cell>
          <cell r="AT9">
            <v>2.0566899999999999E-2</v>
          </cell>
          <cell r="AU9">
            <v>2.564054E-2</v>
          </cell>
          <cell r="AV9">
            <v>2.8416960000000002E-2</v>
          </cell>
          <cell r="AW9">
            <v>3.4701200000000001E-2</v>
          </cell>
          <cell r="AX9">
            <v>4.286098E-2</v>
          </cell>
          <cell r="AY9">
            <v>4.617603E-2</v>
          </cell>
          <cell r="AZ9">
            <v>4.7842519999999999E-2</v>
          </cell>
          <cell r="BA9">
            <v>4.847945E-2</v>
          </cell>
          <cell r="BB9">
            <v>4.9894139999999997E-2</v>
          </cell>
          <cell r="BC9">
            <v>5.2487209999999999E-2</v>
          </cell>
          <cell r="BD9">
            <v>5.3267839534246943E-2</v>
          </cell>
          <cell r="BE9">
            <v>5.3948219999999998E-2</v>
          </cell>
          <cell r="BF9">
            <v>5.4426639999999998E-2</v>
          </cell>
          <cell r="BG9">
            <v>5.5204789999999997E-2</v>
          </cell>
          <cell r="BH9">
            <v>5.5351270000000001E-2</v>
          </cell>
          <cell r="BI9">
            <v>5.5174559999999997E-2</v>
          </cell>
          <cell r="BJ9">
            <v>5.5580579999999997E-2</v>
          </cell>
          <cell r="BK9">
            <v>5.5475749999999997E-2</v>
          </cell>
          <cell r="BL9">
            <v>5.3783249999999998E-2</v>
          </cell>
          <cell r="BM9">
            <v>5.377171E-2</v>
          </cell>
          <cell r="BN9">
            <v>5.4286330000000001E-2</v>
          </cell>
          <cell r="BO9">
            <v>5.5001649999999999E-2</v>
          </cell>
          <cell r="BP9">
            <v>5.4899999999999997E-2</v>
          </cell>
          <cell r="BQ9">
            <v>5.5527970000000003E-2</v>
          </cell>
          <cell r="BR9">
            <v>5.581407E-2</v>
          </cell>
          <cell r="BS9">
            <v>5.56397E-2</v>
          </cell>
          <cell r="BT9">
            <v>5.3053490000000002E-2</v>
          </cell>
          <cell r="BU9">
            <v>4.9407439999999997E-2</v>
          </cell>
        </row>
        <row r="10">
          <cell r="BV10">
            <v>-34769.01</v>
          </cell>
          <cell r="BW10">
            <v>20245.79</v>
          </cell>
          <cell r="BX10">
            <v>-9020.41</v>
          </cell>
        </row>
        <row r="21">
          <cell r="BV21">
            <v>-9644.23</v>
          </cell>
          <cell r="BW21">
            <v>-9929.2799999999988</v>
          </cell>
          <cell r="BX21">
            <v>-10219.51</v>
          </cell>
        </row>
        <row r="26">
          <cell r="AZ26">
            <v>-197.79000000000087</v>
          </cell>
        </row>
        <row r="27">
          <cell r="BJ27">
            <v>107651.21205611953</v>
          </cell>
          <cell r="BK27">
            <v>190082.4773555084</v>
          </cell>
          <cell r="BL27">
            <v>234716.31279439255</v>
          </cell>
          <cell r="BM27">
            <v>189707.45135280554</v>
          </cell>
          <cell r="BN27">
            <v>161384.19695432918</v>
          </cell>
          <cell r="BO27">
            <v>121228.18203919443</v>
          </cell>
          <cell r="BP27">
            <v>171153.07554214355</v>
          </cell>
          <cell r="BQ27">
            <v>726807.55664463679</v>
          </cell>
          <cell r="BR27">
            <v>1035244.8874318618</v>
          </cell>
          <cell r="BS27">
            <v>1044606.4999408977</v>
          </cell>
          <cell r="BT27">
            <v>601256.55125012272</v>
          </cell>
          <cell r="BU27">
            <v>165216.72821033362</v>
          </cell>
        </row>
        <row r="36">
          <cell r="AZ36">
            <v>-27.780000000000655</v>
          </cell>
        </row>
        <row r="37">
          <cell r="BJ37">
            <v>86625.171754673938</v>
          </cell>
          <cell r="BK37">
            <v>103759.43732189588</v>
          </cell>
          <cell r="BL37">
            <v>153373.54325638647</v>
          </cell>
          <cell r="BM37">
            <v>106775.05460937983</v>
          </cell>
          <cell r="BN37">
            <v>120639.5759518858</v>
          </cell>
          <cell r="BO37">
            <v>133274.54920832094</v>
          </cell>
          <cell r="BP37">
            <v>178850.56851695653</v>
          </cell>
          <cell r="BQ37">
            <v>275918.7728501762</v>
          </cell>
          <cell r="BR37">
            <v>360364.02993826458</v>
          </cell>
          <cell r="BS37">
            <v>316057.92453325889</v>
          </cell>
          <cell r="BT37">
            <v>271016.40741513378</v>
          </cell>
          <cell r="BU37">
            <v>173245.5348725713</v>
          </cell>
        </row>
        <row r="46">
          <cell r="AZ46">
            <v>-28.739999999997963</v>
          </cell>
        </row>
        <row r="47">
          <cell r="BJ47">
            <v>177257.17636601315</v>
          </cell>
          <cell r="BK47">
            <v>216355.69459913264</v>
          </cell>
          <cell r="BL47">
            <v>297766.07742960955</v>
          </cell>
          <cell r="BM47">
            <v>221766.54736590007</v>
          </cell>
          <cell r="BN47">
            <v>235868.07069965589</v>
          </cell>
          <cell r="BO47">
            <v>217209.78009139144</v>
          </cell>
          <cell r="BP47">
            <v>282620.40359287354</v>
          </cell>
          <cell r="BQ47">
            <v>698718.28942311229</v>
          </cell>
          <cell r="BR47">
            <v>853101.84507416235</v>
          </cell>
          <cell r="BS47">
            <v>813199.23858644778</v>
          </cell>
          <cell r="BT47">
            <v>604659.70795225631</v>
          </cell>
          <cell r="BU47">
            <v>297586.42900451482</v>
          </cell>
        </row>
        <row r="56">
          <cell r="AZ56">
            <v>-4.3600000000001273</v>
          </cell>
        </row>
        <row r="57">
          <cell r="BJ57">
            <v>49418.318001211912</v>
          </cell>
          <cell r="BK57">
            <v>61971.31365560359</v>
          </cell>
          <cell r="BL57">
            <v>100140.32783463651</v>
          </cell>
          <cell r="BM57">
            <v>68610.098480887449</v>
          </cell>
          <cell r="BN57">
            <v>73112.306140790664</v>
          </cell>
          <cell r="BO57">
            <v>69892.91956161111</v>
          </cell>
          <cell r="BP57">
            <v>99056.640281670465</v>
          </cell>
          <cell r="BQ57">
            <v>258498.69847281641</v>
          </cell>
          <cell r="BR57">
            <v>303959.92143258377</v>
          </cell>
          <cell r="BS57">
            <v>294161.07992542034</v>
          </cell>
          <cell r="BT57">
            <v>208587.29192292673</v>
          </cell>
          <cell r="BU57">
            <v>99425.405828224626</v>
          </cell>
        </row>
        <row r="66">
          <cell r="AZ66">
            <v>4.4000000000000909</v>
          </cell>
        </row>
        <row r="67">
          <cell r="BJ67">
            <v>5740.4513919906103</v>
          </cell>
          <cell r="BK67">
            <v>7252.8607050266928</v>
          </cell>
          <cell r="BL67">
            <v>15609.264533708742</v>
          </cell>
          <cell r="BM67">
            <v>9931.0061988053349</v>
          </cell>
          <cell r="BN67">
            <v>10734.517311806689</v>
          </cell>
          <cell r="BO67">
            <v>12461.71833996677</v>
          </cell>
          <cell r="BP67">
            <v>22695.241702912812</v>
          </cell>
          <cell r="BQ67">
            <v>65408.507485155234</v>
          </cell>
          <cell r="BR67">
            <v>72715.89068358489</v>
          </cell>
          <cell r="BS67">
            <v>72974.667994930234</v>
          </cell>
          <cell r="BT67">
            <v>48263.382838753387</v>
          </cell>
          <cell r="BU67">
            <v>20055.85905487034</v>
          </cell>
        </row>
        <row r="76">
          <cell r="AZ76">
            <v>-0.14536509454228508</v>
          </cell>
        </row>
        <row r="79">
          <cell r="BV79">
            <v>84.421910433221925</v>
          </cell>
          <cell r="BW79">
            <v>73.138998456758486</v>
          </cell>
          <cell r="BX79">
            <v>60.446695869193725</v>
          </cell>
        </row>
        <row r="84">
          <cell r="AZ84">
            <v>-157.21308605992454</v>
          </cell>
        </row>
        <row r="89">
          <cell r="BV89">
            <v>1239.0588150233805</v>
          </cell>
          <cell r="BW89">
            <v>1074.2399405796796</v>
          </cell>
          <cell r="BX89">
            <v>501.19466152927174</v>
          </cell>
        </row>
      </sheetData>
      <sheetData sheetId="3"/>
      <sheetData sheetId="4">
        <row r="11">
          <cell r="FR11">
            <v>4.7299999999813735</v>
          </cell>
        </row>
      </sheetData>
      <sheetData sheetId="5">
        <row r="23">
          <cell r="BT23">
            <v>961721412.71587527</v>
          </cell>
          <cell r="BU23">
            <v>1214824095.0295494</v>
          </cell>
          <cell r="BV23">
            <v>1429524901.4319398</v>
          </cell>
        </row>
        <row r="24">
          <cell r="BT24">
            <v>230556313.97548485</v>
          </cell>
          <cell r="BU24">
            <v>275979565.87286288</v>
          </cell>
          <cell r="BV24">
            <v>310395670.82745898</v>
          </cell>
        </row>
        <row r="25">
          <cell r="BT25">
            <v>503402364.62291127</v>
          </cell>
          <cell r="BU25">
            <v>553970107.07777035</v>
          </cell>
          <cell r="BV25">
            <v>582129216.80663931</v>
          </cell>
        </row>
        <row r="26">
          <cell r="BT26">
            <v>220932655.9857884</v>
          </cell>
          <cell r="BU26">
            <v>233594424.1517618</v>
          </cell>
          <cell r="BV26">
            <v>243692177.27010703</v>
          </cell>
        </row>
        <row r="27">
          <cell r="BT27">
            <v>67785624.340276375</v>
          </cell>
          <cell r="BU27">
            <v>67021875.10198836</v>
          </cell>
          <cell r="BV27">
            <v>66767907.568719082</v>
          </cell>
        </row>
        <row r="31">
          <cell r="BT31">
            <v>239550.05334239668</v>
          </cell>
          <cell r="BU31">
            <v>384889.84076727502</v>
          </cell>
          <cell r="BV31">
            <v>401782.68356373912</v>
          </cell>
        </row>
        <row r="32">
          <cell r="BT32">
            <v>156606.5114440406</v>
          </cell>
          <cell r="BU32">
            <v>189358.16827443533</v>
          </cell>
          <cell r="BV32">
            <v>213549.25609198381</v>
          </cell>
        </row>
        <row r="33">
          <cell r="BT33">
            <v>289593.1978996573</v>
          </cell>
          <cell r="BU33">
            <v>366512.06607265963</v>
          </cell>
          <cell r="BV33">
            <v>421436.89087504114</v>
          </cell>
        </row>
        <row r="34">
          <cell r="BT34">
            <v>91295.116338149382</v>
          </cell>
          <cell r="BU34">
            <v>112244.64566505696</v>
          </cell>
          <cell r="BV34">
            <v>132382.9938109974</v>
          </cell>
        </row>
        <row r="35">
          <cell r="BT35">
            <v>14245.616514940328</v>
          </cell>
          <cell r="BU35">
            <v>16045.340693591272</v>
          </cell>
          <cell r="BV35">
            <v>18425.431765750742</v>
          </cell>
        </row>
        <row r="39">
          <cell r="CH39">
            <v>1018523.3501884519</v>
          </cell>
        </row>
        <row r="40">
          <cell r="CH40">
            <v>787914.4549988975</v>
          </cell>
        </row>
        <row r="41">
          <cell r="CH41">
            <v>1459406.6893896144</v>
          </cell>
        </row>
        <row r="42">
          <cell r="CH42">
            <v>492171.17950438627</v>
          </cell>
        </row>
        <row r="43">
          <cell r="CH43">
            <v>88903.202190548065</v>
          </cell>
        </row>
      </sheetData>
      <sheetData sheetId="6"/>
      <sheetData sheetId="7">
        <row r="9">
          <cell r="E9">
            <v>7.31972E-3</v>
          </cell>
          <cell r="F9">
            <v>7.4556900000000001E-3</v>
          </cell>
          <cell r="G9">
            <v>7.55794E-3</v>
          </cell>
          <cell r="H9">
            <v>6.2632199999999999E-3</v>
          </cell>
          <cell r="I9">
            <v>6.2904299999999996E-3</v>
          </cell>
          <cell r="J9">
            <v>7.6456600000000003E-3</v>
          </cell>
          <cell r="K9">
            <v>7.5545970550536697E-3</v>
          </cell>
          <cell r="L9">
            <v>7.6017000000000003E-3</v>
          </cell>
          <cell r="M9">
            <v>7.6414500000000002E-3</v>
          </cell>
          <cell r="N9">
            <v>9.6220400000000001E-3</v>
          </cell>
          <cell r="O9">
            <v>8.9999999999999993E-3</v>
          </cell>
          <cell r="P9">
            <v>8.9999999999999993E-3</v>
          </cell>
          <cell r="Q9">
            <v>1.15E-2</v>
          </cell>
          <cell r="R9">
            <v>1.15E-2</v>
          </cell>
          <cell r="S9">
            <v>1.15E-2</v>
          </cell>
          <cell r="T9">
            <v>1.41E-2</v>
          </cell>
          <cell r="U9">
            <v>1.39185E-2</v>
          </cell>
          <cell r="V9">
            <v>1.466976E-2</v>
          </cell>
          <cell r="W9">
            <v>1.4482760000000001E-2</v>
          </cell>
          <cell r="X9">
            <v>1.45083E-2</v>
          </cell>
          <cell r="Y9">
            <v>1.4428689E-2</v>
          </cell>
          <cell r="Z9">
            <v>1.773541E-2</v>
          </cell>
          <cell r="AA9">
            <v>1.715386E-2</v>
          </cell>
          <cell r="AB9">
            <v>1.8275659999999999E-2</v>
          </cell>
          <cell r="AC9">
            <v>2.0539459999999999E-2</v>
          </cell>
          <cell r="AD9">
            <v>2.3111960000000001E-2</v>
          </cell>
          <cell r="AE9">
            <v>2.1987949999999999E-2</v>
          </cell>
          <cell r="AF9">
            <v>2.2795610000000001E-2</v>
          </cell>
          <cell r="AG9">
            <v>2.347169E-2</v>
          </cell>
          <cell r="AH9">
            <v>2.3254460000000001E-2</v>
          </cell>
          <cell r="AI9">
            <v>2.328962E-2</v>
          </cell>
          <cell r="AJ9">
            <v>2.457413E-2</v>
          </cell>
          <cell r="AK9">
            <v>2.5271160000000001E-2</v>
          </cell>
          <cell r="AL9">
            <v>2.7545790000000001E-2</v>
          </cell>
          <cell r="AM9">
            <v>2.8696949999999999E-2</v>
          </cell>
          <cell r="AN9">
            <v>2.8403910000000001E-2</v>
          </cell>
          <cell r="AO9">
            <v>2.7878150000000001E-2</v>
          </cell>
          <cell r="AP9">
            <v>2.6622739999999999E-2</v>
          </cell>
          <cell r="AQ9">
            <v>2.677361E-2</v>
          </cell>
          <cell r="AR9">
            <v>2.6500570000000001E-2</v>
          </cell>
          <cell r="AS9">
            <v>2.594869E-2</v>
          </cell>
          <cell r="AT9">
            <v>2.3511899999999999E-2</v>
          </cell>
          <cell r="AU9">
            <v>2.21687E-2</v>
          </cell>
          <cell r="AV9">
            <v>2.113932E-2</v>
          </cell>
          <cell r="AW9">
            <v>1.8159890000000001E-2</v>
          </cell>
          <cell r="AX9">
            <v>1.9151990000000001E-2</v>
          </cell>
          <cell r="AY9">
            <v>1.8890779999999999E-2</v>
          </cell>
          <cell r="AZ9">
            <v>1.8035829999999999E-2</v>
          </cell>
          <cell r="BA9">
            <v>1.888592E-2</v>
          </cell>
          <cell r="BB9">
            <v>9.3845999999999999E-3</v>
          </cell>
          <cell r="BC9">
            <v>1.2906700000000001E-3</v>
          </cell>
          <cell r="BD9">
            <v>1.2563100000000001E-3</v>
          </cell>
          <cell r="BE9">
            <v>1.9366299999999999E-3</v>
          </cell>
          <cell r="BF9">
            <v>1.3658500000000001E-3</v>
          </cell>
          <cell r="BG9">
            <v>1.23916E-3</v>
          </cell>
          <cell r="BH9">
            <v>2E-3</v>
          </cell>
          <cell r="BI9">
            <v>2.5244400000000002E-3</v>
          </cell>
          <cell r="BJ9">
            <v>2.8469900000000002E-3</v>
          </cell>
          <cell r="BK9">
            <v>2.0613900000000002E-3</v>
          </cell>
          <cell r="BL9">
            <v>2.3221700000000001E-3</v>
          </cell>
          <cell r="BM9">
            <v>2.1367399999999998E-3</v>
          </cell>
          <cell r="BN9">
            <v>2.2512299999999999E-3</v>
          </cell>
          <cell r="BO9">
            <v>2.2427200000000001E-3</v>
          </cell>
          <cell r="BP9">
            <v>2.01659E-3</v>
          </cell>
          <cell r="BQ9">
            <v>1.3954900000000001E-3</v>
          </cell>
          <cell r="BR9">
            <v>2.0509899999999999E-3</v>
          </cell>
          <cell r="BS9">
            <v>1.9323299999999999E-3</v>
          </cell>
          <cell r="BT9">
            <v>1.5E-3</v>
          </cell>
          <cell r="BU9">
            <v>1.5320900000000001E-3</v>
          </cell>
          <cell r="BV9">
            <v>2.6046400000000001E-3</v>
          </cell>
          <cell r="BW9">
            <v>2.3444999999999998E-3</v>
          </cell>
          <cell r="BX9">
            <v>2.9584899999999998E-3</v>
          </cell>
          <cell r="BY9">
            <v>6.8829599999999996E-3</v>
          </cell>
          <cell r="BZ9">
            <v>6.0041599999999997E-3</v>
          </cell>
          <cell r="CA9">
            <v>9.4970499999999999E-3</v>
          </cell>
          <cell r="CB9">
            <v>1.4858659999999999E-2</v>
          </cell>
          <cell r="CC9">
            <v>2.0566899999999999E-2</v>
          </cell>
          <cell r="CD9">
            <v>2.564054E-2</v>
          </cell>
          <cell r="CE9">
            <v>2.8416960000000002E-2</v>
          </cell>
          <cell r="CF9">
            <v>3.4701200000000001E-2</v>
          </cell>
          <cell r="CG9">
            <v>4.286098E-2</v>
          </cell>
          <cell r="CH9">
            <v>4.617603E-2</v>
          </cell>
          <cell r="CI9">
            <v>4.7842519999999999E-2</v>
          </cell>
          <cell r="CJ9">
            <v>4.847945E-2</v>
          </cell>
          <cell r="CK9">
            <v>4.9894139999999997E-2</v>
          </cell>
          <cell r="CL9">
            <v>5.2487209999999999E-2</v>
          </cell>
          <cell r="CM9">
            <v>5.3267839534246943E-2</v>
          </cell>
          <cell r="CN9">
            <v>5.3948219999999998E-2</v>
          </cell>
          <cell r="CO9">
            <v>5.4426639999999998E-2</v>
          </cell>
          <cell r="CP9">
            <v>5.5204789999999997E-2</v>
          </cell>
          <cell r="CQ9">
            <v>5.5351270000000001E-2</v>
          </cell>
          <cell r="CR9">
            <v>5.5174559999999997E-2</v>
          </cell>
          <cell r="CS9">
            <v>5.5580579999999997E-2</v>
          </cell>
          <cell r="CT9">
            <v>5.5475749999999997E-2</v>
          </cell>
          <cell r="CU9">
            <v>5.3783249999999998E-2</v>
          </cell>
        </row>
        <row r="26">
          <cell r="CI26">
            <v>246.65649828314054</v>
          </cell>
        </row>
        <row r="27">
          <cell r="CS27">
            <v>0</v>
          </cell>
          <cell r="CT27">
            <v>0</v>
          </cell>
          <cell r="CU27">
            <v>0</v>
          </cell>
        </row>
        <row r="36">
          <cell r="CI36">
            <v>76.803899278672134</v>
          </cell>
        </row>
        <row r="37">
          <cell r="CS37">
            <v>0</v>
          </cell>
          <cell r="CT37">
            <v>0</v>
          </cell>
          <cell r="CU37">
            <v>0</v>
          </cell>
        </row>
        <row r="46">
          <cell r="CI46">
            <v>108.16251961473517</v>
          </cell>
        </row>
        <row r="47">
          <cell r="CS47">
            <v>0</v>
          </cell>
          <cell r="CT47">
            <v>0</v>
          </cell>
          <cell r="CU47">
            <v>0</v>
          </cell>
        </row>
        <row r="56">
          <cell r="CI56">
            <v>34.920399904920714</v>
          </cell>
        </row>
        <row r="57">
          <cell r="CS57">
            <v>0</v>
          </cell>
          <cell r="CT57">
            <v>0</v>
          </cell>
          <cell r="CU57">
            <v>0</v>
          </cell>
        </row>
        <row r="66">
          <cell r="CI66">
            <v>-4.5602555329351731</v>
          </cell>
        </row>
        <row r="67">
          <cell r="CS67">
            <v>0</v>
          </cell>
          <cell r="CT67">
            <v>0</v>
          </cell>
          <cell r="CU67">
            <v>0</v>
          </cell>
        </row>
      </sheetData>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AG49"/>
  <sheetViews>
    <sheetView tabSelected="1" workbookViewId="0">
      <selection activeCell="B8" sqref="B8"/>
    </sheetView>
  </sheetViews>
  <sheetFormatPr defaultRowHeight="15" x14ac:dyDescent="0.25"/>
  <cols>
    <col min="1" max="1" width="23.5703125" customWidth="1"/>
    <col min="2" max="2" width="20.42578125" customWidth="1"/>
    <col min="3" max="4" width="15.140625" customWidth="1"/>
    <col min="5" max="5" width="16.140625" customWidth="1"/>
    <col min="6" max="6" width="12.7109375" customWidth="1"/>
    <col min="7" max="10" width="17.7109375" customWidth="1"/>
  </cols>
  <sheetData>
    <row r="1" spans="1:12" ht="15.75" thickBot="1" x14ac:dyDescent="0.3">
      <c r="A1" s="6" t="s">
        <v>165</v>
      </c>
    </row>
    <row r="2" spans="1:12" ht="15.75" thickBot="1" x14ac:dyDescent="0.3">
      <c r="B2" s="6" t="s">
        <v>148</v>
      </c>
      <c r="C2" s="42"/>
      <c r="D2" s="42"/>
      <c r="F2" s="320" t="s">
        <v>149</v>
      </c>
      <c r="G2" s="321"/>
      <c r="H2" s="321"/>
      <c r="I2" s="321"/>
      <c r="J2" s="322"/>
      <c r="L2" s="2" t="s">
        <v>26</v>
      </c>
    </row>
    <row r="3" spans="1:12" x14ac:dyDescent="0.25">
      <c r="C3" s="52" t="s">
        <v>146</v>
      </c>
      <c r="D3" s="52" t="s">
        <v>163</v>
      </c>
      <c r="F3" s="110"/>
      <c r="G3" s="115" t="s">
        <v>0</v>
      </c>
      <c r="H3" s="115" t="s">
        <v>1</v>
      </c>
      <c r="I3" s="115" t="s">
        <v>2</v>
      </c>
      <c r="J3" s="116" t="s">
        <v>3</v>
      </c>
      <c r="L3" s="2" t="s">
        <v>45</v>
      </c>
    </row>
    <row r="4" spans="1:12" x14ac:dyDescent="0.25">
      <c r="B4" s="52" t="s">
        <v>30</v>
      </c>
      <c r="C4" s="52" t="s">
        <v>10</v>
      </c>
      <c r="D4" s="52" t="s">
        <v>10</v>
      </c>
      <c r="E4" s="31"/>
      <c r="F4" s="111"/>
      <c r="G4" s="28">
        <v>1</v>
      </c>
      <c r="H4" s="28">
        <v>0</v>
      </c>
      <c r="I4" s="113">
        <f>IFERROR(B5/SUM($B$5:$B$9),0)</f>
        <v>0.48941367583175205</v>
      </c>
      <c r="J4" s="114">
        <f>I4</f>
        <v>0.48941367583175205</v>
      </c>
      <c r="L4" s="2" t="s">
        <v>27</v>
      </c>
    </row>
    <row r="5" spans="1:12" x14ac:dyDescent="0.25">
      <c r="A5" s="19" t="s">
        <v>31</v>
      </c>
      <c r="B5" s="24">
        <f>'[1]PPC.1, PCR.2F, EO.5'!Q27</f>
        <v>13123013582.390793</v>
      </c>
      <c r="C5" s="26">
        <f>SUM(G11:J11)</f>
        <v>0</v>
      </c>
      <c r="D5" s="26">
        <f>SUM(G27:J27)</f>
        <v>23650248.42738666</v>
      </c>
      <c r="E5" s="31"/>
      <c r="F5" s="111"/>
      <c r="G5" s="28">
        <v>0</v>
      </c>
      <c r="H5" s="113">
        <f>IFERROR(B6/SUM($B$6:$B$9),0)</f>
        <v>0.23296779437203169</v>
      </c>
      <c r="I5" s="113">
        <f>IFERROR(B6/SUM($B$5:$B$9),0)</f>
        <v>0.1189501697779999</v>
      </c>
      <c r="J5" s="114">
        <f>I5</f>
        <v>0.1189501697779999</v>
      </c>
      <c r="L5" s="2" t="s">
        <v>40</v>
      </c>
    </row>
    <row r="6" spans="1:12" x14ac:dyDescent="0.25">
      <c r="A6" s="19" t="s">
        <v>4</v>
      </c>
      <c r="B6" s="24">
        <f>'[1]PPC.1, PCR.2F, EO.5'!Q28</f>
        <v>3189499539.3651609</v>
      </c>
      <c r="C6" s="26">
        <f>SUM(G12:J12)</f>
        <v>0</v>
      </c>
      <c r="D6" s="26">
        <f>SUM(G28:J28)</f>
        <v>6447584.6784696877</v>
      </c>
      <c r="E6" s="31"/>
      <c r="F6" s="111"/>
      <c r="G6" s="28">
        <v>0</v>
      </c>
      <c r="H6" s="113">
        <f>IFERROR(B7/SUM($B$6:$B$9),0)</f>
        <v>0.49362810831134385</v>
      </c>
      <c r="I6" s="113">
        <f>IFERROR(B7/SUM($B$5:$B$9),0)</f>
        <v>0.25203976132881484</v>
      </c>
      <c r="J6" s="114">
        <f>I6</f>
        <v>0.25203976132881484</v>
      </c>
    </row>
    <row r="7" spans="1:12" x14ac:dyDescent="0.25">
      <c r="A7" s="19" t="s">
        <v>5</v>
      </c>
      <c r="B7" s="24">
        <f>'[1]PPC.1, PCR.2F, EO.5'!Q29</f>
        <v>6758129930.8800106</v>
      </c>
      <c r="C7" s="26">
        <f>SUM(G13:J13)</f>
        <v>0</v>
      </c>
      <c r="D7" s="26">
        <f>SUM(G29:J29)</f>
        <v>13661583.724863078</v>
      </c>
      <c r="E7" s="31"/>
      <c r="F7" s="111"/>
      <c r="G7" s="28">
        <v>0</v>
      </c>
      <c r="H7" s="113">
        <f>IFERROR(B8/SUM($B$6:$B$9),0)</f>
        <v>0.20986239192641093</v>
      </c>
      <c r="I7" s="113">
        <f>IFERROR(B8/SUM($B$5:$B$9),0)</f>
        <v>0.10715286727486235</v>
      </c>
      <c r="J7" s="114">
        <f>I7</f>
        <v>0.10715286727486235</v>
      </c>
    </row>
    <row r="8" spans="1:12" ht="15.75" thickBot="1" x14ac:dyDescent="0.3">
      <c r="A8" s="19" t="s">
        <v>6</v>
      </c>
      <c r="B8" s="24">
        <f>'[1]PPC.1, PCR.2F, EO.5'!Q30</f>
        <v>2873169676.4508505</v>
      </c>
      <c r="C8" s="26">
        <f>SUM(G14:J14)</f>
        <v>0</v>
      </c>
      <c r="D8" s="26">
        <f>SUM(G30:J30)</f>
        <v>5808122.7339557596</v>
      </c>
      <c r="E8" s="31"/>
      <c r="F8" s="111"/>
      <c r="G8" s="28">
        <v>0</v>
      </c>
      <c r="H8" s="113">
        <f>IFERROR(B9/SUM($B$6:$B$9),0)</f>
        <v>6.3541705390213588E-2</v>
      </c>
      <c r="I8" s="113">
        <f>IFERROR(B9/SUM($B$5:$B$9),0)</f>
        <v>3.24435257865709E-2</v>
      </c>
      <c r="J8" s="114">
        <f>I8</f>
        <v>3.24435257865709E-2</v>
      </c>
    </row>
    <row r="9" spans="1:12" ht="16.5" thickTop="1" thickBot="1" x14ac:dyDescent="0.3">
      <c r="A9" s="19" t="s">
        <v>7</v>
      </c>
      <c r="B9" s="24">
        <f>'[1]PPC.1, PCR.2F, EO.5'!Q31</f>
        <v>869932432.58731532</v>
      </c>
      <c r="C9" s="26">
        <f>SUM(G15:J15)</f>
        <v>0</v>
      </c>
      <c r="D9" s="26">
        <f>SUM(G31:J31)</f>
        <v>1758571.5108051868</v>
      </c>
      <c r="E9" s="3"/>
      <c r="F9" s="117" t="s">
        <v>25</v>
      </c>
      <c r="G9" s="123">
        <f>1-SUM(G4:G8)</f>
        <v>0</v>
      </c>
      <c r="H9" s="123">
        <f>(1-SUM(H4:H8))</f>
        <v>0</v>
      </c>
      <c r="I9" s="123">
        <f>1-SUM(I4:I8)</f>
        <v>0</v>
      </c>
      <c r="J9" s="124">
        <f>1-SUM(J4:J8)</f>
        <v>0</v>
      </c>
    </row>
    <row r="10" spans="1:12" ht="16.5" thickTop="1" thickBot="1" x14ac:dyDescent="0.3">
      <c r="A10" s="19" t="s">
        <v>9</v>
      </c>
      <c r="B10" s="25">
        <f>SUM(B5:B9)</f>
        <v>26813745161.674129</v>
      </c>
      <c r="C10" s="21">
        <f>SUM(C5:C9)</f>
        <v>0</v>
      </c>
      <c r="D10" s="21">
        <f>SUM(D5:D9)</f>
        <v>51326111.075480372</v>
      </c>
      <c r="E10" s="3"/>
      <c r="F10" s="120" t="s">
        <v>38</v>
      </c>
      <c r="G10" s="27">
        <f>'[1]PPC.2, PCR.1F'!$F$21</f>
        <v>0</v>
      </c>
      <c r="H10" s="27">
        <f>'[1]PPC.2, PCR.1F'!$F$22</f>
        <v>0</v>
      </c>
      <c r="I10" s="27">
        <f>'[1]PPC.2, PCR.1F'!$F$23</f>
        <v>0</v>
      </c>
      <c r="J10" s="40">
        <f>'[1]PPC.2, PCR.1F'!$F$24</f>
        <v>0</v>
      </c>
      <c r="K10" s="199" t="s">
        <v>36</v>
      </c>
    </row>
    <row r="11" spans="1:12" ht="16.5" thickTop="1" thickBot="1" x14ac:dyDescent="0.3">
      <c r="B11" s="23" t="s">
        <v>25</v>
      </c>
      <c r="C11" s="18">
        <f>SUM(G10:J10)-C10</f>
        <v>0</v>
      </c>
      <c r="D11" s="288">
        <f>SUM(G26:J26)-D10</f>
        <v>0</v>
      </c>
      <c r="E11" s="3"/>
      <c r="F11" s="164" t="s">
        <v>0</v>
      </c>
      <c r="G11" s="165">
        <f>G4*G$10</f>
        <v>0</v>
      </c>
      <c r="H11" s="165">
        <f>H4*H$10</f>
        <v>0</v>
      </c>
      <c r="I11" s="165">
        <f>I4*I$10</f>
        <v>0</v>
      </c>
      <c r="J11" s="166">
        <f>J4*J$10</f>
        <v>0</v>
      </c>
    </row>
    <row r="12" spans="1:12" ht="15.75" thickTop="1" x14ac:dyDescent="0.25">
      <c r="E12" s="3"/>
      <c r="F12" s="111" t="s">
        <v>4</v>
      </c>
      <c r="G12" s="118">
        <f t="shared" ref="G12:J15" si="0">G5*G$10</f>
        <v>0</v>
      </c>
      <c r="H12" s="118">
        <f>H5*H$10</f>
        <v>0</v>
      </c>
      <c r="I12" s="118">
        <f t="shared" si="0"/>
        <v>0</v>
      </c>
      <c r="J12" s="119">
        <f t="shared" si="0"/>
        <v>0</v>
      </c>
    </row>
    <row r="13" spans="1:12" x14ac:dyDescent="0.25">
      <c r="B13" s="34"/>
      <c r="C13" s="34"/>
      <c r="D13" s="34"/>
      <c r="E13" s="3"/>
      <c r="F13" s="111" t="s">
        <v>5</v>
      </c>
      <c r="G13" s="118">
        <f t="shared" si="0"/>
        <v>0</v>
      </c>
      <c r="H13" s="118">
        <f t="shared" si="0"/>
        <v>0</v>
      </c>
      <c r="I13" s="118">
        <f t="shared" si="0"/>
        <v>0</v>
      </c>
      <c r="J13" s="119">
        <f t="shared" si="0"/>
        <v>0</v>
      </c>
    </row>
    <row r="14" spans="1:12" x14ac:dyDescent="0.25">
      <c r="A14" s="19" t="s">
        <v>39</v>
      </c>
      <c r="B14" s="207">
        <f>'[1]PPC.3, PCR.2'!DC41</f>
        <v>4.1097239407801085E-2</v>
      </c>
      <c r="E14" s="3"/>
      <c r="F14" s="111" t="s">
        <v>6</v>
      </c>
      <c r="G14" s="118">
        <f t="shared" si="0"/>
        <v>0</v>
      </c>
      <c r="H14" s="118">
        <f t="shared" si="0"/>
        <v>0</v>
      </c>
      <c r="I14" s="118">
        <f t="shared" si="0"/>
        <v>0</v>
      </c>
      <c r="J14" s="119">
        <f t="shared" si="0"/>
        <v>0</v>
      </c>
    </row>
    <row r="15" spans="1:12" ht="15.75" thickBot="1" x14ac:dyDescent="0.3">
      <c r="A15" s="19" t="s">
        <v>37</v>
      </c>
      <c r="B15" s="25">
        <f>B5*(1-B14)</f>
        <v>12583693951.443453</v>
      </c>
      <c r="E15" s="3"/>
      <c r="F15" s="112" t="s">
        <v>7</v>
      </c>
      <c r="G15" s="167">
        <f t="shared" si="0"/>
        <v>0</v>
      </c>
      <c r="H15" s="167">
        <f t="shared" si="0"/>
        <v>0</v>
      </c>
      <c r="I15" s="167">
        <f t="shared" si="0"/>
        <v>0</v>
      </c>
      <c r="J15" s="109">
        <f t="shared" si="0"/>
        <v>0</v>
      </c>
    </row>
    <row r="16" spans="1:12" x14ac:dyDescent="0.25">
      <c r="C16" s="4"/>
      <c r="D16" s="4"/>
    </row>
    <row r="17" spans="1:33" ht="15.75" thickBot="1" x14ac:dyDescent="0.3">
      <c r="B17" s="159"/>
    </row>
    <row r="18" spans="1:33" ht="15.75" thickBot="1" x14ac:dyDescent="0.3">
      <c r="B18" s="125"/>
      <c r="C18" s="42"/>
      <c r="D18" s="42"/>
      <c r="F18" s="320" t="s">
        <v>164</v>
      </c>
      <c r="G18" s="321"/>
      <c r="H18" s="321"/>
      <c r="I18" s="321"/>
      <c r="J18" s="322"/>
      <c r="L18" s="2"/>
      <c r="X18" s="1"/>
      <c r="Y18" s="1"/>
      <c r="Z18" s="1"/>
      <c r="AA18" s="1"/>
      <c r="AB18" s="1"/>
      <c r="AC18" s="1"/>
      <c r="AD18" s="1"/>
      <c r="AE18" s="1"/>
      <c r="AF18" s="1"/>
      <c r="AG18" s="1"/>
    </row>
    <row r="19" spans="1:33" x14ac:dyDescent="0.25">
      <c r="B19" s="52"/>
      <c r="C19" s="52"/>
      <c r="D19" s="52"/>
      <c r="F19" s="110"/>
      <c r="G19" s="115" t="s">
        <v>0</v>
      </c>
      <c r="H19" s="115" t="s">
        <v>1</v>
      </c>
      <c r="I19" s="115" t="s">
        <v>2</v>
      </c>
      <c r="J19" s="116" t="s">
        <v>3</v>
      </c>
      <c r="L19" s="2"/>
    </row>
    <row r="20" spans="1:33" x14ac:dyDescent="0.25">
      <c r="A20" s="19"/>
      <c r="B20" s="161"/>
      <c r="C20" s="162"/>
      <c r="D20" s="162"/>
      <c r="E20" s="31"/>
      <c r="F20" s="111"/>
      <c r="G20" s="28">
        <v>1</v>
      </c>
      <c r="H20" s="28">
        <v>0</v>
      </c>
      <c r="I20" s="113">
        <f>IFERROR(B5/SUM($B$5:$B$9),0)</f>
        <v>0.48941367583175205</v>
      </c>
      <c r="J20" s="114">
        <f>I20</f>
        <v>0.48941367583175205</v>
      </c>
      <c r="L20" s="2"/>
    </row>
    <row r="21" spans="1:33" x14ac:dyDescent="0.25">
      <c r="A21" s="19"/>
      <c r="B21" s="161"/>
      <c r="C21" s="162"/>
      <c r="D21" s="162"/>
      <c r="E21" s="31"/>
      <c r="F21" s="111"/>
      <c r="G21" s="28">
        <v>0</v>
      </c>
      <c r="H21" s="113">
        <f>IFERROR(B6/SUM($B$6:$B$9),0)</f>
        <v>0.23296779437203169</v>
      </c>
      <c r="I21" s="113">
        <f t="shared" ref="I21:I24" si="1">IFERROR(B6/SUM($B$5:$B$9),0)</f>
        <v>0.1189501697779999</v>
      </c>
      <c r="J21" s="114">
        <f>I21</f>
        <v>0.1189501697779999</v>
      </c>
      <c r="L21" s="2"/>
    </row>
    <row r="22" spans="1:33" x14ac:dyDescent="0.25">
      <c r="A22" s="19"/>
      <c r="B22" s="161"/>
      <c r="C22" s="162"/>
      <c r="D22" s="162"/>
      <c r="E22" s="31"/>
      <c r="F22" s="111"/>
      <c r="G22" s="28">
        <v>0</v>
      </c>
      <c r="H22" s="113">
        <f t="shared" ref="H22:H24" si="2">IFERROR(B7/SUM($B$6:$B$9),0)</f>
        <v>0.49362810831134385</v>
      </c>
      <c r="I22" s="113">
        <f t="shared" si="1"/>
        <v>0.25203976132881484</v>
      </c>
      <c r="J22" s="114">
        <f>I22</f>
        <v>0.25203976132881484</v>
      </c>
    </row>
    <row r="23" spans="1:33" x14ac:dyDescent="0.25">
      <c r="A23" s="19"/>
      <c r="B23" s="161"/>
      <c r="C23" s="162"/>
      <c r="D23" s="162"/>
      <c r="E23" s="31"/>
      <c r="F23" s="111"/>
      <c r="G23" s="28">
        <v>0</v>
      </c>
      <c r="H23" s="113">
        <f t="shared" si="2"/>
        <v>0.20986239192641093</v>
      </c>
      <c r="I23" s="113">
        <f t="shared" si="1"/>
        <v>0.10715286727486235</v>
      </c>
      <c r="J23" s="114">
        <f>I23</f>
        <v>0.10715286727486235</v>
      </c>
    </row>
    <row r="24" spans="1:33" ht="15.75" thickBot="1" x14ac:dyDescent="0.3">
      <c r="A24" s="19"/>
      <c r="B24" s="161"/>
      <c r="C24" s="162"/>
      <c r="D24" s="162"/>
      <c r="E24" s="31"/>
      <c r="F24" s="111"/>
      <c r="G24" s="28">
        <v>0</v>
      </c>
      <c r="H24" s="113">
        <f t="shared" si="2"/>
        <v>6.3541705390213588E-2</v>
      </c>
      <c r="I24" s="113">
        <f t="shared" si="1"/>
        <v>3.24435257865709E-2</v>
      </c>
      <c r="J24" s="114">
        <f>I24</f>
        <v>3.24435257865709E-2</v>
      </c>
    </row>
    <row r="25" spans="1:33" ht="16.5" thickTop="1" thickBot="1" x14ac:dyDescent="0.3">
      <c r="A25" s="19"/>
      <c r="B25" s="163"/>
      <c r="C25" s="130"/>
      <c r="D25" s="130"/>
      <c r="E25" s="3"/>
      <c r="F25" s="117" t="s">
        <v>25</v>
      </c>
      <c r="G25" s="123">
        <f>1-SUM(G20:G24)</f>
        <v>0</v>
      </c>
      <c r="H25" s="123">
        <f>(1-SUM(H20:H24))</f>
        <v>0</v>
      </c>
      <c r="I25" s="123">
        <f>1-SUM(I20:I24)</f>
        <v>0</v>
      </c>
      <c r="J25" s="124">
        <f>1-SUM(J20:J24)</f>
        <v>0</v>
      </c>
    </row>
    <row r="26" spans="1:33" ht="16.5" thickTop="1" thickBot="1" x14ac:dyDescent="0.3">
      <c r="B26" s="160"/>
      <c r="C26" s="158"/>
      <c r="D26" s="158"/>
      <c r="E26" s="3"/>
      <c r="F26" s="120" t="s">
        <v>38</v>
      </c>
      <c r="G26" s="27">
        <f>'[1]PPC.2, PCR.1F'!$G$21</f>
        <v>18756111.88321742</v>
      </c>
      <c r="H26" s="27">
        <f>'[1]PPC.2, PCR.1F'!$G$22</f>
        <v>22569999.629823834</v>
      </c>
      <c r="I26" s="27">
        <f>'[1]PPC.2, PCR.1F'!$G$23</f>
        <v>9999999.5624391157</v>
      </c>
      <c r="J26" s="40">
        <f>'[1]PPC.2, PCR.1F'!$G$24</f>
        <v>0</v>
      </c>
      <c r="K26" s="199" t="s">
        <v>36</v>
      </c>
    </row>
    <row r="27" spans="1:33" x14ac:dyDescent="0.25">
      <c r="E27" s="3"/>
      <c r="F27" s="164" t="s">
        <v>0</v>
      </c>
      <c r="G27" s="165">
        <f>G20*G$26</f>
        <v>18756111.88321742</v>
      </c>
      <c r="H27" s="165">
        <f>H20*H$26</f>
        <v>0</v>
      </c>
      <c r="I27" s="165">
        <f>I20*I$26</f>
        <v>4894136.5441692397</v>
      </c>
      <c r="J27" s="166">
        <f>J20*J$26</f>
        <v>0</v>
      </c>
    </row>
    <row r="28" spans="1:33" x14ac:dyDescent="0.25">
      <c r="E28" s="3"/>
      <c r="F28" s="111" t="s">
        <v>4</v>
      </c>
      <c r="G28" s="118">
        <f t="shared" ref="G28:J31" si="3">G21*G$26</f>
        <v>0</v>
      </c>
      <c r="H28" s="118">
        <f t="shared" si="3"/>
        <v>5258083.0327376304</v>
      </c>
      <c r="I28" s="118">
        <f t="shared" si="3"/>
        <v>1189501.6457320575</v>
      </c>
      <c r="J28" s="119">
        <f t="shared" si="3"/>
        <v>0</v>
      </c>
    </row>
    <row r="29" spans="1:33" x14ac:dyDescent="0.25">
      <c r="B29" s="34"/>
      <c r="C29" s="34"/>
      <c r="D29" s="34"/>
      <c r="E29" s="3"/>
      <c r="F29" s="111" t="s">
        <v>5</v>
      </c>
      <c r="G29" s="118">
        <f t="shared" si="3"/>
        <v>0</v>
      </c>
      <c r="H29" s="118">
        <f t="shared" si="3"/>
        <v>11141186.221857671</v>
      </c>
      <c r="I29" s="118">
        <f t="shared" si="3"/>
        <v>2520397.5030054078</v>
      </c>
      <c r="J29" s="119">
        <f t="shared" si="3"/>
        <v>0</v>
      </c>
    </row>
    <row r="30" spans="1:33" x14ac:dyDescent="0.25">
      <c r="A30" s="19"/>
      <c r="B30" s="32"/>
      <c r="E30" s="3"/>
      <c r="F30" s="111" t="s">
        <v>6</v>
      </c>
      <c r="G30" s="118">
        <f t="shared" si="3"/>
        <v>0</v>
      </c>
      <c r="H30" s="118">
        <f t="shared" si="3"/>
        <v>4736594.1080930391</v>
      </c>
      <c r="I30" s="118">
        <f t="shared" si="3"/>
        <v>1071528.6258627202</v>
      </c>
      <c r="J30" s="119">
        <f t="shared" si="3"/>
        <v>0</v>
      </c>
    </row>
    <row r="31" spans="1:33" ht="15.75" thickBot="1" x14ac:dyDescent="0.3">
      <c r="A31" s="19"/>
      <c r="B31" s="163"/>
      <c r="E31" s="3"/>
      <c r="F31" s="112" t="s">
        <v>7</v>
      </c>
      <c r="G31" s="167">
        <f t="shared" si="3"/>
        <v>0</v>
      </c>
      <c r="H31" s="167">
        <f t="shared" si="3"/>
        <v>1434136.2671354958</v>
      </c>
      <c r="I31" s="167">
        <f t="shared" si="3"/>
        <v>324435.24366969115</v>
      </c>
      <c r="J31" s="109">
        <f t="shared" si="3"/>
        <v>0</v>
      </c>
    </row>
    <row r="45" spans="2:5" x14ac:dyDescent="0.25">
      <c r="B45" s="5"/>
      <c r="C45" s="5"/>
      <c r="D45" s="5"/>
      <c r="E45" s="5"/>
    </row>
    <row r="49" spans="2:5" x14ac:dyDescent="0.25">
      <c r="B49" s="5"/>
      <c r="C49" s="5"/>
      <c r="D49" s="5"/>
      <c r="E49" s="5"/>
    </row>
  </sheetData>
  <mergeCells count="2">
    <mergeCell ref="F2:J2"/>
    <mergeCell ref="F18:J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6" tint="0.59999389629810485"/>
  </sheetPr>
  <dimension ref="A1:K4"/>
  <sheetViews>
    <sheetView workbookViewId="0">
      <selection activeCell="S23" sqref="S23"/>
    </sheetView>
  </sheetViews>
  <sheetFormatPr defaultRowHeight="15" x14ac:dyDescent="0.25"/>
  <cols>
    <col min="2" max="2" width="18" customWidth="1"/>
    <col min="3" max="3" width="17.140625" customWidth="1"/>
    <col min="4" max="4" width="14.28515625" bestFit="1" customWidth="1"/>
    <col min="5" max="5" width="11.140625" customWidth="1"/>
    <col min="6" max="6" width="15.140625" customWidth="1"/>
    <col min="7" max="7" width="13.28515625" customWidth="1"/>
  </cols>
  <sheetData>
    <row r="1" spans="1:11" x14ac:dyDescent="0.25">
      <c r="A1" s="6" t="s">
        <v>113</v>
      </c>
    </row>
    <row r="2" spans="1:11" x14ac:dyDescent="0.25">
      <c r="B2" s="42"/>
      <c r="C2" s="42"/>
    </row>
    <row r="3" spans="1:11" x14ac:dyDescent="0.25">
      <c r="K3" s="2"/>
    </row>
    <row r="4" spans="1:11" x14ac:dyDescent="0.25">
      <c r="A4" s="19" t="s">
        <v>114</v>
      </c>
      <c r="B4" s="106">
        <v>0</v>
      </c>
      <c r="K4" s="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BD8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M73" sqref="M73"/>
    </sheetView>
  </sheetViews>
  <sheetFormatPr defaultColWidth="9.140625" defaultRowHeight="15" x14ac:dyDescent="0.25"/>
  <cols>
    <col min="1" max="1" width="23.42578125" customWidth="1"/>
    <col min="2" max="11" width="16" customWidth="1"/>
    <col min="12" max="12" width="15" customWidth="1"/>
    <col min="13" max="46" width="16" customWidth="1"/>
    <col min="47" max="47" width="16.42578125" customWidth="1"/>
    <col min="48" max="48" width="17.28515625" customWidth="1"/>
    <col min="49" max="49" width="16.85546875" customWidth="1"/>
    <col min="50" max="50" width="13.85546875" bestFit="1" customWidth="1"/>
    <col min="51" max="51" width="10.85546875" bestFit="1" customWidth="1"/>
    <col min="53" max="53" width="12.7109375" bestFit="1" customWidth="1"/>
  </cols>
  <sheetData>
    <row r="1" spans="1:56" x14ac:dyDescent="0.25">
      <c r="A1" t="s">
        <v>159</v>
      </c>
    </row>
    <row r="2" spans="1:56" x14ac:dyDescent="0.25">
      <c r="B2" s="125" t="s">
        <v>120</v>
      </c>
      <c r="I2" s="2" t="s">
        <v>26</v>
      </c>
    </row>
    <row r="3" spans="1:56" x14ac:dyDescent="0.25">
      <c r="B3" s="52" t="s">
        <v>161</v>
      </c>
      <c r="C3" s="52" t="s">
        <v>128</v>
      </c>
      <c r="D3" s="52" t="s">
        <v>63</v>
      </c>
      <c r="E3" s="52" t="s">
        <v>90</v>
      </c>
      <c r="F3" s="52" t="s">
        <v>64</v>
      </c>
      <c r="G3" s="52" t="s">
        <v>121</v>
      </c>
      <c r="H3" s="2"/>
      <c r="I3" s="2" t="s">
        <v>124</v>
      </c>
    </row>
    <row r="4" spans="1:56" x14ac:dyDescent="0.25">
      <c r="A4" t="s">
        <v>0</v>
      </c>
      <c r="B4" s="21">
        <f>M65</f>
        <v>13722.349284809385</v>
      </c>
      <c r="C4" s="21">
        <f>SUM(B15:AW15)</f>
        <v>-108895.23616696717</v>
      </c>
      <c r="D4" s="21">
        <f>SUM(B29:AW29)</f>
        <v>-110248.58133208359</v>
      </c>
      <c r="E4" s="21">
        <f>B4+C4-D4</f>
        <v>15075.69444992581</v>
      </c>
      <c r="F4" s="21">
        <f>SUM(B55:AW55)</f>
        <v>356.70634024506256</v>
      </c>
      <c r="G4" s="26">
        <f>E4+F4</f>
        <v>15432.400790170872</v>
      </c>
      <c r="H4" s="2"/>
      <c r="I4" s="2" t="s">
        <v>125</v>
      </c>
      <c r="P4" s="202"/>
      <c r="Q4" s="202"/>
      <c r="R4" s="202"/>
      <c r="S4" s="202"/>
      <c r="T4" s="202"/>
      <c r="U4" s="202"/>
    </row>
    <row r="5" spans="1:56" x14ac:dyDescent="0.25">
      <c r="A5" t="s">
        <v>4</v>
      </c>
      <c r="B5" s="21">
        <f t="shared" ref="B5:B8" si="0">M66</f>
        <v>-1851.7050326834342</v>
      </c>
      <c r="C5" s="21">
        <f t="shared" ref="C5:C8" si="1">SUM(B16:AW16)</f>
        <v>-20501.429230921403</v>
      </c>
      <c r="D5" s="21">
        <f t="shared" ref="D5:D8" si="2">SUM(B30:AW30)</f>
        <v>-22700.291807921651</v>
      </c>
      <c r="E5" s="21">
        <f t="shared" ref="E5:E8" si="3">B5+C5-D5</f>
        <v>347.15754431681489</v>
      </c>
      <c r="F5" s="21">
        <f t="shared" ref="F5:F8" si="4">SUM(B56:AW56)</f>
        <v>-21.403318854008674</v>
      </c>
      <c r="G5" s="26">
        <f>E5+F5</f>
        <v>325.75422546280623</v>
      </c>
      <c r="H5" s="2"/>
      <c r="I5" s="2" t="s">
        <v>106</v>
      </c>
      <c r="K5" s="202"/>
      <c r="P5" s="202"/>
      <c r="Q5" s="202"/>
      <c r="R5" s="202"/>
      <c r="S5" s="202"/>
      <c r="T5" s="202"/>
      <c r="U5" s="202"/>
    </row>
    <row r="6" spans="1:56" x14ac:dyDescent="0.25">
      <c r="A6" t="s">
        <v>5</v>
      </c>
      <c r="B6" s="21">
        <f t="shared" si="0"/>
        <v>2070.0461161302624</v>
      </c>
      <c r="C6" s="21">
        <f t="shared" si="1"/>
        <v>-45329.373333000876</v>
      </c>
      <c r="D6" s="21">
        <f t="shared" si="2"/>
        <v>-41512.169358376756</v>
      </c>
      <c r="E6" s="21">
        <f t="shared" si="3"/>
        <v>-1747.1578584938616</v>
      </c>
      <c r="F6" s="21">
        <f t="shared" si="4"/>
        <v>-79.391145932690407</v>
      </c>
      <c r="G6" s="26">
        <f>E6+F6</f>
        <v>-1826.5490044265521</v>
      </c>
      <c r="H6" s="2"/>
      <c r="I6" s="2" t="s">
        <v>126</v>
      </c>
      <c r="K6" s="202"/>
      <c r="P6" s="202"/>
      <c r="Q6" s="202"/>
      <c r="R6" s="202"/>
      <c r="S6" s="202"/>
      <c r="T6" s="202"/>
      <c r="U6" s="202"/>
      <c r="Y6" s="3"/>
    </row>
    <row r="7" spans="1:56" x14ac:dyDescent="0.25">
      <c r="A7" t="s">
        <v>6</v>
      </c>
      <c r="B7" s="21">
        <f t="shared" si="0"/>
        <v>354.19769641814929</v>
      </c>
      <c r="C7" s="21">
        <f t="shared" si="1"/>
        <v>-19393.080386121183</v>
      </c>
      <c r="D7" s="21">
        <f t="shared" si="2"/>
        <v>-19869.822817831184</v>
      </c>
      <c r="E7" s="21">
        <f t="shared" si="3"/>
        <v>830.94012812814981</v>
      </c>
      <c r="F7" s="21">
        <f t="shared" si="4"/>
        <v>-282.30580141309571</v>
      </c>
      <c r="G7" s="26">
        <f>E7+F7</f>
        <v>548.63432671505416</v>
      </c>
      <c r="H7" s="2"/>
      <c r="I7" s="2" t="s">
        <v>81</v>
      </c>
      <c r="K7" s="202"/>
      <c r="P7" s="202"/>
      <c r="Q7" s="202"/>
      <c r="R7" s="202"/>
      <c r="S7" s="202"/>
      <c r="T7" s="202"/>
      <c r="U7" s="202"/>
    </row>
    <row r="8" spans="1:56" ht="15.75" thickBot="1" x14ac:dyDescent="0.3">
      <c r="A8" t="s">
        <v>7</v>
      </c>
      <c r="B8" s="21">
        <f t="shared" si="0"/>
        <v>-656.03367830064747</v>
      </c>
      <c r="C8" s="21">
        <f t="shared" si="1"/>
        <v>-7819.6308829893251</v>
      </c>
      <c r="D8" s="21">
        <f t="shared" si="2"/>
        <v>-8938.5173351705889</v>
      </c>
      <c r="E8" s="21">
        <f t="shared" si="3"/>
        <v>462.85277388061695</v>
      </c>
      <c r="F8" s="21">
        <f t="shared" si="4"/>
        <v>-201.40897820363324</v>
      </c>
      <c r="G8" s="26">
        <f>E8+F8</f>
        <v>261.44379567698371</v>
      </c>
      <c r="H8" s="2"/>
      <c r="I8" s="2" t="s">
        <v>95</v>
      </c>
      <c r="K8" s="202"/>
      <c r="P8" s="202"/>
      <c r="Q8" s="202"/>
      <c r="R8" s="202"/>
      <c r="S8" s="202"/>
      <c r="T8" s="202"/>
      <c r="U8" s="202"/>
    </row>
    <row r="9" spans="1:56" ht="16.5" thickTop="1" thickBot="1" x14ac:dyDescent="0.3">
      <c r="B9" s="54">
        <f t="shared" ref="B9" si="5">SUM(B4:B8)</f>
        <v>13638.854386373714</v>
      </c>
      <c r="C9" s="54">
        <f>SUM(C4:C8)</f>
        <v>-201938.74999999994</v>
      </c>
      <c r="D9" s="54">
        <f t="shared" ref="D9" si="6">SUM(D4:D8)</f>
        <v>-203269.38265138378</v>
      </c>
      <c r="E9" s="54">
        <f>SUM(E4:E8)</f>
        <v>14969.48703775753</v>
      </c>
      <c r="F9" s="54">
        <f>SUM(F4:F8)</f>
        <v>-227.80290415836544</v>
      </c>
      <c r="G9" s="54">
        <f>SUM(G4:G8)</f>
        <v>14741.684133599163</v>
      </c>
      <c r="H9" s="252"/>
      <c r="I9" s="2" t="s">
        <v>127</v>
      </c>
      <c r="K9" s="202"/>
      <c r="P9" s="202"/>
      <c r="Q9" s="202"/>
      <c r="R9" s="202"/>
      <c r="S9" s="202"/>
      <c r="T9" s="202"/>
      <c r="U9" s="202"/>
    </row>
    <row r="10" spans="1:56" ht="16.5" thickTop="1" thickBot="1" x14ac:dyDescent="0.3">
      <c r="E10" s="23" t="s">
        <v>25</v>
      </c>
      <c r="F10" s="18">
        <f>F9-SUM(B38:BV38)</f>
        <v>0.25949108246027208</v>
      </c>
      <c r="K10" s="31"/>
      <c r="P10" s="202"/>
      <c r="Q10" s="202"/>
      <c r="R10" s="202"/>
      <c r="S10" s="202"/>
      <c r="T10" s="202"/>
      <c r="U10" s="202"/>
    </row>
    <row r="11" spans="1:56" ht="15.75" thickTop="1" x14ac:dyDescent="0.25"/>
    <row r="12" spans="1:56" ht="15.75" thickBo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1"/>
      <c r="AV12" s="31"/>
    </row>
    <row r="13" spans="1:56" ht="15.75" thickBot="1" x14ac:dyDescent="0.3">
      <c r="B13" s="92" t="s">
        <v>107</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330" t="s">
        <v>66</v>
      </c>
      <c r="AV13" s="331"/>
      <c r="AW13" s="332"/>
    </row>
    <row r="14" spans="1:56" x14ac:dyDescent="0.25">
      <c r="A14" t="s">
        <v>122</v>
      </c>
      <c r="B14" s="58">
        <v>44228</v>
      </c>
      <c r="C14" s="59">
        <f t="shared" ref="C14:J14" si="7">EDATE(B14,1)</f>
        <v>44256</v>
      </c>
      <c r="D14" s="59">
        <f t="shared" si="7"/>
        <v>44287</v>
      </c>
      <c r="E14" s="59">
        <f t="shared" si="7"/>
        <v>44317</v>
      </c>
      <c r="F14" s="59">
        <f t="shared" si="7"/>
        <v>44348</v>
      </c>
      <c r="G14" s="59">
        <f t="shared" si="7"/>
        <v>44378</v>
      </c>
      <c r="H14" s="59">
        <f t="shared" si="7"/>
        <v>44409</v>
      </c>
      <c r="I14" s="59">
        <f t="shared" si="7"/>
        <v>44440</v>
      </c>
      <c r="J14" s="59">
        <f t="shared" si="7"/>
        <v>44470</v>
      </c>
      <c r="K14" s="59">
        <f t="shared" ref="K14" si="8">EDATE(J14,1)</f>
        <v>44501</v>
      </c>
      <c r="L14" s="59">
        <f t="shared" ref="L14" si="9">EDATE(K14,1)</f>
        <v>44531</v>
      </c>
      <c r="M14" s="59">
        <f t="shared" ref="M14" si="10">EDATE(L14,1)</f>
        <v>44562</v>
      </c>
      <c r="N14" s="59">
        <f t="shared" ref="N14" si="11">EDATE(M14,1)</f>
        <v>44593</v>
      </c>
      <c r="O14" s="59">
        <f t="shared" ref="O14" si="12">EDATE(N14,1)</f>
        <v>44621</v>
      </c>
      <c r="P14" s="59">
        <f t="shared" ref="P14" si="13">EDATE(O14,1)</f>
        <v>44652</v>
      </c>
      <c r="Q14" s="59">
        <f t="shared" ref="Q14" si="14">EDATE(P14,1)</f>
        <v>44682</v>
      </c>
      <c r="R14" s="59">
        <f t="shared" ref="R14" si="15">EDATE(Q14,1)</f>
        <v>44713</v>
      </c>
      <c r="S14" s="59">
        <f t="shared" ref="S14" si="16">EDATE(R14,1)</f>
        <v>44743</v>
      </c>
      <c r="T14" s="59">
        <f t="shared" ref="T14" si="17">EDATE(S14,1)</f>
        <v>44774</v>
      </c>
      <c r="U14" s="59">
        <f t="shared" ref="U14" si="18">EDATE(T14,1)</f>
        <v>44805</v>
      </c>
      <c r="V14" s="59">
        <f t="shared" ref="V14:W14" si="19">EDATE(U14,1)</f>
        <v>44835</v>
      </c>
      <c r="W14" s="59">
        <f t="shared" si="19"/>
        <v>44866</v>
      </c>
      <c r="X14" s="59">
        <f t="shared" ref="X14" si="20">EDATE(W14,1)</f>
        <v>44896</v>
      </c>
      <c r="Y14" s="59">
        <f t="shared" ref="Y14" si="21">EDATE(X14,1)</f>
        <v>44927</v>
      </c>
      <c r="Z14" s="59">
        <f t="shared" ref="Z14" si="22">EDATE(Y14,1)</f>
        <v>44958</v>
      </c>
      <c r="AA14" s="59">
        <f t="shared" ref="AA14" si="23">EDATE(Z14,1)</f>
        <v>44986</v>
      </c>
      <c r="AB14" s="59">
        <f t="shared" ref="AB14" si="24">EDATE(AA14,1)</f>
        <v>45017</v>
      </c>
      <c r="AC14" s="59">
        <f t="shared" ref="AC14" si="25">EDATE(AB14,1)</f>
        <v>45047</v>
      </c>
      <c r="AD14" s="59">
        <f t="shared" ref="AD14" si="26">EDATE(AC14,1)</f>
        <v>45078</v>
      </c>
      <c r="AE14" s="59">
        <f t="shared" ref="AE14" si="27">EDATE(AD14,1)</f>
        <v>45108</v>
      </c>
      <c r="AF14" s="59">
        <f t="shared" ref="AF14" si="28">EDATE(AE14,1)</f>
        <v>45139</v>
      </c>
      <c r="AG14" s="59">
        <f t="shared" ref="AG14" si="29">EDATE(AF14,1)</f>
        <v>45170</v>
      </c>
      <c r="AH14" s="59">
        <f t="shared" ref="AH14" si="30">EDATE(AG14,1)</f>
        <v>45200</v>
      </c>
      <c r="AI14" s="59">
        <f t="shared" ref="AI14" si="31">EDATE(AH14,1)</f>
        <v>45231</v>
      </c>
      <c r="AJ14" s="59">
        <f t="shared" ref="AJ14" si="32">EDATE(AI14,1)</f>
        <v>45261</v>
      </c>
      <c r="AK14" s="59">
        <f t="shared" ref="AK14" si="33">EDATE(AJ14,1)</f>
        <v>45292</v>
      </c>
      <c r="AL14" s="59">
        <f t="shared" ref="AL14" si="34">EDATE(AK14,1)</f>
        <v>45323</v>
      </c>
      <c r="AM14" s="59">
        <f t="shared" ref="AM14" si="35">EDATE(AL14,1)</f>
        <v>45352</v>
      </c>
      <c r="AN14" s="59">
        <f t="shared" ref="AN14" si="36">EDATE(AM14,1)</f>
        <v>45383</v>
      </c>
      <c r="AO14" s="59">
        <f t="shared" ref="AO14" si="37">EDATE(AN14,1)</f>
        <v>45413</v>
      </c>
      <c r="AP14" s="59">
        <f t="shared" ref="AP14" si="38">EDATE(AO14,1)</f>
        <v>45444</v>
      </c>
      <c r="AQ14" s="59">
        <f t="shared" ref="AQ14" si="39">EDATE(AP14,1)</f>
        <v>45474</v>
      </c>
      <c r="AR14" s="59">
        <f t="shared" ref="AR14" si="40">EDATE(AQ14,1)</f>
        <v>45505</v>
      </c>
      <c r="AS14" s="59">
        <f t="shared" ref="AS14" si="41">EDATE(AR14,1)</f>
        <v>45536</v>
      </c>
      <c r="AT14" s="59">
        <f t="shared" ref="AT14" si="42">EDATE(AS14,1)</f>
        <v>45566</v>
      </c>
      <c r="AU14" s="58">
        <f>EDATE(AT14,1)</f>
        <v>45597</v>
      </c>
      <c r="AV14" s="59">
        <f t="shared" ref="AV14:AW14" si="43">EDATE(AU14,1)</f>
        <v>45627</v>
      </c>
      <c r="AW14" s="60">
        <f t="shared" si="43"/>
        <v>45658</v>
      </c>
      <c r="AX14" s="1"/>
      <c r="AY14" s="1"/>
      <c r="AZ14" s="1"/>
      <c r="BA14" s="1"/>
      <c r="BB14" s="1"/>
      <c r="BC14" s="1"/>
      <c r="BD14" s="1"/>
    </row>
    <row r="15" spans="1:56" x14ac:dyDescent="0.25">
      <c r="A15" t="s">
        <v>0</v>
      </c>
      <c r="B15" s="69">
        <v>-26962.441870856175</v>
      </c>
      <c r="C15" s="69"/>
      <c r="D15" s="69"/>
      <c r="E15" s="69"/>
      <c r="F15" s="69"/>
      <c r="G15" s="69"/>
      <c r="H15" s="69"/>
      <c r="I15" s="69"/>
      <c r="J15" s="69">
        <f>-82899.8346287395</f>
        <v>-82899.834628739496</v>
      </c>
      <c r="K15" s="259">
        <f>-'[1]OAR.1C (M3)'!$R$13</f>
        <v>967.04033262850135</v>
      </c>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93">
        <v>0</v>
      </c>
      <c r="AV15" s="94">
        <v>0</v>
      </c>
      <c r="AW15" s="95">
        <v>0</v>
      </c>
    </row>
    <row r="16" spans="1:56" x14ac:dyDescent="0.25">
      <c r="A16" t="s">
        <v>4</v>
      </c>
      <c r="B16" s="69">
        <v>-5076.1503750323909</v>
      </c>
      <c r="C16" s="69"/>
      <c r="D16" s="69"/>
      <c r="E16" s="69"/>
      <c r="F16" s="69"/>
      <c r="G16" s="69"/>
      <c r="H16" s="69"/>
      <c r="I16" s="69"/>
      <c r="J16" s="69">
        <f>-15607.34108047</f>
        <v>-15607.34108047</v>
      </c>
      <c r="K16" s="259">
        <f>-'[1]OAR.1C (M3)'!$R$14</f>
        <v>182.06222458098637</v>
      </c>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93">
        <v>0</v>
      </c>
      <c r="AV16" s="94">
        <v>0</v>
      </c>
      <c r="AW16" s="95">
        <v>0</v>
      </c>
    </row>
    <row r="17" spans="1:50" x14ac:dyDescent="0.25">
      <c r="A17" t="s">
        <v>5</v>
      </c>
      <c r="B17" s="69">
        <v>-11223.545093004912</v>
      </c>
      <c r="C17" s="69"/>
      <c r="D17" s="69"/>
      <c r="E17" s="69"/>
      <c r="F17" s="69"/>
      <c r="G17" s="69"/>
      <c r="H17" s="69"/>
      <c r="I17" s="69"/>
      <c r="J17" s="69">
        <f>-34508.3741530107</f>
        <v>-34508.3741530107</v>
      </c>
      <c r="K17" s="259">
        <f>-'[1]OAR.1C (M3)'!$R$15</f>
        <v>402.54591301473556</v>
      </c>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93">
        <v>0</v>
      </c>
      <c r="AV17" s="94">
        <v>0</v>
      </c>
      <c r="AW17" s="95">
        <v>0</v>
      </c>
    </row>
    <row r="18" spans="1:50" x14ac:dyDescent="0.25">
      <c r="A18" t="s">
        <v>6</v>
      </c>
      <c r="B18" s="69">
        <v>-4801.723390414465</v>
      </c>
      <c r="C18" s="69"/>
      <c r="D18" s="69"/>
      <c r="E18" s="69"/>
      <c r="F18" s="69"/>
      <c r="G18" s="69"/>
      <c r="H18" s="69"/>
      <c r="I18" s="69"/>
      <c r="J18" s="69">
        <f>-14763.576567172</f>
        <v>-14763.576567172</v>
      </c>
      <c r="K18" s="259">
        <f>-'[1]OAR.1C (M3)'!$R$16</f>
        <v>172.21957146528257</v>
      </c>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93">
        <v>0</v>
      </c>
      <c r="AV18" s="94">
        <v>0</v>
      </c>
      <c r="AW18" s="95">
        <v>0</v>
      </c>
    </row>
    <row r="19" spans="1:50" x14ac:dyDescent="0.25">
      <c r="A19" t="s">
        <v>7</v>
      </c>
      <c r="B19" s="69">
        <v>-1936.1392706920603</v>
      </c>
      <c r="C19" s="69"/>
      <c r="D19" s="69"/>
      <c r="E19" s="69"/>
      <c r="F19" s="69"/>
      <c r="G19" s="69"/>
      <c r="H19" s="69"/>
      <c r="I19" s="69"/>
      <c r="J19" s="69">
        <f>-5952.93357060776</f>
        <v>-5952.93357060776</v>
      </c>
      <c r="K19" s="259">
        <f>-'[1]OAR.1C (M3)'!$R$17</f>
        <v>69.441958310495465</v>
      </c>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93">
        <v>0</v>
      </c>
      <c r="AV19" s="94">
        <v>0</v>
      </c>
      <c r="AW19" s="95">
        <v>0</v>
      </c>
    </row>
    <row r="20" spans="1:50" x14ac:dyDescent="0.25">
      <c r="AU20" s="65"/>
      <c r="AW20" s="67"/>
    </row>
    <row r="21" spans="1:50" x14ac:dyDescent="0.25">
      <c r="A21" t="s">
        <v>123</v>
      </c>
      <c r="B21" s="68" t="s">
        <v>67</v>
      </c>
      <c r="AU21" s="65"/>
      <c r="AW21" s="67"/>
      <c r="AX21" t="s">
        <v>105</v>
      </c>
    </row>
    <row r="22" spans="1:50" x14ac:dyDescent="0.25">
      <c r="A22" t="s">
        <v>0</v>
      </c>
      <c r="B22" s="62">
        <v>0</v>
      </c>
      <c r="C22" s="62">
        <v>0</v>
      </c>
      <c r="D22" s="62">
        <v>0</v>
      </c>
      <c r="E22" s="62">
        <v>0</v>
      </c>
      <c r="F22" s="62">
        <v>0</v>
      </c>
      <c r="G22" s="62">
        <v>0</v>
      </c>
      <c r="H22" s="62">
        <v>0</v>
      </c>
      <c r="I22" s="62">
        <v>0</v>
      </c>
      <c r="J22" s="69">
        <v>0</v>
      </c>
      <c r="K22" s="69">
        <v>0</v>
      </c>
      <c r="L22" s="69">
        <v>0</v>
      </c>
      <c r="M22" s="69">
        <v>0</v>
      </c>
      <c r="N22" s="69">
        <v>-3957.47</v>
      </c>
      <c r="O22" s="69">
        <v>-9416.89</v>
      </c>
      <c r="P22" s="69">
        <v>-7275.1400000000012</v>
      </c>
      <c r="Q22" s="69">
        <v>-6981.91</v>
      </c>
      <c r="R22" s="69">
        <v>-9215.5400000000027</v>
      </c>
      <c r="S22" s="69">
        <v>-12631.340000000002</v>
      </c>
      <c r="T22" s="69">
        <v>-12064.529999999997</v>
      </c>
      <c r="U22" s="69">
        <v>-10087.510000000002</v>
      </c>
      <c r="V22" s="69">
        <v>-7025.22</v>
      </c>
      <c r="W22" s="69">
        <v>-6328</v>
      </c>
      <c r="X22" s="69">
        <v>-10155.75</v>
      </c>
      <c r="Y22" s="69">
        <v>-12257.6</v>
      </c>
      <c r="Z22" s="69">
        <v>-5035.6399999999994</v>
      </c>
      <c r="AA22" s="69">
        <v>26.07</v>
      </c>
      <c r="AB22" s="69">
        <v>19.089999999999996</v>
      </c>
      <c r="AC22" s="69">
        <v>8.31</v>
      </c>
      <c r="AD22" s="69">
        <v>20.86</v>
      </c>
      <c r="AE22" s="69">
        <v>36.169999999999995</v>
      </c>
      <c r="AF22" s="69">
        <v>32.86999999999999</v>
      </c>
      <c r="AG22" s="69">
        <v>-1.8800000000000014</v>
      </c>
      <c r="AH22" s="69">
        <v>13.229999999999997</v>
      </c>
      <c r="AI22" s="69">
        <f>-'[1]OAR.2 (M3)'!W5</f>
        <v>9.6800000000000015</v>
      </c>
      <c r="AJ22" s="69">
        <f>-'[1]OAR.2 (M3)'!X5</f>
        <v>41.709999999999994</v>
      </c>
      <c r="AK22" s="69">
        <f>-'[1]OAR.2 (M3)'!Y5</f>
        <v>206.73999999999995</v>
      </c>
      <c r="AL22" s="69">
        <f>-'[1]OAR.2 (M3)'!Z5</f>
        <v>179.49000000000004</v>
      </c>
      <c r="AM22" s="69">
        <f>-'[1]OAR.2 (M3)'!AA5</f>
        <v>19.040000000000024</v>
      </c>
      <c r="AN22" s="69">
        <f>-'[1]OAR.2 (M3)'!AB5</f>
        <v>10.550000000000006</v>
      </c>
      <c r="AO22" s="69">
        <f>-'[1]OAR.2 (M3)'!AC5</f>
        <v>10.289999999999997</v>
      </c>
      <c r="AP22" s="69">
        <f>-'[1]OAR.2 (M3)'!AD5</f>
        <v>25.070000000000022</v>
      </c>
      <c r="AQ22" s="69">
        <f>-'[1]OAR.2 (M3)'!AE5</f>
        <v>41.779999999999973</v>
      </c>
      <c r="AR22" s="69">
        <f>-'[1]OAR.2 (M3)'!AF5</f>
        <v>29.370000000000015</v>
      </c>
      <c r="AS22" s="69">
        <f>-'[1]OAR.2 (M3)'!AG5</f>
        <v>26.690000000000037</v>
      </c>
      <c r="AT22" s="69">
        <f>-'[1]OAR.2 (M3)'!AH5</f>
        <v>13.089999999999998</v>
      </c>
      <c r="AU22" s="210">
        <f>'PCR (M3)'!BU28*$AX22+AU36</f>
        <v>922.19731757388217</v>
      </c>
      <c r="AV22" s="235">
        <f>'PCR (M3)'!BV28*$AX22+AV36</f>
        <v>1164.8981783577544</v>
      </c>
      <c r="AW22" s="241">
        <f>'PCR (M3)'!BW28*$AX22+AW36</f>
        <v>1370.775374318378</v>
      </c>
      <c r="AX22" s="70">
        <v>9.9999999999999995E-7</v>
      </c>
    </row>
    <row r="23" spans="1:50" x14ac:dyDescent="0.25">
      <c r="A23" t="s">
        <v>4</v>
      </c>
      <c r="B23" s="62">
        <v>0</v>
      </c>
      <c r="C23" s="62">
        <v>0</v>
      </c>
      <c r="D23" s="62">
        <v>0</v>
      </c>
      <c r="E23" s="62">
        <v>0</v>
      </c>
      <c r="F23" s="62">
        <v>0</v>
      </c>
      <c r="G23" s="62">
        <v>0</v>
      </c>
      <c r="H23" s="62">
        <v>0</v>
      </c>
      <c r="I23" s="62">
        <v>0</v>
      </c>
      <c r="J23" s="69">
        <v>0</v>
      </c>
      <c r="K23" s="69">
        <v>0</v>
      </c>
      <c r="L23" s="69">
        <v>0</v>
      </c>
      <c r="M23" s="69">
        <v>0</v>
      </c>
      <c r="N23" s="69">
        <v>-985.13</v>
      </c>
      <c r="O23" s="69">
        <v>-1906.5700000000002</v>
      </c>
      <c r="P23" s="69">
        <v>-1665.0300000000002</v>
      </c>
      <c r="Q23" s="69">
        <v>-1617.3499999999995</v>
      </c>
      <c r="R23" s="69">
        <v>-1918.73</v>
      </c>
      <c r="S23" s="69">
        <v>-2337.6800000000003</v>
      </c>
      <c r="T23" s="69">
        <v>-2274.25</v>
      </c>
      <c r="U23" s="69">
        <v>-2069.08</v>
      </c>
      <c r="V23" s="69">
        <v>-1663.4899999999998</v>
      </c>
      <c r="W23" s="69">
        <v>-1572.8400000000001</v>
      </c>
      <c r="X23" s="69">
        <v>-2016.3200000000002</v>
      </c>
      <c r="Y23" s="69">
        <v>-2333.6800000000003</v>
      </c>
      <c r="Z23" s="69">
        <v>-1104.52</v>
      </c>
      <c r="AA23" s="69">
        <v>-2.98</v>
      </c>
      <c r="AB23" s="69">
        <v>-1.89</v>
      </c>
      <c r="AC23" s="69">
        <v>-0.98</v>
      </c>
      <c r="AD23" s="69">
        <v>-4900.78</v>
      </c>
      <c r="AE23" s="69">
        <v>-1.1600000000000001</v>
      </c>
      <c r="AF23" s="69">
        <v>-1.5200000000000002</v>
      </c>
      <c r="AG23" s="69">
        <v>3.23</v>
      </c>
      <c r="AH23" s="69">
        <v>-0.39000000000000007</v>
      </c>
      <c r="AI23" s="69">
        <f>-'[1]OAR.2 (M3)'!W6</f>
        <v>-0.61</v>
      </c>
      <c r="AJ23" s="69">
        <f>-'[1]OAR.2 (M3)'!X6</f>
        <v>0.31999999999999995</v>
      </c>
      <c r="AK23" s="69">
        <f>-'[1]OAR.2 (M3)'!Y6</f>
        <v>-0.31000000000000005</v>
      </c>
      <c r="AL23" s="69">
        <f>-'[1]OAR.2 (M3)'!Z6</f>
        <v>139.92999999999992</v>
      </c>
      <c r="AM23" s="69">
        <f>-'[1]OAR.2 (M3)'!AA6</f>
        <v>368.04999999999933</v>
      </c>
      <c r="AN23" s="69">
        <f>-'[1]OAR.2 (M3)'!AB6</f>
        <v>356.64999999999907</v>
      </c>
      <c r="AO23" s="69">
        <f>-'[1]OAR.2 (M3)'!AC6</f>
        <v>339.21999999999895</v>
      </c>
      <c r="AP23" s="69">
        <f>-'[1]OAR.2 (M3)'!AD6</f>
        <v>436.5199999999989</v>
      </c>
      <c r="AQ23" s="69">
        <f>-'[1]OAR.2 (M3)'!AE6</f>
        <v>542.50999999999874</v>
      </c>
      <c r="AR23" s="69">
        <f>-'[1]OAR.2 (M3)'!AF6</f>
        <v>503.84999999999883</v>
      </c>
      <c r="AS23" s="69">
        <f>-'[1]OAR.2 (M3)'!AG6</f>
        <v>486.46999999999883</v>
      </c>
      <c r="AT23" s="69">
        <f>-'[1]OAR.2 (M3)'!AH6</f>
        <v>394.09999999999923</v>
      </c>
      <c r="AU23" s="210">
        <f>'PCR (M3)'!BU29*$AX23</f>
        <v>461.11262795096968</v>
      </c>
      <c r="AV23" s="235">
        <f>'PCR (M3)'!BV29*$AX23</f>
        <v>551.9591317457257</v>
      </c>
      <c r="AW23" s="241">
        <f>'PCR (M3)'!BW29*$AX23</f>
        <v>620.79134165491791</v>
      </c>
      <c r="AX23" s="70">
        <v>1.9999999999999999E-6</v>
      </c>
    </row>
    <row r="24" spans="1:50" x14ac:dyDescent="0.25">
      <c r="A24" t="s">
        <v>5</v>
      </c>
      <c r="B24" s="62">
        <v>0</v>
      </c>
      <c r="C24" s="62">
        <v>0</v>
      </c>
      <c r="D24" s="62">
        <v>0</v>
      </c>
      <c r="E24" s="62">
        <v>0</v>
      </c>
      <c r="F24" s="62">
        <v>0</v>
      </c>
      <c r="G24" s="62">
        <v>0</v>
      </c>
      <c r="H24" s="62">
        <v>0</v>
      </c>
      <c r="I24" s="62">
        <v>0</v>
      </c>
      <c r="J24" s="69">
        <v>0</v>
      </c>
      <c r="K24" s="69">
        <v>0</v>
      </c>
      <c r="L24" s="69">
        <v>0</v>
      </c>
      <c r="M24" s="69">
        <v>0</v>
      </c>
      <c r="N24" s="69">
        <v>-1901.57</v>
      </c>
      <c r="O24" s="69">
        <v>-3716.6100000000006</v>
      </c>
      <c r="P24" s="69">
        <v>-3537.0699999999997</v>
      </c>
      <c r="Q24" s="69">
        <v>-3610.63</v>
      </c>
      <c r="R24" s="69">
        <v>-4063.1800000000003</v>
      </c>
      <c r="S24" s="69">
        <v>-4852.5699999999988</v>
      </c>
      <c r="T24" s="69">
        <v>-4516.2700000000013</v>
      </c>
      <c r="U24" s="69">
        <v>-4325.6100000000006</v>
      </c>
      <c r="V24" s="69">
        <v>-3711.7500000000009</v>
      </c>
      <c r="W24" s="69">
        <v>-3599.22</v>
      </c>
      <c r="X24" s="69">
        <v>-4004.42</v>
      </c>
      <c r="Y24" s="69">
        <v>-4176.16</v>
      </c>
      <c r="Z24" s="69">
        <v>-2288.62</v>
      </c>
      <c r="AA24" s="69">
        <v>-22.39</v>
      </c>
      <c r="AB24" s="69">
        <v>-2.5500000000000003</v>
      </c>
      <c r="AC24" s="69">
        <v>3.54</v>
      </c>
      <c r="AD24" s="69">
        <v>-6615.0599999999995</v>
      </c>
      <c r="AE24" s="69">
        <v>0.02</v>
      </c>
      <c r="AF24" s="69">
        <v>-4.33</v>
      </c>
      <c r="AG24" s="69">
        <v>1.94</v>
      </c>
      <c r="AH24" s="69">
        <v>0.04</v>
      </c>
      <c r="AI24" s="69">
        <f>-'[1]OAR.2 (M3)'!W7</f>
        <v>-0.04</v>
      </c>
      <c r="AJ24" s="69">
        <f>-'[1]OAR.2 (M3)'!X7</f>
        <v>-31.9</v>
      </c>
      <c r="AK24" s="69">
        <f>-'[1]OAR.2 (M3)'!Y7</f>
        <v>0</v>
      </c>
      <c r="AL24" s="69">
        <f>-'[1]OAR.2 (M3)'!Z7</f>
        <v>415.56</v>
      </c>
      <c r="AM24" s="69">
        <f>-'[1]OAR.2 (M3)'!AA7</f>
        <v>973.74000000000024</v>
      </c>
      <c r="AN24" s="69">
        <f>-'[1]OAR.2 (M3)'!AB7</f>
        <v>984.2299999999999</v>
      </c>
      <c r="AO24" s="69">
        <f>-'[1]OAR.2 (M3)'!AC7</f>
        <v>989.42</v>
      </c>
      <c r="AP24" s="69">
        <f>-'[1]OAR.2 (M3)'!AD7</f>
        <v>1120.79</v>
      </c>
      <c r="AQ24" s="69">
        <f>-'[1]OAR.2 (M3)'!AE7</f>
        <v>1265.6000000000001</v>
      </c>
      <c r="AR24" s="69">
        <f>-'[1]OAR.2 (M3)'!AF7</f>
        <v>1187.7400000000009</v>
      </c>
      <c r="AS24" s="69">
        <f>-'[1]OAR.2 (M3)'!AG7</f>
        <v>1188.0899999999997</v>
      </c>
      <c r="AT24" s="69">
        <f>-'[1]OAR.2 (M3)'!AH7</f>
        <v>1059.4799999999998</v>
      </c>
      <c r="AU24" s="210">
        <f>'PCR (M3)'!BU30*$AX24</f>
        <v>1006.8047292458225</v>
      </c>
      <c r="AV24" s="235">
        <f>'PCR (M3)'!BV30*$AX24</f>
        <v>1107.9402141555406</v>
      </c>
      <c r="AW24" s="241">
        <f>'PCR (M3)'!BW30*$AX24</f>
        <v>1164.2584336132786</v>
      </c>
      <c r="AX24" s="70">
        <v>1.9999999999999999E-6</v>
      </c>
    </row>
    <row r="25" spans="1:50" x14ac:dyDescent="0.25">
      <c r="A25" t="s">
        <v>6</v>
      </c>
      <c r="B25" s="62">
        <v>0</v>
      </c>
      <c r="C25" s="62">
        <v>0</v>
      </c>
      <c r="D25" s="62">
        <v>0</v>
      </c>
      <c r="E25" s="62">
        <v>0</v>
      </c>
      <c r="F25" s="62">
        <v>0</v>
      </c>
      <c r="G25" s="62">
        <v>0</v>
      </c>
      <c r="H25" s="62">
        <v>0</v>
      </c>
      <c r="I25" s="62">
        <v>0</v>
      </c>
      <c r="J25" s="69">
        <v>0</v>
      </c>
      <c r="K25" s="69">
        <v>0</v>
      </c>
      <c r="L25" s="69">
        <v>0</v>
      </c>
      <c r="M25" s="69">
        <v>0</v>
      </c>
      <c r="N25" s="69">
        <v>-663.11</v>
      </c>
      <c r="O25" s="69">
        <v>-1515.26</v>
      </c>
      <c r="P25" s="69">
        <v>-1566.9300000000003</v>
      </c>
      <c r="Q25" s="69">
        <v>-1582.0300000000004</v>
      </c>
      <c r="R25" s="69">
        <v>-1806.1399999999999</v>
      </c>
      <c r="S25" s="69">
        <v>-1872.56</v>
      </c>
      <c r="T25" s="69">
        <v>-1857.5200000000004</v>
      </c>
      <c r="U25" s="69">
        <v>-1807.0499999999995</v>
      </c>
      <c r="V25" s="69">
        <v>-1604.3099999999997</v>
      </c>
      <c r="W25" s="69">
        <v>-1620.1600000000003</v>
      </c>
      <c r="X25" s="69">
        <v>-1681.6000000000001</v>
      </c>
      <c r="Y25" s="69">
        <v>-1601.04</v>
      </c>
      <c r="Z25" s="69">
        <v>-1082.9000000000001</v>
      </c>
      <c r="AA25" s="69">
        <v>-29.360000000000003</v>
      </c>
      <c r="AB25" s="69">
        <v>0</v>
      </c>
      <c r="AC25" s="69">
        <v>0</v>
      </c>
      <c r="AD25" s="69">
        <v>0</v>
      </c>
      <c r="AE25" s="69">
        <v>0.12</v>
      </c>
      <c r="AF25" s="69">
        <v>-0.12</v>
      </c>
      <c r="AG25" s="69">
        <v>0</v>
      </c>
      <c r="AH25" s="69">
        <v>0</v>
      </c>
      <c r="AI25" s="69">
        <f>-'[1]OAR.2 (M3)'!W8</f>
        <v>0</v>
      </c>
      <c r="AJ25" s="69">
        <f>-'[1]OAR.2 (M3)'!X8</f>
        <v>0</v>
      </c>
      <c r="AK25" s="69">
        <f>-'[1]OAR.2 (M3)'!Y8</f>
        <v>0</v>
      </c>
      <c r="AL25" s="69">
        <f>-'[1]OAR.2 (M3)'!Z8</f>
        <v>0</v>
      </c>
      <c r="AM25" s="69">
        <f>-'[1]OAR.2 (M3)'!AA8</f>
        <v>0</v>
      </c>
      <c r="AN25" s="69">
        <f>-'[1]OAR.2 (M3)'!AB8</f>
        <v>0</v>
      </c>
      <c r="AO25" s="69">
        <f>-'[1]OAR.2 (M3)'!AC8</f>
        <v>0</v>
      </c>
      <c r="AP25" s="69">
        <f>-'[1]OAR.2 (M3)'!AD8</f>
        <v>0</v>
      </c>
      <c r="AQ25" s="69">
        <f>-'[1]OAR.2 (M3)'!AE8</f>
        <v>0</v>
      </c>
      <c r="AR25" s="69">
        <f>-'[1]OAR.2 (M3)'!AF8</f>
        <v>0</v>
      </c>
      <c r="AS25" s="69">
        <f>-'[1]OAR.2 (M3)'!AG8</f>
        <v>0</v>
      </c>
      <c r="AT25" s="69">
        <f>-'[1]OAR.2 (M3)'!AH8</f>
        <v>0</v>
      </c>
      <c r="AU25" s="210">
        <f>'PCR (M3)'!BU31*$AX25</f>
        <v>0</v>
      </c>
      <c r="AV25" s="235">
        <f>'PCR (M3)'!BV31*$AX25</f>
        <v>0</v>
      </c>
      <c r="AW25" s="241">
        <f>'PCR (M3)'!BW31*$AX25</f>
        <v>0</v>
      </c>
      <c r="AX25" s="70">
        <v>0</v>
      </c>
    </row>
    <row r="26" spans="1:50" x14ac:dyDescent="0.25">
      <c r="A26" t="s">
        <v>7</v>
      </c>
      <c r="B26" s="62">
        <v>0</v>
      </c>
      <c r="C26" s="62">
        <v>0</v>
      </c>
      <c r="D26" s="62">
        <v>0</v>
      </c>
      <c r="E26" s="62">
        <v>0</v>
      </c>
      <c r="F26" s="62">
        <v>0</v>
      </c>
      <c r="G26" s="62">
        <v>0</v>
      </c>
      <c r="H26" s="62">
        <v>0</v>
      </c>
      <c r="I26" s="62">
        <v>0</v>
      </c>
      <c r="J26" s="69">
        <v>0</v>
      </c>
      <c r="K26" s="69">
        <v>0</v>
      </c>
      <c r="L26" s="69">
        <v>0</v>
      </c>
      <c r="M26" s="69">
        <v>0</v>
      </c>
      <c r="N26" s="69">
        <v>-149.44999999999999</v>
      </c>
      <c r="O26" s="69">
        <v>-555.80999999999995</v>
      </c>
      <c r="P26" s="69">
        <v>-466.15999999999997</v>
      </c>
      <c r="Q26" s="69">
        <v>-499.44000000000005</v>
      </c>
      <c r="R26" s="69">
        <v>-608.84</v>
      </c>
      <c r="S26" s="69">
        <v>-698.47</v>
      </c>
      <c r="T26" s="69">
        <v>-690.65</v>
      </c>
      <c r="U26" s="69">
        <v>-720.05</v>
      </c>
      <c r="V26" s="69">
        <v>-618.54999999999995</v>
      </c>
      <c r="W26" s="69">
        <v>-617.85</v>
      </c>
      <c r="X26" s="69">
        <v>-606.54</v>
      </c>
      <c r="Y26" s="69">
        <v>-512.02</v>
      </c>
      <c r="Z26" s="69">
        <v>-440.78</v>
      </c>
      <c r="AA26" s="69">
        <v>-130.55000000000001</v>
      </c>
      <c r="AB26" s="69">
        <v>-129.32</v>
      </c>
      <c r="AC26" s="69">
        <v>-135.26</v>
      </c>
      <c r="AD26" s="69">
        <v>-162.70999999999998</v>
      </c>
      <c r="AE26" s="69">
        <v>-152.38</v>
      </c>
      <c r="AF26" s="69">
        <v>-174.71000000000004</v>
      </c>
      <c r="AG26" s="69">
        <v>-190.56</v>
      </c>
      <c r="AH26" s="69">
        <v>-192.16000000000003</v>
      </c>
      <c r="AI26" s="69">
        <f>-'[1]OAR.2 (M3)'!W9</f>
        <v>-171.34</v>
      </c>
      <c r="AJ26" s="69">
        <f>-'[1]OAR.2 (M3)'!X9</f>
        <v>-192.89999999999998</v>
      </c>
      <c r="AK26" s="69">
        <f>-'[1]OAR.2 (M3)'!Y9</f>
        <v>-169</v>
      </c>
      <c r="AL26" s="69">
        <f>-'[1]OAR.2 (M3)'!Z9</f>
        <v>-105.77</v>
      </c>
      <c r="AM26" s="69">
        <f>-'[1]OAR.2 (M3)'!AA9</f>
        <v>-0.36</v>
      </c>
      <c r="AN26" s="69">
        <f>-'[1]OAR.2 (M3)'!AB9</f>
        <v>0</v>
      </c>
      <c r="AO26" s="69">
        <f>-'[1]OAR.2 (M3)'!AC9</f>
        <v>0</v>
      </c>
      <c r="AP26" s="69">
        <f>-'[1]OAR.2 (M3)'!AD9</f>
        <v>0</v>
      </c>
      <c r="AQ26" s="69">
        <f>-'[1]OAR.2 (M3)'!AE9</f>
        <v>0</v>
      </c>
      <c r="AR26" s="69">
        <f>-'[1]OAR.2 (M3)'!AF9</f>
        <v>0</v>
      </c>
      <c r="AS26" s="69">
        <f>-'[1]OAR.2 (M3)'!AG9</f>
        <v>0</v>
      </c>
      <c r="AT26" s="69">
        <f>-'[1]OAR.2 (M3)'!AH9</f>
        <v>0</v>
      </c>
      <c r="AU26" s="210">
        <f>'PCR (M3)'!BU32*$AX26</f>
        <v>0</v>
      </c>
      <c r="AV26" s="235">
        <f>'PCR (M3)'!BV32*$AX26</f>
        <v>0</v>
      </c>
      <c r="AW26" s="241">
        <f>'PCR (M3)'!BW32*$AX26</f>
        <v>0</v>
      </c>
      <c r="AX26" s="70">
        <v>0</v>
      </c>
    </row>
    <row r="27" spans="1:50" x14ac:dyDescent="0.2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66"/>
      <c r="AW27" s="67"/>
    </row>
    <row r="28" spans="1:50" x14ac:dyDescent="0.25">
      <c r="A28" t="s">
        <v>100</v>
      </c>
      <c r="AU28" s="65"/>
      <c r="AW28" s="67"/>
    </row>
    <row r="29" spans="1:50" x14ac:dyDescent="0.25">
      <c r="A29" t="s">
        <v>0</v>
      </c>
      <c r="B29" s="206">
        <f>+(B22-B36)+(B36*'PCR (M3)'!AB28)/SUM('PCR (M3)'!AB28:AB32)</f>
        <v>0</v>
      </c>
      <c r="C29" s="206">
        <f>+(C22-C36)+(C36*'PCR (M3)'!AC28)/SUM('PCR (M3)'!AC28:AC32)</f>
        <v>0</v>
      </c>
      <c r="D29" s="206">
        <f>+(D22-D36)+(D36*'PCR (M3)'!AD28)/SUM('PCR (M3)'!AD28:AD32)</f>
        <v>0</v>
      </c>
      <c r="E29" s="206">
        <f>+(E22-E36)+(E36*'PCR (M3)'!AE28)/SUM('PCR (M3)'!AE28:AE32)</f>
        <v>0</v>
      </c>
      <c r="F29" s="206">
        <f>+(F22-F36)+(F36*'PCR (M3)'!AF28)/SUM('PCR (M3)'!AF28:AF32)</f>
        <v>0</v>
      </c>
      <c r="G29" s="206">
        <f>+(G22-G36)+(G36*'PCR (M3)'!AG28)/SUM('PCR (M3)'!AG28:AG32)</f>
        <v>0.15686485692455363</v>
      </c>
      <c r="H29" s="206">
        <f>+(H22-H36)+(H36*'PCR (M3)'!AH28)/SUM('PCR (M3)'!AH28:AH32)</f>
        <v>0</v>
      </c>
      <c r="I29" s="206">
        <f>+(I22-I36)+(I36*'PCR (M3)'!AI28)/SUM('PCR (M3)'!AI28:AI32)</f>
        <v>0</v>
      </c>
      <c r="J29" s="206">
        <f>+(J22-J36)+(J36*'PCR (M3)'!AJ28)/SUM('PCR (M3)'!AJ28:AJ32)</f>
        <v>2.8010372344118704E-2</v>
      </c>
      <c r="K29" s="206">
        <f>+(K22-K36)+(K36*'PCR (M3)'!AK28)/SUM('PCR (M3)'!AK28:AK32)</f>
        <v>0</v>
      </c>
      <c r="L29" s="206">
        <f>+(L22-L36)+(L36*'PCR (M3)'!AL28)/SUM('PCR (M3)'!AL28:AL32)</f>
        <v>0</v>
      </c>
      <c r="M29" s="206">
        <f>+(M22-M36)+(M36*'PCR (M3)'!AM28)/SUM('PCR (M3)'!AM28:AM32)</f>
        <v>0</v>
      </c>
      <c r="N29" s="206">
        <f>+(N22-N36)+(N36*'PCR (M3)'!AN28)/SUM('PCR (M3)'!AN28:AN32)</f>
        <v>-4047.0629511177281</v>
      </c>
      <c r="O29" s="206">
        <f>+(O22-O36)+(O36*'PCR (M3)'!AO28)/SUM('PCR (M3)'!AO28:AO32)</f>
        <v>-9639.7381297718857</v>
      </c>
      <c r="P29" s="206">
        <f>+(P22-P36)+(P36*'PCR (M3)'!AP28)/SUM('PCR (M3)'!AP28:AP32)</f>
        <v>-7452.2854126414959</v>
      </c>
      <c r="Q29" s="206">
        <f>+(Q22-Q36)+(Q36*'PCR (M3)'!AQ28)/SUM('PCR (M3)'!AQ28:AQ32)</f>
        <v>-7114.8111207440816</v>
      </c>
      <c r="R29" s="206">
        <f>+(R22-R36)+(R36*'PCR (M3)'!AR28)/SUM('PCR (M3)'!AR28:AR32)</f>
        <v>-9358.1112396599638</v>
      </c>
      <c r="S29" s="206">
        <f>+(S22-S36)+(S36*'PCR (M3)'!AS28)/SUM('PCR (M3)'!AS28:AS32)</f>
        <v>-12807.752014937581</v>
      </c>
      <c r="T29" s="206">
        <f>+(T22-T36)+(T36*'PCR (M3)'!AT28)/SUM('PCR (M3)'!AT28:AT32)</f>
        <v>-12242.723481482135</v>
      </c>
      <c r="U29" s="206">
        <f>+(U22-U36)+(U36*'PCR (M3)'!AU28)/SUM('PCR (M3)'!AU28:AU32)</f>
        <v>-10253.565461444761</v>
      </c>
      <c r="V29" s="203">
        <f>+(V22-V36)+(V36*'PCR (M3)'!AV28)/SUM('PCR (M3)'!AV28:AV32)</f>
        <v>-7164.6087355623667</v>
      </c>
      <c r="W29" s="203">
        <f>+(W22-W36)+(W36*'PCR (M3)'!AW28)/SUM('PCR (M3)'!AW28:AW32)</f>
        <v>-6472.8527680990401</v>
      </c>
      <c r="X29" s="203">
        <f>+(X22-X36)+(X36*'PCR (M3)'!AX28)/SUM('PCR (M3)'!AX28:AX32)</f>
        <v>-10378.747657799417</v>
      </c>
      <c r="Y29" s="203">
        <f>+(Y22-Y36)+(Y36*'PCR (M3)'!AY28)/SUM('PCR (M3)'!AY28:AY32)</f>
        <v>-12491.34522602829</v>
      </c>
      <c r="Z29" s="203">
        <f>+(Z22-Z36)+(Z36*'PCR (M3)'!AZ28)/SUM('PCR (M3)'!AZ28:AZ32)</f>
        <v>-5154.5133380710286</v>
      </c>
      <c r="AA29" s="203">
        <f>+(AA22-AA36)+(AA36*'PCR (M3)'!BA28)/SUM('PCR (M3)'!BA28:BA32)</f>
        <v>27.221963606531137</v>
      </c>
      <c r="AB29" s="203">
        <f>+(AB22-AB36)+(AB36*'PCR (M3)'!BB28)/SUM('PCR (M3)'!BB28:BB32)</f>
        <v>19.857410857015093</v>
      </c>
      <c r="AC29" s="203">
        <f>+(AC22-AC36)+(AC36*'PCR (M3)'!BC28)/SUM('PCR (M3)'!BC28:BC32)</f>
        <v>8.4116272361409319</v>
      </c>
      <c r="AD29" s="203">
        <f>+(AD22-AD36)+(AD36*'PCR (M3)'!BD28)/SUM('PCR (M3)'!BD28:BD32)</f>
        <v>20.891980160773819</v>
      </c>
      <c r="AE29" s="203">
        <f>+(AE22-AE36)+(AE36*'PCR (M3)'!BE28)/SUM('PCR (M3)'!BE28:BE32)</f>
        <v>36.324628851889585</v>
      </c>
      <c r="AF29" s="203">
        <f>+(AF22-AF36)+(AF36*'PCR (M3)'!BF28)/SUM('PCR (M3)'!BF28:BF32)</f>
        <v>33.080223114056253</v>
      </c>
      <c r="AG29" s="203">
        <f>+(AG22-AG36)+(AG36*'PCR (M3)'!BG28)/SUM('PCR (M3)'!BG28:BG32)</f>
        <v>12.512052795326928</v>
      </c>
      <c r="AH29" s="203">
        <f>+(AH22-AH36)+(AH36*'PCR (M3)'!BH28)/SUM('PCR (M3)'!BH28:BH32)</f>
        <v>13.279838829732434</v>
      </c>
      <c r="AI29" s="203">
        <f>+(AI22-AI36)+(AI36*'PCR (M3)'!BI28)/SUM('PCR (M3)'!BI28:BI32)</f>
        <v>9.8107695864890871</v>
      </c>
      <c r="AJ29" s="203">
        <f>+(AJ22-AJ36)+(AJ36*'PCR (M3)'!BJ28)/SUM('PCR (M3)'!BJ28:BJ32)</f>
        <v>43.425679636572831</v>
      </c>
      <c r="AK29" s="203">
        <f>+(AK22-AK36)+(AK36*'PCR (M3)'!BK28)/SUM('PCR (M3)'!BK28:BK32)</f>
        <v>212.68049277693029</v>
      </c>
      <c r="AL29" s="203">
        <f>+(AL22-AL36)+(AL36*'PCR (M3)'!BL28)/SUM('PCR (M3)'!BL28:BL32)</f>
        <v>185.15090025735404</v>
      </c>
      <c r="AM29" s="203">
        <f>+(AM22-AM36)+(AM36*'PCR (M3)'!BM28)/SUM('PCR (M3)'!BM28:BM32)</f>
        <v>19.85162148706431</v>
      </c>
      <c r="AN29" s="203">
        <f>+(AN22-AN36)+(AN36*'PCR (M3)'!BN28)/SUM('PCR (M3)'!BN28:BN32)</f>
        <v>10.824071621429093</v>
      </c>
      <c r="AO29" s="203">
        <f>+(AO22-AO36)+(AO36*'PCR (M3)'!BO28)/SUM('PCR (M3)'!BO28:BO32)</f>
        <v>10.346605479404696</v>
      </c>
      <c r="AP29" s="203">
        <f>+(AP22-AP36)+(AP36*'PCR (M3)'!BP28)/SUM('PCR (M3)'!BP28:BP32)</f>
        <v>25.132559275811072</v>
      </c>
      <c r="AQ29" s="203">
        <f>+(AQ22-AQ36)+(AQ36*'PCR (M3)'!BQ28)/SUM('PCR (M3)'!BQ28:BQ32)</f>
        <v>42.00587241443359</v>
      </c>
      <c r="AR29" s="203">
        <f>+(AR22-AR36)+(AR36*'PCR (M3)'!BR28)/SUM('PCR (M3)'!BR28:BR32)</f>
        <v>29.482470927702561</v>
      </c>
      <c r="AS29" s="203">
        <f>+(AS22-AS36)+(AS36*'PCR (M3)'!BS28)/SUM('PCR (M3)'!BS28:BS32)</f>
        <v>26.784502744691665</v>
      </c>
      <c r="AT29" s="203">
        <f>+(AT22-AT36)+(AT36*'PCR (M3)'!BT28)/SUM('PCR (M3)'!BT28:BT32)</f>
        <v>13.123011566599155</v>
      </c>
      <c r="AU29" s="232">
        <f>+(AU22-AU36)+(AU36*'PCR (M3)'!BU28)/SUM('PCR (M3)'!BU28:BU32)</f>
        <v>942.56640374212088</v>
      </c>
      <c r="AV29" s="206">
        <f>+(AV22-AV36)+(AV36*'PCR (M3)'!BV28)/SUM('PCR (M3)'!BV28:BV32)</f>
        <v>1188.9643425787069</v>
      </c>
      <c r="AW29" s="209">
        <f>+(AW22-AW36)+(AW36*'PCR (M3)'!BW28)/SUM('PCR (M3)'!BW28:BW32)</f>
        <v>1397.6223005001484</v>
      </c>
      <c r="AX29" s="137"/>
    </row>
    <row r="30" spans="1:50" x14ac:dyDescent="0.25">
      <c r="A30" t="s">
        <v>4</v>
      </c>
      <c r="B30" s="206">
        <f>+B23+(B36*'PCR (M3)'!AB29)/SUM('PCR (M3)'!AB28:AB32)</f>
        <v>0</v>
      </c>
      <c r="C30" s="206">
        <f>+C23+(C36*'PCR (M3)'!AC29)/SUM('PCR (M3)'!AC28:AC32)</f>
        <v>0</v>
      </c>
      <c r="D30" s="206">
        <f>+D23+(D36*'PCR (M3)'!AD29)/SUM('PCR (M3)'!AD28:AD32)</f>
        <v>0</v>
      </c>
      <c r="E30" s="206">
        <f>+E23+(E36*'PCR (M3)'!AE29)/SUM('PCR (M3)'!AE28:AE32)</f>
        <v>0</v>
      </c>
      <c r="F30" s="206">
        <f>+F23+(F36*'PCR (M3)'!AF29)/SUM('PCR (M3)'!AF28:AF32)</f>
        <v>0</v>
      </c>
      <c r="G30" s="206">
        <f>+G23+(G36*'PCR (M3)'!AG29)/SUM('PCR (M3)'!AG28:AG32)</f>
        <v>-3.4391087314137973E-2</v>
      </c>
      <c r="H30" s="206">
        <f>+H23+(H36*'PCR (M3)'!AH29)/SUM('PCR (M3)'!AH28:AH32)</f>
        <v>0</v>
      </c>
      <c r="I30" s="206">
        <f>+I23+(I36*'PCR (M3)'!AI29)/SUM('PCR (M3)'!AI28:AI32)</f>
        <v>0</v>
      </c>
      <c r="J30" s="206">
        <f>+J23+(J36*'PCR (M3)'!AJ29)/SUM('PCR (M3)'!AJ28:AJ32)</f>
        <v>-5.9831320567712357E-3</v>
      </c>
      <c r="K30" s="206">
        <f>+K23+(K36*'PCR (M3)'!AK29)/SUM('PCR (M3)'!AK28:AK32)</f>
        <v>0</v>
      </c>
      <c r="L30" s="206">
        <f>+L23+(L36*'PCR (M3)'!AL29)/SUM('PCR (M3)'!AL28:AL32)</f>
        <v>0</v>
      </c>
      <c r="M30" s="206">
        <f>+M23+(M36*'PCR (M3)'!AM29)/SUM('PCR (M3)'!AM28:AM32)</f>
        <v>0</v>
      </c>
      <c r="N30" s="206">
        <f>+N23+(N36*'PCR (M3)'!AN29)/SUM('PCR (M3)'!AN28:AN32)</f>
        <v>-962.74242476715358</v>
      </c>
      <c r="O30" s="206">
        <f>+O23+(O36*'PCR (M3)'!AO29)/SUM('PCR (M3)'!AO28:AO32)</f>
        <v>-1853.5252382828273</v>
      </c>
      <c r="P30" s="206">
        <f>+P23+(P36*'PCR (M3)'!AP29)/SUM('PCR (M3)'!AP28:AP32)</f>
        <v>-1626.0722048795992</v>
      </c>
      <c r="Q30" s="206">
        <f>+Q23+(Q36*'PCR (M3)'!AQ29)/SUM('PCR (M3)'!AQ28:AQ32)</f>
        <v>-1588.6522019991728</v>
      </c>
      <c r="R30" s="206">
        <f>+R23+(R36*'PCR (M3)'!AR29)/SUM('PCR (M3)'!AR28:AR32)</f>
        <v>-1887.1973094561836</v>
      </c>
      <c r="S30" s="206">
        <f>+S23+(S36*'PCR (M3)'!AS29)/SUM('PCR (M3)'!AS28:AS32)</f>
        <v>-2296.2644995684414</v>
      </c>
      <c r="T30" s="206">
        <f>+T23+(T36*'PCR (M3)'!AT29)/SUM('PCR (M3)'!AT28:AT32)</f>
        <v>-2233.0651450749374</v>
      </c>
      <c r="U30" s="206">
        <f>+U23+(U36*'PCR (M3)'!AU29)/SUM('PCR (M3)'!AU28:AU32)</f>
        <v>-2032.145585206091</v>
      </c>
      <c r="V30" s="203">
        <f>+V23+(V36*'PCR (M3)'!AV29)/SUM('PCR (M3)'!AV28:AV32)</f>
        <v>-1633.7295266289884</v>
      </c>
      <c r="W30" s="203">
        <f>+W23+(W36*'PCR (M3)'!AW29)/SUM('PCR (M3)'!AW28:AW32)</f>
        <v>-1542.7252362112265</v>
      </c>
      <c r="X30" s="203">
        <f>+X23+(X36*'PCR (M3)'!AX29)/SUM('PCR (M3)'!AX28:AX32)</f>
        <v>-1964.2946864206824</v>
      </c>
      <c r="Y30" s="203">
        <f>+Y23+(Y36*'PCR (M3)'!AY29)/SUM('PCR (M3)'!AY28:AY32)</f>
        <v>-2273.8141259610779</v>
      </c>
      <c r="Z30" s="203">
        <f>+Z23+(Z36*'PCR (M3)'!AZ29)/SUM('PCR (M3)'!AZ28:AZ32)</f>
        <v>-1074.9905563754603</v>
      </c>
      <c r="AA30" s="203">
        <f>+AA23+(AA36*'PCR (M3)'!BA29)/SUM('PCR (M3)'!BA28:BA32)</f>
        <v>-3.2557757903179443</v>
      </c>
      <c r="AB30" s="203">
        <f>+AB23+(AB36*'PCR (M3)'!BB29)/SUM('PCR (M3)'!BB28:BB32)</f>
        <v>-2.0636070680788596</v>
      </c>
      <c r="AC30" s="203">
        <f>+AC23+(AC36*'PCR (M3)'!BC29)/SUM('PCR (M3)'!BC28:BC32)</f>
        <v>-1.0016049961806959</v>
      </c>
      <c r="AD30" s="203">
        <f>+AD23+(AD36*'PCR (M3)'!BD29)/SUM('PCR (M3)'!BD28:BD32)</f>
        <v>-4900.7872065598049</v>
      </c>
      <c r="AE30" s="203">
        <f>+AE23+(AE36*'PCR (M3)'!BE29)/SUM('PCR (M3)'!BE28:BE32)</f>
        <v>-1.1977053658646823</v>
      </c>
      <c r="AF30" s="203">
        <f>+AF23+(AF36*'PCR (M3)'!BF29)/SUM('PCR (M3)'!BF28:BF32)</f>
        <v>-1.5696281301198176</v>
      </c>
      <c r="AG30" s="203">
        <f>+AG23+(AG36*'PCR (M3)'!BG29)/SUM('PCR (M3)'!BG28:BG32)</f>
        <v>-0.10521707149899973</v>
      </c>
      <c r="AH30" s="203">
        <f>+AH23+(AH36*'PCR (M3)'!BH29)/SUM('PCR (M3)'!BH28:BH32)</f>
        <v>-0.40105230215710502</v>
      </c>
      <c r="AI30" s="203">
        <f>+AI23+(AI36*'PCR (M3)'!BI29)/SUM('PCR (M3)'!BI28:BI32)</f>
        <v>-0.63861916434587251</v>
      </c>
      <c r="AJ30" s="203">
        <f>+AJ23+(AJ36*'PCR (M3)'!BJ29)/SUM('PCR (M3)'!BJ28:BJ32)</f>
        <v>-8.0030838344719746E-2</v>
      </c>
      <c r="AK30" s="203">
        <f>+AK23+(AK36*'PCR (M3)'!BK29)/SUM('PCR (M3)'!BK28:BK32)</f>
        <v>-1.8313540735498897</v>
      </c>
      <c r="AL30" s="203">
        <f>+AL23+(AL36*'PCR (M3)'!BL29)/SUM('PCR (M3)'!BL28:BL32)</f>
        <v>138.45543096799366</v>
      </c>
      <c r="AM30" s="203">
        <f>+AM23+(AM36*'PCR (M3)'!BM29)/SUM('PCR (M3)'!BM28:BM32)</f>
        <v>367.85940128265082</v>
      </c>
      <c r="AN30" s="203">
        <f>+AN23+(AN36*'PCR (M3)'!BN29)/SUM('PCR (M3)'!BN28:BN32)</f>
        <v>356.58633167954849</v>
      </c>
      <c r="AO30" s="203">
        <f>+AO23+(AO36*'PCR (M3)'!BO29)/SUM('PCR (M3)'!BO28:BO32)</f>
        <v>339.20765292891986</v>
      </c>
      <c r="AP30" s="203">
        <f>+AP23+(AP36*'PCR (M3)'!BP29)/SUM('PCR (M3)'!BP28:BP32)</f>
        <v>436.50530509404553</v>
      </c>
      <c r="AQ30" s="203">
        <f>+AQ23+(AQ36*'PCR (M3)'!BQ29)/SUM('PCR (M3)'!BQ28:BQ32)</f>
        <v>542.45410699582658</v>
      </c>
      <c r="AR30" s="203">
        <f>+AR23+(AR36*'PCR (M3)'!BR29)/SUM('PCR (M3)'!BR28:BR32)</f>
        <v>503.82229081198727</v>
      </c>
      <c r="AS30" s="203">
        <f>+AS23+(AS36*'PCR (M3)'!BS29)/SUM('PCR (M3)'!BS28:BS32)</f>
        <v>486.44690794046966</v>
      </c>
      <c r="AT30" s="203">
        <f>+AT23+(AT36*'PCR (M3)'!BT29)/SUM('PCR (M3)'!BT28:BT32)</f>
        <v>394.09247315616477</v>
      </c>
      <c r="AU30" s="232">
        <f>+AU23+(AU36*'PCR (M3)'!BU29)/SUM('PCR (M3)'!BU28:BU32)</f>
        <v>456.52054109009322</v>
      </c>
      <c r="AV30" s="206">
        <f>+AV23+(AV36*'PCR (M3)'!BV29)/SUM('PCR (M3)'!BV28:BV32)</f>
        <v>546.08440199335814</v>
      </c>
      <c r="AW30" s="209">
        <f>+AW23+(AW36*'PCR (M3)'!BW29)/SUM('PCR (M3)'!BW28:BW32)</f>
        <v>613.86426454877937</v>
      </c>
    </row>
    <row r="31" spans="1:50" x14ac:dyDescent="0.25">
      <c r="A31" t="s">
        <v>5</v>
      </c>
      <c r="B31" s="206">
        <f>+B24+(B36*'PCR (M3)'!AB30)/SUM('PCR (M3)'!AB28:AB32)</f>
        <v>0</v>
      </c>
      <c r="C31" s="206">
        <f>+C24+(C36*'PCR (M3)'!AC30)/SUM('PCR (M3)'!AC28:AC32)</f>
        <v>0</v>
      </c>
      <c r="D31" s="206">
        <f>+D24+(D36*'PCR (M3)'!AD30)/SUM('PCR (M3)'!AD28:AD32)</f>
        <v>0</v>
      </c>
      <c r="E31" s="206">
        <f>+E24+(E36*'PCR (M3)'!AE30)/SUM('PCR (M3)'!AE28:AE32)</f>
        <v>0</v>
      </c>
      <c r="F31" s="206">
        <f>+F24+(F36*'PCR (M3)'!AF30)/SUM('PCR (M3)'!AF28:AF32)</f>
        <v>0</v>
      </c>
      <c r="G31" s="206">
        <f>+G24+(G36*'PCR (M3)'!AG30)/SUM('PCR (M3)'!AG28:AG32)</f>
        <v>-7.557092530758569E-2</v>
      </c>
      <c r="H31" s="206">
        <f>+H24+(H36*'PCR (M3)'!AH30)/SUM('PCR (M3)'!AH28:AH32)</f>
        <v>0</v>
      </c>
      <c r="I31" s="206">
        <f>+I24+(I36*'PCR (M3)'!AI30)/SUM('PCR (M3)'!AI28:AI32)</f>
        <v>0</v>
      </c>
      <c r="J31" s="206">
        <f>+J24+(J36*'PCR (M3)'!AJ30)/SUM('PCR (M3)'!AJ28:AJ32)</f>
        <v>-1.3859141576579205E-2</v>
      </c>
      <c r="K31" s="206">
        <f>+K24+(K36*'PCR (M3)'!AK30)/SUM('PCR (M3)'!AK28:AK32)</f>
        <v>0</v>
      </c>
      <c r="L31" s="206">
        <f>+L24+(L36*'PCR (M3)'!AL30)/SUM('PCR (M3)'!AL28:AL32)</f>
        <v>0</v>
      </c>
      <c r="M31" s="206">
        <f>+M24+(M36*'PCR (M3)'!AM30)/SUM('PCR (M3)'!AM28:AM32)</f>
        <v>0</v>
      </c>
      <c r="N31" s="206">
        <f>+N24+(N36*'PCR (M3)'!AN30)/SUM('PCR (M3)'!AN28:AN32)</f>
        <v>-1858.2738116198464</v>
      </c>
      <c r="O31" s="206">
        <f>+O24+(O36*'PCR (M3)'!AO30)/SUM('PCR (M3)'!AO28:AO32)</f>
        <v>-3608.0915933947713</v>
      </c>
      <c r="P31" s="206">
        <f>+P24+(P36*'PCR (M3)'!AP30)/SUM('PCR (M3)'!AP28:AP32)</f>
        <v>-3451.6376831010307</v>
      </c>
      <c r="Q31" s="206">
        <f>+Q24+(Q36*'PCR (M3)'!AQ30)/SUM('PCR (M3)'!AQ28:AQ32)</f>
        <v>-3544.5217026929399</v>
      </c>
      <c r="R31" s="206">
        <f>+R24+(R36*'PCR (M3)'!AR30)/SUM('PCR (M3)'!AR28:AR32)</f>
        <v>-3993.0315091342927</v>
      </c>
      <c r="S31" s="206">
        <f>+S24+(S36*'PCR (M3)'!AS30)/SUM('PCR (M3)'!AS28:AS32)</f>
        <v>-4766.2766286142241</v>
      </c>
      <c r="T31" s="206">
        <f>+T24+(T36*'PCR (M3)'!AT30)/SUM('PCR (M3)'!AT28:AT32)</f>
        <v>-4429.2581279114056</v>
      </c>
      <c r="U31" s="206">
        <f>+U24+(U36*'PCR (M3)'!AU30)/SUM('PCR (M3)'!AU28:AU32)</f>
        <v>-4244.1405181655809</v>
      </c>
      <c r="V31" s="203">
        <f>+V24+(V36*'PCR (M3)'!AV30)/SUM('PCR (M3)'!AV28:AV32)</f>
        <v>-3643.1841863651393</v>
      </c>
      <c r="W31" s="203">
        <f>+W24+(W36*'PCR (M3)'!AW30)/SUM('PCR (M3)'!AW28:AW32)</f>
        <v>-3528.3661391205865</v>
      </c>
      <c r="X31" s="203">
        <f>+X24+(X36*'PCR (M3)'!AX30)/SUM('PCR (M3)'!AX28:AX32)</f>
        <v>-3895.668213092094</v>
      </c>
      <c r="Y31" s="203">
        <f>+Y24+(Y36*'PCR (M3)'!AY30)/SUM('PCR (M3)'!AY28:AY32)</f>
        <v>-4061.1356977115533</v>
      </c>
      <c r="Z31" s="203">
        <f>+Z24+(Z36*'PCR (M3)'!AZ30)/SUM('PCR (M3)'!AZ28:AZ32)</f>
        <v>-2231.094467018273</v>
      </c>
      <c r="AA31" s="203">
        <f>+AA24+(AA36*'PCR (M3)'!BA30)/SUM('PCR (M3)'!BA28:BA32)</f>
        <v>-22.964492396817011</v>
      </c>
      <c r="AB31" s="203">
        <f>+AB24+(AB36*'PCR (M3)'!BB30)/SUM('PCR (M3)'!BB28:BB32)</f>
        <v>-2.9259354620113189</v>
      </c>
      <c r="AC31" s="203">
        <f>+AC24+(AC36*'PCR (M3)'!BC30)/SUM('PCR (M3)'!BC28:BC32)</f>
        <v>3.4896360843689345</v>
      </c>
      <c r="AD31" s="203">
        <f>+AD24+(AD36*'PCR (M3)'!BD30)/SUM('PCR (M3)'!BD28:BD32)</f>
        <v>-6615.0757733909022</v>
      </c>
      <c r="AE31" s="203">
        <f>+AE24+(AE36*'PCR (M3)'!BE30)/SUM('PCR (M3)'!BE28:BE32)</f>
        <v>-5.6640378760185559E-2</v>
      </c>
      <c r="AF31" s="203">
        <f>+AF24+(AF36*'PCR (M3)'!BF30)/SUM('PCR (M3)'!BF28:BF32)</f>
        <v>-4.4323160013073482</v>
      </c>
      <c r="AG31" s="203">
        <f>+AG24+(AG36*'PCR (M3)'!BG30)/SUM('PCR (M3)'!BG28:BG32)</f>
        <v>-5.1072688674937368</v>
      </c>
      <c r="AH31" s="203">
        <f>+AH24+(AH36*'PCR (M3)'!BH30)/SUM('PCR (M3)'!BH28:BH32)</f>
        <v>1.5551564780531477E-2</v>
      </c>
      <c r="AI31" s="203">
        <f>+AI24+(AI36*'PCR (M3)'!BI30)/SUM('PCR (M3)'!BI28:BI32)</f>
        <v>-0.10325392112011444</v>
      </c>
      <c r="AJ31" s="203">
        <f>+AJ24+(AJ36*'PCR (M3)'!BJ30)/SUM('PCR (M3)'!BJ28:BJ32)</f>
        <v>-32.727442280110679</v>
      </c>
      <c r="AK31" s="203">
        <f>+AK24+(AK36*'PCR (M3)'!BK30)/SUM('PCR (M3)'!BK28:BK32)</f>
        <v>-2.858996639678244</v>
      </c>
      <c r="AL31" s="203">
        <f>+AL24+(AL36*'PCR (M3)'!BL30)/SUM('PCR (M3)'!BL28:BL32)</f>
        <v>412.8874449051458</v>
      </c>
      <c r="AM31" s="203">
        <f>+AM24+(AM36*'PCR (M3)'!BM30)/SUM('PCR (M3)'!BM28:BM32)</f>
        <v>973.34158378961058</v>
      </c>
      <c r="AN31" s="203">
        <f>+AN24+(AN36*'PCR (M3)'!BN30)/SUM('PCR (M3)'!BN28:BN32)</f>
        <v>984.09320166560497</v>
      </c>
      <c r="AO31" s="203">
        <f>+AO24+(AO36*'PCR (M3)'!BO30)/SUM('PCR (M3)'!BO28:BO32)</f>
        <v>989.39199878454917</v>
      </c>
      <c r="AP31" s="203">
        <f>+AP24+(AP36*'PCR (M3)'!BP30)/SUM('PCR (M3)'!BP28:BP32)</f>
        <v>1120.7591082452197</v>
      </c>
      <c r="AQ31" s="203">
        <f>+AQ24+(AQ36*'PCR (M3)'!BQ30)/SUM('PCR (M3)'!BQ28:BQ32)</f>
        <v>1265.4890060445143</v>
      </c>
      <c r="AR31" s="203">
        <f>+AR24+(AR36*'PCR (M3)'!BR30)/SUM('PCR (M3)'!BR28:BR32)</f>
        <v>1187.6849848411071</v>
      </c>
      <c r="AS31" s="203">
        <f>+AS24+(AS36*'PCR (M3)'!BS30)/SUM('PCR (M3)'!BS28:BS32)</f>
        <v>1188.0428878137388</v>
      </c>
      <c r="AT31" s="203">
        <f>+AT24+(AT36*'PCR (M3)'!BT30)/SUM('PCR (M3)'!BT28:BT32)</f>
        <v>1059.4637656101752</v>
      </c>
      <c r="AU31" s="232">
        <f>+AU24+(AU36*'PCR (M3)'!BU30)/SUM('PCR (M3)'!BU28:BU32)</f>
        <v>996.7782530914335</v>
      </c>
      <c r="AV31" s="206">
        <f>+AV24+(AV36*'PCR (M3)'!BV30)/SUM('PCR (M3)'!BV28:BV32)</f>
        <v>1096.1479473633271</v>
      </c>
      <c r="AW31" s="209">
        <f>+AW24+(AW36*'PCR (M3)'!BW30)/SUM('PCR (M3)'!BW28:BW32)</f>
        <v>1151.2670991664875</v>
      </c>
    </row>
    <row r="32" spans="1:50" x14ac:dyDescent="0.25">
      <c r="A32" t="s">
        <v>6</v>
      </c>
      <c r="B32" s="206">
        <f>+B25+(B36*'PCR (M3)'!AB31)/SUM('PCR (M3)'!AB28:AB32)</f>
        <v>0</v>
      </c>
      <c r="C32" s="206">
        <f>+C25+(C36*'PCR (M3)'!AC31)/SUM('PCR (M3)'!AC28:AC32)</f>
        <v>0</v>
      </c>
      <c r="D32" s="206">
        <f>+D25+(D36*'PCR (M3)'!AD31)/SUM('PCR (M3)'!AD28:AD32)</f>
        <v>0</v>
      </c>
      <c r="E32" s="206">
        <f>+E25+(E36*'PCR (M3)'!AE31)/SUM('PCR (M3)'!AE28:AE32)</f>
        <v>0</v>
      </c>
      <c r="F32" s="206">
        <f>+F25+(F36*'PCR (M3)'!AF31)/SUM('PCR (M3)'!AF28:AF32)</f>
        <v>0</v>
      </c>
      <c r="G32" s="206">
        <f>+G25+(G36*'PCR (M3)'!AG31)/SUM('PCR (M3)'!AG28:AG32)</f>
        <v>-3.3773755561765012E-2</v>
      </c>
      <c r="H32" s="206">
        <f>+H25+(H36*'PCR (M3)'!AH31)/SUM('PCR (M3)'!AH28:AH32)</f>
        <v>0</v>
      </c>
      <c r="I32" s="206">
        <f>+I25+(I36*'PCR (M3)'!AI31)/SUM('PCR (M3)'!AI28:AI32)</f>
        <v>0</v>
      </c>
      <c r="J32" s="206">
        <f>+J25+(J36*'PCR (M3)'!AJ31)/SUM('PCR (M3)'!AJ28:AJ32)</f>
        <v>-5.6067793801923838E-3</v>
      </c>
      <c r="K32" s="206">
        <f>+K25+(K36*'PCR (M3)'!AK31)/SUM('PCR (M3)'!AK28:AK32)</f>
        <v>0</v>
      </c>
      <c r="L32" s="206">
        <f>+L25+(L36*'PCR (M3)'!AL31)/SUM('PCR (M3)'!AL28:AL32)</f>
        <v>0</v>
      </c>
      <c r="M32" s="206">
        <f>+M25+(M36*'PCR (M3)'!AM31)/SUM('PCR (M3)'!AM28:AM32)</f>
        <v>0</v>
      </c>
      <c r="N32" s="206">
        <f>+N25+(N36*'PCR (M3)'!AN31)/SUM('PCR (M3)'!AN28:AN32)</f>
        <v>-645.51593863973255</v>
      </c>
      <c r="O32" s="206">
        <f>+O25+(O36*'PCR (M3)'!AO31)/SUM('PCR (M3)'!AO28:AO32)</f>
        <v>-1470.4359670333033</v>
      </c>
      <c r="P32" s="206">
        <f>+P25+(P36*'PCR (M3)'!AP31)/SUM('PCR (M3)'!AP28:AP32)</f>
        <v>-1528.635490421781</v>
      </c>
      <c r="Q32" s="206">
        <f>+Q25+(Q36*'PCR (M3)'!AQ31)/SUM('PCR (M3)'!AQ28:AQ32)</f>
        <v>-1553.0760962113773</v>
      </c>
      <c r="R32" s="206">
        <f>+R25+(R36*'PCR (M3)'!AR31)/SUM('PCR (M3)'!AR28:AR32)</f>
        <v>-1775.7704477798277</v>
      </c>
      <c r="S32" s="206">
        <f>+S25+(S36*'PCR (M3)'!AS31)/SUM('PCR (M3)'!AS28:AS32)</f>
        <v>-1837.0883518029723</v>
      </c>
      <c r="T32" s="206">
        <f>+T25+(T36*'PCR (M3)'!AT31)/SUM('PCR (M3)'!AT28:AT32)</f>
        <v>-1820.8308399016335</v>
      </c>
      <c r="U32" s="206">
        <f>+U25+(U36*'PCR (M3)'!AU31)/SUM('PCR (M3)'!AU28:AU32)</f>
        <v>-1772.9697598215166</v>
      </c>
      <c r="V32" s="203">
        <f>+V25+(V36*'PCR (M3)'!AV31)/SUM('PCR (M3)'!AV28:AV32)</f>
        <v>-1574.6742597253885</v>
      </c>
      <c r="W32" s="203">
        <f>+W25+(W36*'PCR (M3)'!AW31)/SUM('PCR (M3)'!AW28:AW32)</f>
        <v>-1588.3913945050704</v>
      </c>
      <c r="X32" s="203">
        <f>+X25+(X36*'PCR (M3)'!AX31)/SUM('PCR (M3)'!AX28:AX32)</f>
        <v>-1635.8150948376626</v>
      </c>
      <c r="Y32" s="203">
        <f>+Y25+(Y36*'PCR (M3)'!AY31)/SUM('PCR (M3)'!AY28:AY32)</f>
        <v>-1556.8985855412641</v>
      </c>
      <c r="Z32" s="203">
        <f>+Z25+(Z36*'PCR (M3)'!AZ31)/SUM('PCR (M3)'!AZ28:AZ32)</f>
        <v>-1059.1050027042729</v>
      </c>
      <c r="AA32" s="203">
        <f>+AA25+(AA36*'PCR (M3)'!BA31)/SUM('PCR (M3)'!BA28:BA32)</f>
        <v>-29.589475766372466</v>
      </c>
      <c r="AB32" s="203">
        <f>+AB25+(AB36*'PCR (M3)'!BB31)/SUM('PCR (M3)'!BB28:BB32)</f>
        <v>-0.16828192418425009</v>
      </c>
      <c r="AC32" s="203">
        <f>+AC25+(AC36*'PCR (M3)'!BC31)/SUM('PCR (M3)'!BC28:BC32)</f>
        <v>-2.2666752081207286E-2</v>
      </c>
      <c r="AD32" s="203">
        <f>+AD25+(AD36*'PCR (M3)'!BD31)/SUM('PCR (M3)'!BD28:BD32)</f>
        <v>-6.6677130224182847E-3</v>
      </c>
      <c r="AE32" s="203">
        <f>+AE25+(AE36*'PCR (M3)'!BE31)/SUM('PCR (M3)'!BE28:BE32)</f>
        <v>8.9575840179502819E-2</v>
      </c>
      <c r="AF32" s="203">
        <f>+AF25+(AF36*'PCR (M3)'!BF31)/SUM('PCR (M3)'!BF28:BF32)</f>
        <v>-0.16371836491891126</v>
      </c>
      <c r="AG32" s="203">
        <f>+AG25+(AG36*'PCR (M3)'!BG31)/SUM('PCR (M3)'!BG28:BG32)</f>
        <v>-2.916482420550532</v>
      </c>
      <c r="AH32" s="203">
        <f>+AH25+(AH36*'PCR (M3)'!BH31)/SUM('PCR (M3)'!BH28:BH32)</f>
        <v>-9.9894149713516487E-3</v>
      </c>
      <c r="AI32" s="203">
        <f>+AI25+(AI36*'PCR (M3)'!BI31)/SUM('PCR (M3)'!BI28:BI32)</f>
        <v>-2.7976180757755563E-2</v>
      </c>
      <c r="AJ32" s="203">
        <f>+AJ25+(AJ36*'PCR (M3)'!BJ31)/SUM('PCR (M3)'!BJ28:BJ32)</f>
        <v>-0.33872395338609468</v>
      </c>
      <c r="AK32" s="203">
        <f>+AK25+(AK36*'PCR (M3)'!BK31)/SUM('PCR (M3)'!BK28:BK32)</f>
        <v>-1.1363252030154762</v>
      </c>
      <c r="AL32" s="203">
        <f>+AL25+(AL36*'PCR (M3)'!BL31)/SUM('PCR (M3)'!BL28:BL32)</f>
        <v>-1.1232530883871494</v>
      </c>
      <c r="AM32" s="203">
        <f>+AM25+(AM36*'PCR (M3)'!BM31)/SUM('PCR (M3)'!BM28:BM32)</f>
        <v>-0.17491020894776185</v>
      </c>
      <c r="AN32" s="203">
        <f>+AN25+(AN36*'PCR (M3)'!BN31)/SUM('PCR (M3)'!BN28:BN32)</f>
        <v>-5.7704702083406355E-2</v>
      </c>
      <c r="AO32" s="203">
        <f>+AO25+(AO36*'PCR (M3)'!BO31)/SUM('PCR (M3)'!BO28:BO32)</f>
        <v>-1.2318348663602744E-2</v>
      </c>
      <c r="AP32" s="203">
        <f>+AP25+(AP36*'PCR (M3)'!BP31)/SUM('PCR (M3)'!BP28:BP32)</f>
        <v>-1.308224792160355E-2</v>
      </c>
      <c r="AQ32" s="203">
        <f>+AQ25+(AQ36*'PCR (M3)'!BQ31)/SUM('PCR (M3)'!BQ28:BQ32)</f>
        <v>-4.4699782312778345E-2</v>
      </c>
      <c r="AR32" s="203">
        <f>+AR25+(AR36*'PCR (M3)'!BR31)/SUM('PCR (M3)'!BR28:BR32)</f>
        <v>-2.2311747055807352E-2</v>
      </c>
      <c r="AS32" s="203">
        <f>+AS25+(AS36*'PCR (M3)'!BS31)/SUM('PCR (M3)'!BS28:BS32)</f>
        <v>-1.8738470962803237E-2</v>
      </c>
      <c r="AT32" s="203">
        <f>+AT25+(AT36*'PCR (M3)'!BT31)/SUM('PCR (M3)'!BT28:BT32)</f>
        <v>-7.1047950228445237E-3</v>
      </c>
      <c r="AU32" s="232">
        <f>+AU25+(AU36*'PCR (M3)'!BU31)/SUM('PCR (M3)'!BU28:BU32)</f>
        <v>-4.4004084260245397</v>
      </c>
      <c r="AV32" s="206">
        <f>+AV25+(AV36*'PCR (M3)'!BV31)/SUM('PCR (M3)'!BV28:BV32)</f>
        <v>-4.9724844997535733</v>
      </c>
      <c r="AW32" s="209">
        <f>+AW25+(AW36*'PCR (M3)'!BW31)/SUM('PCR (M3)'!BW28:BW32)</f>
        <v>-5.4384602002106011</v>
      </c>
    </row>
    <row r="33" spans="1:53" x14ac:dyDescent="0.25">
      <c r="A33" t="s">
        <v>7</v>
      </c>
      <c r="B33" s="206">
        <f>+B26+(B36*'PCR (M3)'!AB32)/SUM('PCR (M3)'!AB28:AB32)</f>
        <v>0</v>
      </c>
      <c r="C33" s="206">
        <f>+C26+(C36*'PCR (M3)'!AC32)/SUM('PCR (M3)'!AC28:AC32)</f>
        <v>0</v>
      </c>
      <c r="D33" s="206">
        <f>+D26+(D36*'PCR (M3)'!AD32)/SUM('PCR (M3)'!AD28:AD32)</f>
        <v>0</v>
      </c>
      <c r="E33" s="206">
        <f>+E26+(E36*'PCR (M3)'!AE32)/SUM('PCR (M3)'!AE28:AE32)</f>
        <v>0</v>
      </c>
      <c r="F33" s="206">
        <f>+F26+(F36*'PCR (M3)'!AF32)/SUM('PCR (M3)'!AF28:AF32)</f>
        <v>0</v>
      </c>
      <c r="G33" s="206">
        <f>+G26+(G36*'PCR (M3)'!AG32)/SUM('PCR (M3)'!AG28:AG32)</f>
        <v>-1.3129088741064937E-2</v>
      </c>
      <c r="H33" s="206">
        <f>+H26+(H36*'PCR (M3)'!AH32)/SUM('PCR (M3)'!AH28:AH32)</f>
        <v>0</v>
      </c>
      <c r="I33" s="206">
        <f>+I26+(I36*'PCR (M3)'!AI32)/SUM('PCR (M3)'!AI28:AI32)</f>
        <v>0</v>
      </c>
      <c r="J33" s="206">
        <f>+J26+(J36*'PCR (M3)'!AJ32)/SUM('PCR (M3)'!AJ28:AJ32)</f>
        <v>-2.561319330575879E-3</v>
      </c>
      <c r="K33" s="206">
        <f>+K26+(K36*'PCR (M3)'!AK32)/SUM('PCR (M3)'!AK28:AK32)</f>
        <v>0</v>
      </c>
      <c r="L33" s="206">
        <f>+L26+(L36*'PCR (M3)'!AL32)/SUM('PCR (M3)'!AL28:AL32)</f>
        <v>0</v>
      </c>
      <c r="M33" s="206">
        <f>+M26+(M36*'PCR (M3)'!AM32)/SUM('PCR (M3)'!AM28:AM32)</f>
        <v>0</v>
      </c>
      <c r="N33" s="206">
        <f>+N26+(N36*'PCR (M3)'!AN32)/SUM('PCR (M3)'!AN28:AN32)</f>
        <v>-143.13487385553915</v>
      </c>
      <c r="O33" s="206">
        <f>+O26+(O36*'PCR (M3)'!AO32)/SUM('PCR (M3)'!AO28:AO32)</f>
        <v>-539.34907151721313</v>
      </c>
      <c r="P33" s="206">
        <f>+P26+(P36*'PCR (M3)'!AP32)/SUM('PCR (M3)'!AP28:AP32)</f>
        <v>-451.69920895609437</v>
      </c>
      <c r="Q33" s="206">
        <f>+Q26+(Q36*'PCR (M3)'!AQ32)/SUM('PCR (M3)'!AQ28:AQ32)</f>
        <v>-490.2988783524288</v>
      </c>
      <c r="R33" s="206">
        <f>+R26+(R36*'PCR (M3)'!AR32)/SUM('PCR (M3)'!AR28:AR32)</f>
        <v>-598.31949396973391</v>
      </c>
      <c r="S33" s="206">
        <f>+S26+(S36*'PCR (M3)'!AS32)/SUM('PCR (M3)'!AS28:AS32)</f>
        <v>-685.23850507678094</v>
      </c>
      <c r="T33" s="206">
        <f>+T26+(T36*'PCR (M3)'!AT32)/SUM('PCR (M3)'!AT28:AT32)</f>
        <v>-677.34240562988782</v>
      </c>
      <c r="U33" s="206">
        <f>+U26+(U36*'PCR (M3)'!AU32)/SUM('PCR (M3)'!AU28:AU32)</f>
        <v>-706.47867536205138</v>
      </c>
      <c r="V33" s="203">
        <f>+V26+(V36*'PCR (M3)'!AV32)/SUM('PCR (M3)'!AV28:AV32)</f>
        <v>-607.123291718117</v>
      </c>
      <c r="W33" s="203">
        <f>+W26+(W36*'PCR (M3)'!AW32)/SUM('PCR (M3)'!AW28:AW32)</f>
        <v>-605.73446206407687</v>
      </c>
      <c r="X33" s="203">
        <f>+X26+(X36*'PCR (M3)'!AX32)/SUM('PCR (M3)'!AX28:AX32)</f>
        <v>-590.10434785014445</v>
      </c>
      <c r="Y33" s="203">
        <f>+Y26+(Y36*'PCR (M3)'!AY32)/SUM('PCR (M3)'!AY28:AY32)</f>
        <v>-497.30636475781648</v>
      </c>
      <c r="Z33" s="203">
        <f>+Z26+(Z36*'PCR (M3)'!AZ32)/SUM('PCR (M3)'!AZ28:AZ32)</f>
        <v>-432.75663583096446</v>
      </c>
      <c r="AA33" s="203">
        <f>+AA26+(AA36*'PCR (M3)'!BA32)/SUM('PCR (M3)'!BA28:BA32)</f>
        <v>-130.62221965302373</v>
      </c>
      <c r="AB33" s="203">
        <f>+AB26+(AB36*'PCR (M3)'!BB32)/SUM('PCR (M3)'!BB28:BB32)</f>
        <v>-129.36958640274065</v>
      </c>
      <c r="AC33" s="203">
        <f>+AC26+(AC36*'PCR (M3)'!BC32)/SUM('PCR (M3)'!BC28:BC32)</f>
        <v>-135.26699157224795</v>
      </c>
      <c r="AD33" s="203">
        <f>+AD26+(AD36*'PCR (M3)'!BD32)/SUM('PCR (M3)'!BD28:BD32)</f>
        <v>-162.71233249704358</v>
      </c>
      <c r="AE33" s="203">
        <f>+AE26+(AE36*'PCR (M3)'!BE32)/SUM('PCR (M3)'!BE28:BE32)</f>
        <v>-152.38985894744422</v>
      </c>
      <c r="AF33" s="203">
        <f>+AF26+(AF36*'PCR (M3)'!BF32)/SUM('PCR (M3)'!BF28:BF32)</f>
        <v>-174.72456061771021</v>
      </c>
      <c r="AG33" s="203">
        <f>+AG26+(AG36*'PCR (M3)'!BG32)/SUM('PCR (M3)'!BG28:BG32)</f>
        <v>-191.65308443578365</v>
      </c>
      <c r="AH33" s="203">
        <f>+AH26+(AH36*'PCR (M3)'!BH32)/SUM('PCR (M3)'!BH28:BH32)</f>
        <v>-192.16434867738454</v>
      </c>
      <c r="AI33" s="203">
        <f>+AI26+(AI36*'PCR (M3)'!BI32)/SUM('PCR (M3)'!BI28:BI32)</f>
        <v>-171.35092032026535</v>
      </c>
      <c r="AJ33" s="203">
        <f>+AJ26+(AJ36*'PCR (M3)'!BJ32)/SUM('PCR (M3)'!BJ28:BJ32)</f>
        <v>-193.04948256473131</v>
      </c>
      <c r="AK33" s="203">
        <f>+AK26+(AK36*'PCR (M3)'!BK32)/SUM('PCR (M3)'!BK28:BK32)</f>
        <v>-169.42381686068674</v>
      </c>
      <c r="AL33" s="203">
        <f>+AL26+(AL36*'PCR (M3)'!BL32)/SUM('PCR (M3)'!BL28:BL32)</f>
        <v>-106.16052304210638</v>
      </c>
      <c r="AM33" s="203">
        <f>+AM26+(AM36*'PCR (M3)'!BM32)/SUM('PCR (M3)'!BM28:BM32)</f>
        <v>-0.40769635037828661</v>
      </c>
      <c r="AN33" s="203">
        <f>+AN26+(AN36*'PCR (M3)'!BN32)/SUM('PCR (M3)'!BN28:BN32)</f>
        <v>-1.5900264500129793E-2</v>
      </c>
      <c r="AO33" s="203">
        <f>+AO26+(AO36*'PCR (M3)'!BO32)/SUM('PCR (M3)'!BO28:BO32)</f>
        <v>-3.9388442112263181E-3</v>
      </c>
      <c r="AP33" s="203">
        <f>+AP26+(AP36*'PCR (M3)'!BP32)/SUM('PCR (M3)'!BP28:BP32)</f>
        <v>-3.8903671559515234E-3</v>
      </c>
      <c r="AQ33" s="203">
        <f>+AQ26+(AQ36*'PCR (M3)'!BQ32)/SUM('PCR (M3)'!BQ28:BQ32)</f>
        <v>-1.42856724627426E-2</v>
      </c>
      <c r="AR33" s="203">
        <f>+AR26+(AR36*'PCR (M3)'!BR32)/SUM('PCR (M3)'!BR28:BR32)</f>
        <v>-7.4348337414324285E-3</v>
      </c>
      <c r="AS33" s="203">
        <f>+AS26+(AS36*'PCR (M3)'!BS32)/SUM('PCR (M3)'!BS28:BS32)</f>
        <v>-5.5600279388356823E-3</v>
      </c>
      <c r="AT33" s="203">
        <f>+AT26+(AT36*'PCR (M3)'!BT32)/SUM('PCR (M3)'!BT28:BT32)</f>
        <v>-2.1455379171487375E-3</v>
      </c>
      <c r="AU33" s="232">
        <f>+AU26+(AU36*'PCR (M3)'!BU32)/SUM('PCR (M3)'!BU28:BU32)</f>
        <v>-1.3501147269486209</v>
      </c>
      <c r="AV33" s="206">
        <f>+AV26+(AV36*'PCR (M3)'!BV32)/SUM('PCR (M3)'!BV28:BV32)</f>
        <v>-1.4266831766178676</v>
      </c>
      <c r="AW33" s="209">
        <f>+AW26+(AW36*'PCR (M3)'!BW32)/SUM('PCR (M3)'!BW28:BW32)</f>
        <v>-1.4900544286300363</v>
      </c>
    </row>
    <row r="34" spans="1:53"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65"/>
      <c r="AW34" s="67"/>
    </row>
    <row r="35" spans="1:53" x14ac:dyDescent="0.25">
      <c r="A35" t="s">
        <v>104</v>
      </c>
      <c r="B35" s="68" t="s">
        <v>85</v>
      </c>
      <c r="AU35" s="65"/>
      <c r="AW35" s="67"/>
    </row>
    <row r="36" spans="1:53" x14ac:dyDescent="0.25">
      <c r="A36" t="str">
        <f>A22</f>
        <v>RES</v>
      </c>
      <c r="B36" s="69">
        <v>0</v>
      </c>
      <c r="C36" s="69">
        <v>0</v>
      </c>
      <c r="D36" s="69">
        <v>0</v>
      </c>
      <c r="E36" s="69">
        <v>0</v>
      </c>
      <c r="F36" s="69">
        <v>0</v>
      </c>
      <c r="G36" s="69">
        <v>-0.31</v>
      </c>
      <c r="H36" s="69">
        <v>0</v>
      </c>
      <c r="I36" s="69">
        <v>0</v>
      </c>
      <c r="J36" s="69">
        <v>-0.05</v>
      </c>
      <c r="K36" s="69"/>
      <c r="L36" s="69"/>
      <c r="M36" s="69"/>
      <c r="N36" s="69">
        <v>137.64999999999998</v>
      </c>
      <c r="O36" s="69">
        <v>348.01</v>
      </c>
      <c r="P36" s="69">
        <v>274.48999999999995</v>
      </c>
      <c r="Q36" s="69">
        <v>233.85000000000002</v>
      </c>
      <c r="R36" s="69">
        <v>270.81</v>
      </c>
      <c r="S36" s="69">
        <v>369.65999999999997</v>
      </c>
      <c r="T36" s="69">
        <v>365.74999999999994</v>
      </c>
      <c r="U36" s="69">
        <v>319.05999999999995</v>
      </c>
      <c r="V36" s="69">
        <v>247.63</v>
      </c>
      <c r="W36" s="69">
        <v>254.03</v>
      </c>
      <c r="X36" s="69">
        <v>423.32000000000005</v>
      </c>
      <c r="Y36" s="69">
        <v>513.20000000000016</v>
      </c>
      <c r="Z36" s="69">
        <v>253.27999999999997</v>
      </c>
      <c r="AA36" s="69">
        <v>-2.31</v>
      </c>
      <c r="AB36" s="69">
        <v>-1.4500000000000002</v>
      </c>
      <c r="AC36" s="69">
        <v>-0.18</v>
      </c>
      <c r="AD36" s="69">
        <v>-0.06</v>
      </c>
      <c r="AE36" s="69">
        <v>-0.31999999999999995</v>
      </c>
      <c r="AF36" s="69">
        <v>-0.43</v>
      </c>
      <c r="AG36" s="69">
        <v>-28.39</v>
      </c>
      <c r="AH36" s="69">
        <v>-9.0000000000000011E-2</v>
      </c>
      <c r="AI36" s="69">
        <f>'[1]OAR.3 (M3)'!Y7</f>
        <v>-0.22999999999999998</v>
      </c>
      <c r="AJ36" s="69">
        <f>'[1]OAR.3 (M3)'!Z7</f>
        <v>-3.3999999999999995</v>
      </c>
      <c r="AK36" s="69">
        <f>'[1]OAR.3 (M3)'!AA7</f>
        <v>-12.889999999999999</v>
      </c>
      <c r="AL36" s="69">
        <f>'[1]OAR.3 (M3)'!AB7</f>
        <v>-12.399999999999999</v>
      </c>
      <c r="AM36" s="69">
        <f>'[1]OAR.3 (M3)'!AC7</f>
        <v>-1.56</v>
      </c>
      <c r="AN36" s="69">
        <f>'[1]OAR.3 (M3)'!AD7</f>
        <v>-0.51</v>
      </c>
      <c r="AO36" s="69">
        <f>'[1]OAR.3 (M3)'!AE7</f>
        <v>-0.1</v>
      </c>
      <c r="AP36" s="69">
        <f>'[1]OAR.3 (M3)'!AF7</f>
        <v>-0.12000000000000001</v>
      </c>
      <c r="AQ36" s="69">
        <f>'[1]OAR.3 (M3)'!AG7</f>
        <v>-0.47000000000000003</v>
      </c>
      <c r="AR36" s="69">
        <f>'[1]OAR.3 (M3)'!AH7</f>
        <v>-0.23</v>
      </c>
      <c r="AS36" s="69">
        <f>'[1]OAR.3 (M3)'!AI7</f>
        <v>-0.18999999999999997</v>
      </c>
      <c r="AT36" s="69">
        <f>'[1]OAR.3 (M3)'!AJ7</f>
        <v>-6.0000000000000005E-2</v>
      </c>
      <c r="AU36" s="72">
        <f>-('PCR (M3)'!BU28*'OAR (M3)'!$AX$22*PPC!$B$14)</f>
        <v>-39.524095141993001</v>
      </c>
      <c r="AV36" s="21">
        <f>-('PCR (M3)'!BV28*'OAR (M3)'!$AX$22*PPC!$B$14)</f>
        <v>-49.925916671794681</v>
      </c>
      <c r="AW36" s="75">
        <f>-('PCR (M3)'!BW28*'OAR (M3)'!$AX$22*PPC!$B$14)</f>
        <v>-58.749527113561676</v>
      </c>
      <c r="AX36" s="137"/>
    </row>
    <row r="37" spans="1:53" x14ac:dyDescent="0.25">
      <c r="B37" s="68" t="s">
        <v>67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71"/>
      <c r="AV37" s="3"/>
      <c r="AW37" s="67"/>
    </row>
    <row r="38" spans="1:53" ht="15.75" thickBot="1" x14ac:dyDescent="0.3">
      <c r="A38" t="s">
        <v>87</v>
      </c>
      <c r="B38" s="78">
        <v>-9.68</v>
      </c>
      <c r="C38" s="78">
        <v>-8.9</v>
      </c>
      <c r="D38" s="78">
        <v>-8.9</v>
      </c>
      <c r="E38" s="78">
        <v>-9.35</v>
      </c>
      <c r="F38" s="78">
        <v>-8.89</v>
      </c>
      <c r="G38" s="78">
        <v>-5.82</v>
      </c>
      <c r="H38" s="78">
        <v>-8.5500000000000007</v>
      </c>
      <c r="I38" s="78">
        <v>-8.06</v>
      </c>
      <c r="J38" s="78">
        <v>-25.48</v>
      </c>
      <c r="K38" s="78">
        <v>-1850.36</v>
      </c>
      <c r="L38" s="78">
        <v>-44.25</v>
      </c>
      <c r="M38" s="78">
        <v>-39.840000000000003</v>
      </c>
      <c r="N38" s="78">
        <v>-45.04</v>
      </c>
      <c r="O38" s="78">
        <v>-94.99</v>
      </c>
      <c r="P38" s="78">
        <v>-75.650000000000006</v>
      </c>
      <c r="Q38" s="78">
        <v>-108.4</v>
      </c>
      <c r="R38" s="78">
        <v>-147.93</v>
      </c>
      <c r="S38" s="78">
        <v>-166.64</v>
      </c>
      <c r="T38" s="78">
        <v>-162.37</v>
      </c>
      <c r="U38" s="78">
        <v>-135.32</v>
      </c>
      <c r="V38" s="78">
        <v>-123.35</v>
      </c>
      <c r="W38" s="78">
        <v>-103.72</v>
      </c>
      <c r="X38" s="78">
        <v>-41.09</v>
      </c>
      <c r="Y38" s="78">
        <v>40.369999999999997</v>
      </c>
      <c r="Z38" s="78">
        <v>81.42</v>
      </c>
      <c r="AA38" s="78">
        <v>84.8</v>
      </c>
      <c r="AB38" s="78">
        <v>90.08</v>
      </c>
      <c r="AC38" s="78">
        <v>92.37</v>
      </c>
      <c r="AD38" s="78">
        <v>146.37</v>
      </c>
      <c r="AE38" s="78">
        <v>148.87</v>
      </c>
      <c r="AF38" s="78">
        <v>152.36000000000001</v>
      </c>
      <c r="AG38" s="78">
        <v>154.33000000000001</v>
      </c>
      <c r="AH38" s="78">
        <v>155.37</v>
      </c>
      <c r="AI38" s="78">
        <f>-'[1]OAR.4 (M3)'!$W$44</f>
        <v>157.99</v>
      </c>
      <c r="AJ38" s="78">
        <f>-'[1]OAR.4 (M3)'!$W$45</f>
        <v>159.27000000000001</v>
      </c>
      <c r="AK38" s="78">
        <f>-'[1]OAR.4 (M3)'!$W$46</f>
        <v>154.94999999999999</v>
      </c>
      <c r="AL38" s="78">
        <f>-'[1]OAR.4 (M3)'!$W$47</f>
        <v>152.79</v>
      </c>
      <c r="AM38" s="78">
        <f>-'[1]OAR.4 (M3)'!$W$48</f>
        <v>148.79</v>
      </c>
      <c r="AN38" s="78">
        <f>-'[1]OAR.4 (M3)'!$W$49</f>
        <v>145.24</v>
      </c>
      <c r="AO38" s="78">
        <f>-'[1]OAR.4 (M3)'!$W$50</f>
        <v>139.51</v>
      </c>
      <c r="AP38" s="78">
        <f>-'[1]OAR.4 (M3)'!$W$51</f>
        <v>134.43</v>
      </c>
      <c r="AQ38" s="78">
        <f>-'[1]OAR.4 (M3)'!$W$52</f>
        <v>127.14</v>
      </c>
      <c r="AR38" s="78">
        <f>-'[1]OAR.4 (M3)'!$W$53</f>
        <v>119.36</v>
      </c>
      <c r="AS38" s="78">
        <f>-'[1]OAR.4 (M3)'!$W$54</f>
        <v>106.82</v>
      </c>
      <c r="AT38" s="78">
        <f>-'[1]OAR.4 (M3)'!$W$55</f>
        <v>93.88</v>
      </c>
      <c r="AU38" s="150">
        <f>'[2]MEEIA 3 calcs'!BV79</f>
        <v>84.421910433221925</v>
      </c>
      <c r="AV38" s="151">
        <f>'[2]MEEIA 3 calcs'!BW79</f>
        <v>73.138998456758486</v>
      </c>
      <c r="AW38" s="103">
        <f>'[2]MEEIA 3 calcs'!BX79</f>
        <v>60.446695869193725</v>
      </c>
      <c r="AY38" s="192"/>
      <c r="AZ38" s="192"/>
      <c r="BA38" s="192"/>
    </row>
    <row r="39" spans="1:53" x14ac:dyDescent="0.25">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8"/>
      <c r="AV39" s="99"/>
      <c r="AW39" s="100"/>
    </row>
    <row r="40" spans="1:53" x14ac:dyDescent="0.25">
      <c r="A40" t="s">
        <v>68</v>
      </c>
      <c r="AU40" s="65"/>
      <c r="AW40" s="67"/>
    </row>
    <row r="41" spans="1:53" x14ac:dyDescent="0.25">
      <c r="A41" t="s">
        <v>0</v>
      </c>
      <c r="B41" s="73">
        <f t="shared" ref="B41:I41" si="44">B15-B29</f>
        <v>-26962.441870856175</v>
      </c>
      <c r="C41" s="73">
        <f t="shared" si="44"/>
        <v>0</v>
      </c>
      <c r="D41" s="73">
        <f t="shared" si="44"/>
        <v>0</v>
      </c>
      <c r="E41" s="73">
        <f t="shared" si="44"/>
        <v>0</v>
      </c>
      <c r="F41" s="73">
        <f t="shared" si="44"/>
        <v>0</v>
      </c>
      <c r="G41" s="73">
        <f t="shared" si="44"/>
        <v>-0.15686485692455363</v>
      </c>
      <c r="H41" s="73">
        <f t="shared" si="44"/>
        <v>0</v>
      </c>
      <c r="I41" s="73">
        <f t="shared" si="44"/>
        <v>0</v>
      </c>
      <c r="J41" s="73">
        <f>J15-J29</f>
        <v>-82899.862639111845</v>
      </c>
      <c r="K41" s="256">
        <f t="shared" ref="K41:V41" si="45">K15-K29</f>
        <v>967.04033262850135</v>
      </c>
      <c r="L41" s="73">
        <f t="shared" si="45"/>
        <v>0</v>
      </c>
      <c r="M41" s="73">
        <f t="shared" si="45"/>
        <v>0</v>
      </c>
      <c r="N41" s="73">
        <f t="shared" si="45"/>
        <v>4047.0629511177281</v>
      </c>
      <c r="O41" s="73">
        <f t="shared" si="45"/>
        <v>9639.7381297718857</v>
      </c>
      <c r="P41" s="73">
        <f t="shared" si="45"/>
        <v>7452.2854126414959</v>
      </c>
      <c r="Q41" s="73">
        <f t="shared" si="45"/>
        <v>7114.8111207440816</v>
      </c>
      <c r="R41" s="73">
        <f t="shared" si="45"/>
        <v>9358.1112396599638</v>
      </c>
      <c r="S41" s="73">
        <f t="shared" si="45"/>
        <v>12807.752014937581</v>
      </c>
      <c r="T41" s="73">
        <f t="shared" si="45"/>
        <v>12242.723481482135</v>
      </c>
      <c r="U41" s="73">
        <f t="shared" si="45"/>
        <v>10253.565461444761</v>
      </c>
      <c r="V41" s="73">
        <f t="shared" si="45"/>
        <v>7164.6087355623667</v>
      </c>
      <c r="W41" s="73">
        <f t="shared" ref="W41:AH41" si="46">W15-W29</f>
        <v>6472.8527680990401</v>
      </c>
      <c r="X41" s="73">
        <f t="shared" si="46"/>
        <v>10378.747657799417</v>
      </c>
      <c r="Y41" s="73">
        <f t="shared" si="46"/>
        <v>12491.34522602829</v>
      </c>
      <c r="Z41" s="73">
        <f t="shared" si="46"/>
        <v>5154.5133380710286</v>
      </c>
      <c r="AA41" s="73">
        <f t="shared" si="46"/>
        <v>-27.221963606531137</v>
      </c>
      <c r="AB41" s="73">
        <f t="shared" si="46"/>
        <v>-19.857410857015093</v>
      </c>
      <c r="AC41" s="73">
        <f t="shared" si="46"/>
        <v>-8.4116272361409319</v>
      </c>
      <c r="AD41" s="73">
        <f t="shared" si="46"/>
        <v>-20.891980160773819</v>
      </c>
      <c r="AE41" s="73">
        <f t="shared" si="46"/>
        <v>-36.324628851889585</v>
      </c>
      <c r="AF41" s="73">
        <f t="shared" si="46"/>
        <v>-33.080223114056253</v>
      </c>
      <c r="AG41" s="73">
        <f t="shared" si="46"/>
        <v>-12.512052795326928</v>
      </c>
      <c r="AH41" s="73">
        <f t="shared" si="46"/>
        <v>-13.279838829732434</v>
      </c>
      <c r="AI41" s="73">
        <f t="shared" ref="AI41:AT41" si="47">AI15-AI29</f>
        <v>-9.8107695864890871</v>
      </c>
      <c r="AJ41" s="73">
        <f t="shared" si="47"/>
        <v>-43.425679636572831</v>
      </c>
      <c r="AK41" s="73">
        <f t="shared" si="47"/>
        <v>-212.68049277693029</v>
      </c>
      <c r="AL41" s="73">
        <f t="shared" si="47"/>
        <v>-185.15090025735404</v>
      </c>
      <c r="AM41" s="73">
        <f t="shared" si="47"/>
        <v>-19.85162148706431</v>
      </c>
      <c r="AN41" s="73">
        <f t="shared" si="47"/>
        <v>-10.824071621429093</v>
      </c>
      <c r="AO41" s="73">
        <f t="shared" si="47"/>
        <v>-10.346605479404696</v>
      </c>
      <c r="AP41" s="73">
        <f t="shared" si="47"/>
        <v>-25.132559275811072</v>
      </c>
      <c r="AQ41" s="73">
        <f t="shared" si="47"/>
        <v>-42.00587241443359</v>
      </c>
      <c r="AR41" s="73">
        <f t="shared" si="47"/>
        <v>-29.482470927702561</v>
      </c>
      <c r="AS41" s="73">
        <f t="shared" si="47"/>
        <v>-26.784502744691665</v>
      </c>
      <c r="AT41" s="73">
        <f t="shared" si="47"/>
        <v>-13.123011566599155</v>
      </c>
      <c r="AU41" s="72">
        <f>AU15-AU29</f>
        <v>-942.56640374212088</v>
      </c>
      <c r="AV41" s="21">
        <f t="shared" ref="B41:AW45" si="48">AV15-AV29</f>
        <v>-1188.9643425787069</v>
      </c>
      <c r="AW41" s="75">
        <f t="shared" si="48"/>
        <v>-1397.6223005001484</v>
      </c>
    </row>
    <row r="42" spans="1:53" x14ac:dyDescent="0.25">
      <c r="A42" t="s">
        <v>4</v>
      </c>
      <c r="B42" s="73">
        <f t="shared" si="48"/>
        <v>-5076.1503750323909</v>
      </c>
      <c r="C42" s="73">
        <f t="shared" si="48"/>
        <v>0</v>
      </c>
      <c r="D42" s="73">
        <f t="shared" si="48"/>
        <v>0</v>
      </c>
      <c r="E42" s="73">
        <f t="shared" si="48"/>
        <v>0</v>
      </c>
      <c r="F42" s="73">
        <f t="shared" si="48"/>
        <v>0</v>
      </c>
      <c r="G42" s="73">
        <f t="shared" si="48"/>
        <v>3.4391087314137973E-2</v>
      </c>
      <c r="H42" s="73">
        <f t="shared" si="48"/>
        <v>0</v>
      </c>
      <c r="I42" s="73">
        <f t="shared" si="48"/>
        <v>0</v>
      </c>
      <c r="J42" s="73">
        <f t="shared" si="48"/>
        <v>-15607.335097337944</v>
      </c>
      <c r="K42" s="256">
        <f t="shared" ref="K42:V42" si="49">K16-K30</f>
        <v>182.06222458098637</v>
      </c>
      <c r="L42" s="73">
        <f t="shared" si="49"/>
        <v>0</v>
      </c>
      <c r="M42" s="73">
        <f t="shared" si="49"/>
        <v>0</v>
      </c>
      <c r="N42" s="73">
        <f t="shared" si="49"/>
        <v>962.74242476715358</v>
      </c>
      <c r="O42" s="73">
        <f t="shared" si="49"/>
        <v>1853.5252382828273</v>
      </c>
      <c r="P42" s="73">
        <f t="shared" si="49"/>
        <v>1626.0722048795992</v>
      </c>
      <c r="Q42" s="73">
        <f t="shared" si="49"/>
        <v>1588.6522019991728</v>
      </c>
      <c r="R42" s="73">
        <f t="shared" si="49"/>
        <v>1887.1973094561836</v>
      </c>
      <c r="S42" s="73">
        <f t="shared" si="49"/>
        <v>2296.2644995684414</v>
      </c>
      <c r="T42" s="73">
        <f t="shared" si="49"/>
        <v>2233.0651450749374</v>
      </c>
      <c r="U42" s="73">
        <f t="shared" si="49"/>
        <v>2032.145585206091</v>
      </c>
      <c r="V42" s="73">
        <f t="shared" si="49"/>
        <v>1633.7295266289884</v>
      </c>
      <c r="W42" s="73">
        <f t="shared" ref="W42:AH42" si="50">W16-W30</f>
        <v>1542.7252362112265</v>
      </c>
      <c r="X42" s="73">
        <f t="shared" si="50"/>
        <v>1964.2946864206824</v>
      </c>
      <c r="Y42" s="73">
        <f t="shared" si="50"/>
        <v>2273.8141259610779</v>
      </c>
      <c r="Z42" s="73">
        <f t="shared" si="50"/>
        <v>1074.9905563754603</v>
      </c>
      <c r="AA42" s="73">
        <f t="shared" si="50"/>
        <v>3.2557757903179443</v>
      </c>
      <c r="AB42" s="73">
        <f t="shared" si="50"/>
        <v>2.0636070680788596</v>
      </c>
      <c r="AC42" s="73">
        <f t="shared" si="50"/>
        <v>1.0016049961806959</v>
      </c>
      <c r="AD42" s="73">
        <f t="shared" si="50"/>
        <v>4900.7872065598049</v>
      </c>
      <c r="AE42" s="73">
        <f t="shared" si="50"/>
        <v>1.1977053658646823</v>
      </c>
      <c r="AF42" s="73">
        <f t="shared" si="50"/>
        <v>1.5696281301198176</v>
      </c>
      <c r="AG42" s="73">
        <f t="shared" si="50"/>
        <v>0.10521707149899973</v>
      </c>
      <c r="AH42" s="73">
        <f t="shared" si="50"/>
        <v>0.40105230215710502</v>
      </c>
      <c r="AI42" s="73">
        <f t="shared" ref="AI42:AT42" si="51">AI16-AI30</f>
        <v>0.63861916434587251</v>
      </c>
      <c r="AJ42" s="73">
        <f t="shared" si="51"/>
        <v>8.0030838344719746E-2</v>
      </c>
      <c r="AK42" s="73">
        <f t="shared" si="51"/>
        <v>1.8313540735498897</v>
      </c>
      <c r="AL42" s="73">
        <f t="shared" si="51"/>
        <v>-138.45543096799366</v>
      </c>
      <c r="AM42" s="73">
        <f t="shared" si="51"/>
        <v>-367.85940128265082</v>
      </c>
      <c r="AN42" s="73">
        <f t="shared" si="51"/>
        <v>-356.58633167954849</v>
      </c>
      <c r="AO42" s="73">
        <f t="shared" si="51"/>
        <v>-339.20765292891986</v>
      </c>
      <c r="AP42" s="73">
        <f t="shared" si="51"/>
        <v>-436.50530509404553</v>
      </c>
      <c r="AQ42" s="73">
        <f t="shared" si="51"/>
        <v>-542.45410699582658</v>
      </c>
      <c r="AR42" s="73">
        <f t="shared" si="51"/>
        <v>-503.82229081198727</v>
      </c>
      <c r="AS42" s="73">
        <f t="shared" si="51"/>
        <v>-486.44690794046966</v>
      </c>
      <c r="AT42" s="73">
        <f t="shared" si="51"/>
        <v>-394.09247315616477</v>
      </c>
      <c r="AU42" s="72">
        <f t="shared" si="48"/>
        <v>-456.52054109009322</v>
      </c>
      <c r="AV42" s="21">
        <f t="shared" si="48"/>
        <v>-546.08440199335814</v>
      </c>
      <c r="AW42" s="75">
        <f t="shared" si="48"/>
        <v>-613.86426454877937</v>
      </c>
    </row>
    <row r="43" spans="1:53" x14ac:dyDescent="0.25">
      <c r="A43" t="s">
        <v>5</v>
      </c>
      <c r="B43" s="73">
        <f t="shared" si="48"/>
        <v>-11223.545093004912</v>
      </c>
      <c r="C43" s="73">
        <f t="shared" si="48"/>
        <v>0</v>
      </c>
      <c r="D43" s="73">
        <f t="shared" si="48"/>
        <v>0</v>
      </c>
      <c r="E43" s="73">
        <f t="shared" si="48"/>
        <v>0</v>
      </c>
      <c r="F43" s="73">
        <f t="shared" si="48"/>
        <v>0</v>
      </c>
      <c r="G43" s="73">
        <f t="shared" si="48"/>
        <v>7.557092530758569E-2</v>
      </c>
      <c r="H43" s="73">
        <f t="shared" si="48"/>
        <v>0</v>
      </c>
      <c r="I43" s="73">
        <f t="shared" si="48"/>
        <v>0</v>
      </c>
      <c r="J43" s="73">
        <f t="shared" si="48"/>
        <v>-34508.360293869126</v>
      </c>
      <c r="K43" s="256">
        <f t="shared" ref="K43:V43" si="52">K17-K31</f>
        <v>402.54591301473556</v>
      </c>
      <c r="L43" s="73">
        <f t="shared" si="52"/>
        <v>0</v>
      </c>
      <c r="M43" s="73">
        <f t="shared" si="52"/>
        <v>0</v>
      </c>
      <c r="N43" s="73">
        <f t="shared" si="52"/>
        <v>1858.2738116198464</v>
      </c>
      <c r="O43" s="73">
        <f t="shared" si="52"/>
        <v>3608.0915933947713</v>
      </c>
      <c r="P43" s="73">
        <f t="shared" si="52"/>
        <v>3451.6376831010307</v>
      </c>
      <c r="Q43" s="73">
        <f t="shared" si="52"/>
        <v>3544.5217026929399</v>
      </c>
      <c r="R43" s="73">
        <f t="shared" si="52"/>
        <v>3993.0315091342927</v>
      </c>
      <c r="S43" s="73">
        <f t="shared" si="52"/>
        <v>4766.2766286142241</v>
      </c>
      <c r="T43" s="73">
        <f t="shared" si="52"/>
        <v>4429.2581279114056</v>
      </c>
      <c r="U43" s="73">
        <f t="shared" si="52"/>
        <v>4244.1405181655809</v>
      </c>
      <c r="V43" s="73">
        <f t="shared" si="52"/>
        <v>3643.1841863651393</v>
      </c>
      <c r="W43" s="73">
        <f t="shared" ref="W43:AH43" si="53">W17-W31</f>
        <v>3528.3661391205865</v>
      </c>
      <c r="X43" s="73">
        <f t="shared" si="53"/>
        <v>3895.668213092094</v>
      </c>
      <c r="Y43" s="73">
        <f t="shared" si="53"/>
        <v>4061.1356977115533</v>
      </c>
      <c r="Z43" s="73">
        <f t="shared" si="53"/>
        <v>2231.094467018273</v>
      </c>
      <c r="AA43" s="73">
        <f t="shared" si="53"/>
        <v>22.964492396817011</v>
      </c>
      <c r="AB43" s="73">
        <f t="shared" si="53"/>
        <v>2.9259354620113189</v>
      </c>
      <c r="AC43" s="73">
        <f t="shared" si="53"/>
        <v>-3.4896360843689345</v>
      </c>
      <c r="AD43" s="73">
        <f t="shared" si="53"/>
        <v>6615.0757733909022</v>
      </c>
      <c r="AE43" s="73">
        <f t="shared" si="53"/>
        <v>5.6640378760185559E-2</v>
      </c>
      <c r="AF43" s="73">
        <f t="shared" si="53"/>
        <v>4.4323160013073482</v>
      </c>
      <c r="AG43" s="73">
        <f t="shared" si="53"/>
        <v>5.1072688674937368</v>
      </c>
      <c r="AH43" s="73">
        <f t="shared" si="53"/>
        <v>-1.5551564780531477E-2</v>
      </c>
      <c r="AI43" s="73">
        <f t="shared" ref="AI43:AT43" si="54">AI17-AI31</f>
        <v>0.10325392112011444</v>
      </c>
      <c r="AJ43" s="73">
        <f t="shared" si="54"/>
        <v>32.727442280110679</v>
      </c>
      <c r="AK43" s="73">
        <f t="shared" si="54"/>
        <v>2.858996639678244</v>
      </c>
      <c r="AL43" s="73">
        <f t="shared" si="54"/>
        <v>-412.8874449051458</v>
      </c>
      <c r="AM43" s="73">
        <f t="shared" si="54"/>
        <v>-973.34158378961058</v>
      </c>
      <c r="AN43" s="73">
        <f t="shared" si="54"/>
        <v>-984.09320166560497</v>
      </c>
      <c r="AO43" s="73">
        <f t="shared" si="54"/>
        <v>-989.39199878454917</v>
      </c>
      <c r="AP43" s="73">
        <f t="shared" si="54"/>
        <v>-1120.7591082452197</v>
      </c>
      <c r="AQ43" s="73">
        <f t="shared" si="54"/>
        <v>-1265.4890060445143</v>
      </c>
      <c r="AR43" s="73">
        <f t="shared" si="54"/>
        <v>-1187.6849848411071</v>
      </c>
      <c r="AS43" s="73">
        <f t="shared" si="54"/>
        <v>-1188.0428878137388</v>
      </c>
      <c r="AT43" s="73">
        <f t="shared" si="54"/>
        <v>-1059.4637656101752</v>
      </c>
      <c r="AU43" s="72">
        <f t="shared" si="48"/>
        <v>-996.7782530914335</v>
      </c>
      <c r="AV43" s="21">
        <f t="shared" si="48"/>
        <v>-1096.1479473633271</v>
      </c>
      <c r="AW43" s="75">
        <f t="shared" si="48"/>
        <v>-1151.2670991664875</v>
      </c>
    </row>
    <row r="44" spans="1:53" x14ac:dyDescent="0.25">
      <c r="A44" t="s">
        <v>6</v>
      </c>
      <c r="B44" s="73">
        <f t="shared" si="48"/>
        <v>-4801.723390414465</v>
      </c>
      <c r="C44" s="73">
        <f t="shared" si="48"/>
        <v>0</v>
      </c>
      <c r="D44" s="73">
        <f t="shared" si="48"/>
        <v>0</v>
      </c>
      <c r="E44" s="73">
        <f t="shared" si="48"/>
        <v>0</v>
      </c>
      <c r="F44" s="73">
        <f t="shared" si="48"/>
        <v>0</v>
      </c>
      <c r="G44" s="73">
        <f t="shared" si="48"/>
        <v>3.3773755561765012E-2</v>
      </c>
      <c r="H44" s="73">
        <f t="shared" si="48"/>
        <v>0</v>
      </c>
      <c r="I44" s="73">
        <f t="shared" si="48"/>
        <v>0</v>
      </c>
      <c r="J44" s="73">
        <f t="shared" si="48"/>
        <v>-14763.570960392621</v>
      </c>
      <c r="K44" s="256">
        <f t="shared" ref="K44:V44" si="55">K18-K32</f>
        <v>172.21957146528257</v>
      </c>
      <c r="L44" s="73">
        <f t="shared" si="55"/>
        <v>0</v>
      </c>
      <c r="M44" s="73">
        <f t="shared" si="55"/>
        <v>0</v>
      </c>
      <c r="N44" s="73">
        <f t="shared" si="55"/>
        <v>645.51593863973255</v>
      </c>
      <c r="O44" s="73">
        <f t="shared" si="55"/>
        <v>1470.4359670333033</v>
      </c>
      <c r="P44" s="73">
        <f t="shared" si="55"/>
        <v>1528.635490421781</v>
      </c>
      <c r="Q44" s="73">
        <f t="shared" si="55"/>
        <v>1553.0760962113773</v>
      </c>
      <c r="R44" s="73">
        <f t="shared" si="55"/>
        <v>1775.7704477798277</v>
      </c>
      <c r="S44" s="73">
        <f t="shared" si="55"/>
        <v>1837.0883518029723</v>
      </c>
      <c r="T44" s="73">
        <f t="shared" si="55"/>
        <v>1820.8308399016335</v>
      </c>
      <c r="U44" s="73">
        <f t="shared" si="55"/>
        <v>1772.9697598215166</v>
      </c>
      <c r="V44" s="73">
        <f t="shared" si="55"/>
        <v>1574.6742597253885</v>
      </c>
      <c r="W44" s="73">
        <f t="shared" ref="W44:AH44" si="56">W18-W32</f>
        <v>1588.3913945050704</v>
      </c>
      <c r="X44" s="73">
        <f t="shared" si="56"/>
        <v>1635.8150948376626</v>
      </c>
      <c r="Y44" s="73">
        <f t="shared" si="56"/>
        <v>1556.8985855412641</v>
      </c>
      <c r="Z44" s="73">
        <f t="shared" si="56"/>
        <v>1059.1050027042729</v>
      </c>
      <c r="AA44" s="73">
        <f t="shared" si="56"/>
        <v>29.589475766372466</v>
      </c>
      <c r="AB44" s="73">
        <f t="shared" si="56"/>
        <v>0.16828192418425009</v>
      </c>
      <c r="AC44" s="73">
        <f t="shared" si="56"/>
        <v>2.2666752081207286E-2</v>
      </c>
      <c r="AD44" s="73">
        <f t="shared" si="56"/>
        <v>6.6677130224182847E-3</v>
      </c>
      <c r="AE44" s="73">
        <f t="shared" si="56"/>
        <v>-8.9575840179502819E-2</v>
      </c>
      <c r="AF44" s="73">
        <f t="shared" si="56"/>
        <v>0.16371836491891126</v>
      </c>
      <c r="AG44" s="73">
        <f t="shared" si="56"/>
        <v>2.916482420550532</v>
      </c>
      <c r="AH44" s="73">
        <f t="shared" si="56"/>
        <v>9.9894149713516487E-3</v>
      </c>
      <c r="AI44" s="73">
        <f t="shared" ref="AI44:AT44" si="57">AI18-AI32</f>
        <v>2.7976180757755563E-2</v>
      </c>
      <c r="AJ44" s="73">
        <f t="shared" si="57"/>
        <v>0.33872395338609468</v>
      </c>
      <c r="AK44" s="73">
        <f t="shared" si="57"/>
        <v>1.1363252030154762</v>
      </c>
      <c r="AL44" s="73">
        <f t="shared" si="57"/>
        <v>1.1232530883871494</v>
      </c>
      <c r="AM44" s="73">
        <f t="shared" si="57"/>
        <v>0.17491020894776185</v>
      </c>
      <c r="AN44" s="73">
        <f t="shared" si="57"/>
        <v>5.7704702083406355E-2</v>
      </c>
      <c r="AO44" s="73">
        <f t="shared" si="57"/>
        <v>1.2318348663602744E-2</v>
      </c>
      <c r="AP44" s="73">
        <f t="shared" si="57"/>
        <v>1.308224792160355E-2</v>
      </c>
      <c r="AQ44" s="73">
        <f t="shared" si="57"/>
        <v>4.4699782312778345E-2</v>
      </c>
      <c r="AR44" s="73">
        <f t="shared" si="57"/>
        <v>2.2311747055807352E-2</v>
      </c>
      <c r="AS44" s="73">
        <f t="shared" si="57"/>
        <v>1.8738470962803237E-2</v>
      </c>
      <c r="AT44" s="73">
        <f t="shared" si="57"/>
        <v>7.1047950228445237E-3</v>
      </c>
      <c r="AU44" s="72">
        <f t="shared" si="48"/>
        <v>4.4004084260245397</v>
      </c>
      <c r="AV44" s="21">
        <f t="shared" si="48"/>
        <v>4.9724844997535733</v>
      </c>
      <c r="AW44" s="75">
        <f t="shared" si="48"/>
        <v>5.4384602002106011</v>
      </c>
    </row>
    <row r="45" spans="1:53" x14ac:dyDescent="0.25">
      <c r="A45" t="s">
        <v>7</v>
      </c>
      <c r="B45" s="73">
        <f t="shared" si="48"/>
        <v>-1936.1392706920603</v>
      </c>
      <c r="C45" s="73">
        <f t="shared" si="48"/>
        <v>0</v>
      </c>
      <c r="D45" s="73">
        <f t="shared" si="48"/>
        <v>0</v>
      </c>
      <c r="E45" s="73">
        <f t="shared" si="48"/>
        <v>0</v>
      </c>
      <c r="F45" s="73">
        <f t="shared" si="48"/>
        <v>0</v>
      </c>
      <c r="G45" s="73">
        <f t="shared" si="48"/>
        <v>1.3129088741064937E-2</v>
      </c>
      <c r="H45" s="73">
        <f t="shared" si="48"/>
        <v>0</v>
      </c>
      <c r="I45" s="73">
        <f t="shared" si="48"/>
        <v>0</v>
      </c>
      <c r="J45" s="73">
        <f t="shared" si="48"/>
        <v>-5952.9310092884298</v>
      </c>
      <c r="K45" s="256">
        <f t="shared" ref="K45:V45" si="58">K19-K33</f>
        <v>69.441958310495465</v>
      </c>
      <c r="L45" s="73">
        <f t="shared" si="58"/>
        <v>0</v>
      </c>
      <c r="M45" s="73">
        <f t="shared" si="58"/>
        <v>0</v>
      </c>
      <c r="N45" s="73">
        <f t="shared" si="58"/>
        <v>143.13487385553915</v>
      </c>
      <c r="O45" s="73">
        <f t="shared" si="58"/>
        <v>539.34907151721313</v>
      </c>
      <c r="P45" s="73">
        <f t="shared" si="58"/>
        <v>451.69920895609437</v>
      </c>
      <c r="Q45" s="73">
        <f t="shared" si="58"/>
        <v>490.2988783524288</v>
      </c>
      <c r="R45" s="73">
        <f t="shared" si="58"/>
        <v>598.31949396973391</v>
      </c>
      <c r="S45" s="73">
        <f t="shared" si="58"/>
        <v>685.23850507678094</v>
      </c>
      <c r="T45" s="73">
        <f t="shared" si="58"/>
        <v>677.34240562988782</v>
      </c>
      <c r="U45" s="73">
        <f t="shared" si="58"/>
        <v>706.47867536205138</v>
      </c>
      <c r="V45" s="73">
        <f t="shared" si="58"/>
        <v>607.123291718117</v>
      </c>
      <c r="W45" s="73">
        <f t="shared" ref="W45:AH45" si="59">W19-W33</f>
        <v>605.73446206407687</v>
      </c>
      <c r="X45" s="73">
        <f t="shared" si="59"/>
        <v>590.10434785014445</v>
      </c>
      <c r="Y45" s="73">
        <f t="shared" si="59"/>
        <v>497.30636475781648</v>
      </c>
      <c r="Z45" s="73">
        <f t="shared" si="59"/>
        <v>432.75663583096446</v>
      </c>
      <c r="AA45" s="73">
        <f t="shared" si="59"/>
        <v>130.62221965302373</v>
      </c>
      <c r="AB45" s="73">
        <f t="shared" si="59"/>
        <v>129.36958640274065</v>
      </c>
      <c r="AC45" s="73">
        <f t="shared" si="59"/>
        <v>135.26699157224795</v>
      </c>
      <c r="AD45" s="73">
        <f t="shared" si="59"/>
        <v>162.71233249704358</v>
      </c>
      <c r="AE45" s="73">
        <f t="shared" si="59"/>
        <v>152.38985894744422</v>
      </c>
      <c r="AF45" s="73">
        <f t="shared" si="59"/>
        <v>174.72456061771021</v>
      </c>
      <c r="AG45" s="73">
        <f t="shared" si="59"/>
        <v>191.65308443578365</v>
      </c>
      <c r="AH45" s="73">
        <f t="shared" si="59"/>
        <v>192.16434867738454</v>
      </c>
      <c r="AI45" s="73">
        <f t="shared" ref="AI45:AT45" si="60">AI19-AI33</f>
        <v>171.35092032026535</v>
      </c>
      <c r="AJ45" s="73">
        <f t="shared" si="60"/>
        <v>193.04948256473131</v>
      </c>
      <c r="AK45" s="73">
        <f t="shared" si="60"/>
        <v>169.42381686068674</v>
      </c>
      <c r="AL45" s="73">
        <f t="shared" si="60"/>
        <v>106.16052304210638</v>
      </c>
      <c r="AM45" s="73">
        <f t="shared" si="60"/>
        <v>0.40769635037828661</v>
      </c>
      <c r="AN45" s="73">
        <f t="shared" si="60"/>
        <v>1.5900264500129793E-2</v>
      </c>
      <c r="AO45" s="73">
        <f t="shared" si="60"/>
        <v>3.9388442112263181E-3</v>
      </c>
      <c r="AP45" s="73">
        <f t="shared" si="60"/>
        <v>3.8903671559515234E-3</v>
      </c>
      <c r="AQ45" s="73">
        <f t="shared" si="60"/>
        <v>1.42856724627426E-2</v>
      </c>
      <c r="AR45" s="73">
        <f t="shared" si="60"/>
        <v>7.4348337414324285E-3</v>
      </c>
      <c r="AS45" s="73">
        <f t="shared" si="60"/>
        <v>5.5600279388356823E-3</v>
      </c>
      <c r="AT45" s="73">
        <f t="shared" si="60"/>
        <v>2.1455379171487375E-3</v>
      </c>
      <c r="AU45" s="72">
        <f t="shared" si="48"/>
        <v>1.3501147269486209</v>
      </c>
      <c r="AV45" s="21">
        <f t="shared" si="48"/>
        <v>1.4266831766178676</v>
      </c>
      <c r="AW45" s="75">
        <f t="shared" si="48"/>
        <v>1.4900544286300363</v>
      </c>
    </row>
    <row r="46" spans="1:53" x14ac:dyDescent="0.25">
      <c r="AU46" s="65"/>
      <c r="AW46" s="67"/>
    </row>
    <row r="47" spans="1:53" x14ac:dyDescent="0.25">
      <c r="A47" t="s">
        <v>69</v>
      </c>
      <c r="AU47" s="65"/>
      <c r="AW47" s="67"/>
    </row>
    <row r="48" spans="1:53" x14ac:dyDescent="0.25">
      <c r="A48" t="s">
        <v>0</v>
      </c>
      <c r="B48" s="73">
        <f>B41</f>
        <v>-26962.441870856175</v>
      </c>
      <c r="C48" s="73">
        <f t="shared" ref="C48:J52" si="61">B48+C41+B55</f>
        <v>-26967.659485326112</v>
      </c>
      <c r="D48" s="73">
        <f t="shared" si="61"/>
        <v>-26972.461391720168</v>
      </c>
      <c r="E48" s="73">
        <f t="shared" si="61"/>
        <v>-26977.521492908407</v>
      </c>
      <c r="F48" s="73">
        <f t="shared" si="61"/>
        <v>-26982.563411825289</v>
      </c>
      <c r="G48" s="73">
        <f t="shared" si="61"/>
        <v>-26987.254673978099</v>
      </c>
      <c r="H48" s="73">
        <f t="shared" si="61"/>
        <v>-26990.393044313514</v>
      </c>
      <c r="I48" s="73">
        <f t="shared" si="61"/>
        <v>-26995.006129832676</v>
      </c>
      <c r="J48" s="73">
        <f>I48+J41+I55</f>
        <v>-109899.21570729409</v>
      </c>
      <c r="K48" s="73">
        <f>J48+K41+J55</f>
        <v>-108945.912776629</v>
      </c>
      <c r="L48" s="73">
        <f>K48+L41+K55</f>
        <v>-109943.59154963001</v>
      </c>
      <c r="M48" s="73">
        <f>L48+M41+L55</f>
        <v>-109967.4551726545</v>
      </c>
      <c r="N48" s="73">
        <f>M48+N41+M55+M65</f>
        <v>-92219.527828281745</v>
      </c>
      <c r="O48" s="73">
        <f t="shared" ref="K48:W52" si="62">N48+O41+N55</f>
        <v>-82602.525577750261</v>
      </c>
      <c r="P48" s="73">
        <f t="shared" si="62"/>
        <v>-75197.619321729653</v>
      </c>
      <c r="Q48" s="73">
        <f t="shared" si="62"/>
        <v>-68120.433079154463</v>
      </c>
      <c r="R48" s="73">
        <f t="shared" si="62"/>
        <v>-58816.233769409031</v>
      </c>
      <c r="S48" s="73">
        <f t="shared" si="62"/>
        <v>-46081.309289476463</v>
      </c>
      <c r="T48" s="73">
        <f t="shared" si="62"/>
        <v>-33917.56494799647</v>
      </c>
      <c r="U48" s="73">
        <f t="shared" si="62"/>
        <v>-23736.471543281015</v>
      </c>
      <c r="V48" s="73">
        <f t="shared" si="62"/>
        <v>-16628.072671250862</v>
      </c>
      <c r="W48" s="73">
        <f t="shared" si="62"/>
        <v>-10203.304409433455</v>
      </c>
      <c r="X48" s="73">
        <f t="shared" ref="X48:X52" si="63">W48+X41+W55</f>
        <v>138.99961284707547</v>
      </c>
      <c r="Y48" s="73">
        <f t="shared" ref="Y48:Y52" si="64">X48+Y41+X55</f>
        <v>12630.879709733101</v>
      </c>
      <c r="Z48" s="73">
        <f t="shared" ref="Z48:Z52" si="65">Y48+Z41+Y55</f>
        <v>17835.570082885675</v>
      </c>
      <c r="AA48" s="73">
        <f t="shared" ref="AA48:AA52" si="66">Z48+AA41+Z55</f>
        <v>17880.403004950374</v>
      </c>
      <c r="AB48" s="73">
        <f t="shared" ref="AB48:AB52" si="67">AA48+AB41+AA55</f>
        <v>17934.889538325478</v>
      </c>
      <c r="AC48" s="73">
        <f t="shared" ref="AC48:AC52" si="68">AB48+AC41+AB55</f>
        <v>18004.923937216412</v>
      </c>
      <c r="AD48" s="73">
        <f t="shared" ref="AD48:AD52" si="69">AC48+AD41+AC55</f>
        <v>18063.955573648469</v>
      </c>
      <c r="AE48" s="73">
        <f t="shared" ref="AE48:AE52" si="70">AD48+AE41+AD55</f>
        <v>18108.840798909696</v>
      </c>
      <c r="AF48" s="73">
        <f t="shared" ref="AF48:AF52" si="71">AE48+AF41+AE55</f>
        <v>18157.894189043938</v>
      </c>
      <c r="AG48" s="73">
        <f t="shared" ref="AG48:AG52" si="72">AF48+AG41+AF55</f>
        <v>18228.915697544311</v>
      </c>
      <c r="AH48" s="73">
        <f t="shared" ref="AH48:AH52" si="73">AG48+AH41+AG55</f>
        <v>18299.718661596413</v>
      </c>
      <c r="AI48" s="73">
        <f t="shared" ref="AI48:AI52" si="74">AH48+AI41+AH55</f>
        <v>18374.047802449706</v>
      </c>
      <c r="AJ48" s="73">
        <f t="shared" ref="AJ48:AJ52" si="75">AI48+AJ41+AI55</f>
        <v>18415.725475630457</v>
      </c>
      <c r="AK48" s="73">
        <f t="shared" ref="AK48:AK52" si="76">AJ48+AK41+AJ55</f>
        <v>18288.18049806642</v>
      </c>
      <c r="AL48" s="73">
        <f t="shared" ref="AL48:AL52" si="77">AK48+AL41+AK55</f>
        <v>18184.996079790119</v>
      </c>
      <c r="AM48" s="73">
        <f t="shared" ref="AM48:AM52" si="78">AL48+AM41+AL55</f>
        <v>18246.630986265853</v>
      </c>
      <c r="AN48" s="73">
        <f t="shared" ref="AN48:AN52" si="79">AM48+AN41+AM55</f>
        <v>18318.352133903478</v>
      </c>
      <c r="AO48" s="73">
        <f t="shared" ref="AO48:AO52" si="80">AN48+AO41+AN55</f>
        <v>18391.967161144548</v>
      </c>
      <c r="AP48" s="73">
        <f t="shared" ref="AP48:AP52" si="81">AO48+AP41+AO55</f>
        <v>18450.977851630974</v>
      </c>
      <c r="AQ48" s="73">
        <f t="shared" ref="AQ48:AQ52" si="82">AP48+AQ41+AP55</f>
        <v>18494.350757934542</v>
      </c>
      <c r="AR48" s="73">
        <f t="shared" ref="AR48:AR52" si="83">AQ48+AR41+AQ55</f>
        <v>18550.888702657499</v>
      </c>
      <c r="AS48" s="73">
        <f t="shared" ref="AS48:AS52" si="84">AR48+AS41+AR55</f>
        <v>18610.118023425242</v>
      </c>
      <c r="AT48" s="73">
        <f t="shared" ref="AT48:AT52" si="85">AS48+AT41+AS55</f>
        <v>18679.272654396525</v>
      </c>
      <c r="AU48" s="210">
        <f>AT48+AU41+AT55</f>
        <v>17813.614170897385</v>
      </c>
      <c r="AV48" s="21">
        <f>AU48+AV41+AU55</f>
        <v>16697.993584429656</v>
      </c>
      <c r="AW48" s="241">
        <f>AV48+AW41+AV55</f>
        <v>15369.121710274765</v>
      </c>
      <c r="AX48" s="31"/>
    </row>
    <row r="49" spans="1:50" x14ac:dyDescent="0.25">
      <c r="A49" t="s">
        <v>4</v>
      </c>
      <c r="B49" s="73">
        <f>B42</f>
        <v>-5076.1503750323909</v>
      </c>
      <c r="C49" s="73">
        <f t="shared" si="61"/>
        <v>-5077.13268204209</v>
      </c>
      <c r="D49" s="73">
        <f t="shared" si="61"/>
        <v>-5078.0367247493423</v>
      </c>
      <c r="E49" s="73">
        <f t="shared" si="61"/>
        <v>-5078.9893771339966</v>
      </c>
      <c r="F49" s="73">
        <f t="shared" si="61"/>
        <v>-5079.9386063886541</v>
      </c>
      <c r="G49" s="73">
        <f t="shared" si="61"/>
        <v>-5080.7578947508609</v>
      </c>
      <c r="H49" s="73">
        <f t="shared" si="61"/>
        <v>-5081.3487403204063</v>
      </c>
      <c r="I49" s="73">
        <f t="shared" si="61"/>
        <v>-5082.2172232748153</v>
      </c>
      <c r="J49" s="73">
        <f t="shared" si="61"/>
        <v>-20690.37069734668</v>
      </c>
      <c r="K49" s="73">
        <f>J49+K42+J56</f>
        <v>-20510.894769102862</v>
      </c>
      <c r="L49" s="73">
        <f t="shared" si="62"/>
        <v>-20698.725205346589</v>
      </c>
      <c r="M49" s="73">
        <f>L49+M42+L56</f>
        <v>-20703.21793264816</v>
      </c>
      <c r="N49" s="73">
        <f>M49+N42+M56+M66</f>
        <v>-21596.225431768027</v>
      </c>
      <c r="O49" s="73">
        <f t="shared" si="62"/>
        <v>-19748.024544900003</v>
      </c>
      <c r="P49" s="73">
        <f t="shared" si="62"/>
        <v>-18133.279411938867</v>
      </c>
      <c r="Q49" s="73">
        <f t="shared" si="62"/>
        <v>-16553.700135849194</v>
      </c>
      <c r="R49" s="73">
        <f t="shared" si="62"/>
        <v>-14679.603769549274</v>
      </c>
      <c r="S49" s="73">
        <f t="shared" si="62"/>
        <v>-12401.51587342637</v>
      </c>
      <c r="T49" s="73">
        <f t="shared" si="62"/>
        <v>-10189.705789752863</v>
      </c>
      <c r="U49" s="73">
        <f t="shared" si="62"/>
        <v>-8179.3326677876385</v>
      </c>
      <c r="V49" s="73">
        <f t="shared" si="62"/>
        <v>-6564.9724552625848</v>
      </c>
      <c r="W49" s="73">
        <f t="shared" si="62"/>
        <v>-5041.2315875650711</v>
      </c>
      <c r="X49" s="73">
        <f t="shared" si="63"/>
        <v>-3094.9429116652218</v>
      </c>
      <c r="Y49" s="73">
        <f t="shared" si="64"/>
        <v>-833.0381337655889</v>
      </c>
      <c r="Z49" s="73">
        <f t="shared" si="65"/>
        <v>238.6429535867203</v>
      </c>
      <c r="AA49" s="73">
        <f t="shared" si="66"/>
        <v>242.86283597172655</v>
      </c>
      <c r="AB49" s="73">
        <f t="shared" si="67"/>
        <v>245.93622906803628</v>
      </c>
      <c r="AC49" s="73">
        <f t="shared" si="68"/>
        <v>248.01354293935884</v>
      </c>
      <c r="AD49" s="73">
        <f t="shared" si="69"/>
        <v>5149.9016782997978</v>
      </c>
      <c r="AE49" s="73">
        <f t="shared" si="70"/>
        <v>5174.2517193922695</v>
      </c>
      <c r="AF49" s="73">
        <f t="shared" si="71"/>
        <v>5199.2894421557849</v>
      </c>
      <c r="AG49" s="73">
        <f t="shared" si="72"/>
        <v>5223.3134660442365</v>
      </c>
      <c r="AH49" s="73">
        <f t="shared" si="73"/>
        <v>5247.8076045091975</v>
      </c>
      <c r="AI49" s="73">
        <f t="shared" si="74"/>
        <v>5272.5750133021638</v>
      </c>
      <c r="AJ49" s="73">
        <f t="shared" si="75"/>
        <v>5297.0761089182461</v>
      </c>
      <c r="AK49" s="73">
        <f t="shared" si="76"/>
        <v>5323.3957354875729</v>
      </c>
      <c r="AL49" s="73">
        <f t="shared" si="77"/>
        <v>5208.7994314938014</v>
      </c>
      <c r="AM49" s="73">
        <f t="shared" si="78"/>
        <v>4864.2805345843553</v>
      </c>
      <c r="AN49" s="73">
        <f t="shared" si="79"/>
        <v>4529.699531097559</v>
      </c>
      <c r="AO49" s="73">
        <f t="shared" si="80"/>
        <v>4211.2536238531884</v>
      </c>
      <c r="AP49" s="73">
        <f t="shared" si="81"/>
        <v>3794.0148040882714</v>
      </c>
      <c r="AQ49" s="73">
        <f t="shared" si="82"/>
        <v>3269.1168587775255</v>
      </c>
      <c r="AR49" s="73">
        <f t="shared" si="83"/>
        <v>2780.4997943983703</v>
      </c>
      <c r="AS49" s="73">
        <f t="shared" si="84"/>
        <v>2306.9450676587662</v>
      </c>
      <c r="AT49" s="73">
        <f t="shared" si="85"/>
        <v>1923.0518850924002</v>
      </c>
      <c r="AU49" s="210">
        <f>AT49+AU42+AT56</f>
        <v>1474.449099888106</v>
      </c>
      <c r="AV49" s="21">
        <f t="shared" ref="AV49:AV52" si="86">AU49+AV42+AU56</f>
        <v>934.43542751439588</v>
      </c>
      <c r="AW49" s="241">
        <f t="shared" ref="AW49" si="87">AV49+AW42+AV56</f>
        <v>324.41850149218249</v>
      </c>
      <c r="AX49" s="31"/>
    </row>
    <row r="50" spans="1:50" x14ac:dyDescent="0.25">
      <c r="A50" t="s">
        <v>5</v>
      </c>
      <c r="B50" s="73">
        <f>B43</f>
        <v>-11223.545093004912</v>
      </c>
      <c r="C50" s="73">
        <f t="shared" si="61"/>
        <v>-11225.717007980631</v>
      </c>
      <c r="D50" s="73">
        <f t="shared" si="61"/>
        <v>-11227.715877860601</v>
      </c>
      <c r="E50" s="73">
        <f t="shared" si="61"/>
        <v>-11229.822225428577</v>
      </c>
      <c r="F50" s="73">
        <f t="shared" si="61"/>
        <v>-11231.921004337029</v>
      </c>
      <c r="G50" s="73">
        <f t="shared" si="61"/>
        <v>-11233.732948376566</v>
      </c>
      <c r="H50" s="73">
        <f t="shared" si="61"/>
        <v>-11235.039328542576</v>
      </c>
      <c r="I50" s="73">
        <f t="shared" si="61"/>
        <v>-11236.959574651946</v>
      </c>
      <c r="J50" s="73">
        <f t="shared" si="61"/>
        <v>-45747.129328028983</v>
      </c>
      <c r="K50" s="73">
        <f t="shared" si="62"/>
        <v>-45350.30180618025</v>
      </c>
      <c r="L50" s="73">
        <f t="shared" si="62"/>
        <v>-45765.601435853343</v>
      </c>
      <c r="M50" s="73">
        <f t="shared" si="62"/>
        <v>-45775.535012196997</v>
      </c>
      <c r="N50" s="73">
        <f>M50+N43+M57+M67</f>
        <v>-41856.158479599901</v>
      </c>
      <c r="O50" s="73">
        <f t="shared" si="62"/>
        <v>-38258.386138396825</v>
      </c>
      <c r="P50" s="73">
        <f t="shared" si="62"/>
        <v>-34828.692700417057</v>
      </c>
      <c r="Q50" s="73">
        <f t="shared" si="62"/>
        <v>-31301.597418021131</v>
      </c>
      <c r="R50" s="73">
        <f t="shared" si="62"/>
        <v>-27333.338645200074</v>
      </c>
      <c r="S50" s="73">
        <f t="shared" si="62"/>
        <v>-22600.906748718673</v>
      </c>
      <c r="T50" s="73">
        <f t="shared" si="62"/>
        <v>-18210.384503224785</v>
      </c>
      <c r="U50" s="73">
        <f t="shared" si="62"/>
        <v>-14005.154326081731</v>
      </c>
      <c r="V50" s="73">
        <f t="shared" si="62"/>
        <v>-10395.135465573099</v>
      </c>
      <c r="W50" s="73">
        <f t="shared" si="62"/>
        <v>-6896.8296326873424</v>
      </c>
      <c r="X50" s="73">
        <f t="shared" si="63"/>
        <v>-3025.7951593410835</v>
      </c>
      <c r="Y50" s="73">
        <f t="shared" si="64"/>
        <v>1023.6972710328374</v>
      </c>
      <c r="Z50" s="73">
        <f t="shared" si="65"/>
        <v>3258.8582861128853</v>
      </c>
      <c r="AA50" s="73">
        <f t="shared" si="66"/>
        <v>3294.9884166212605</v>
      </c>
      <c r="AB50" s="73">
        <f t="shared" si="67"/>
        <v>3311.6144031963786</v>
      </c>
      <c r="AC50" s="73">
        <f t="shared" si="68"/>
        <v>3322.6095504969758</v>
      </c>
      <c r="AD50" s="73">
        <f t="shared" si="69"/>
        <v>9952.4343432521127</v>
      </c>
      <c r="AE50" s="73">
        <f t="shared" si="70"/>
        <v>9997.233993421316</v>
      </c>
      <c r="AF50" s="73">
        <f t="shared" si="71"/>
        <v>10047.009297385599</v>
      </c>
      <c r="AG50" s="73">
        <f t="shared" si="72"/>
        <v>10098.336819452277</v>
      </c>
      <c r="AH50" s="73">
        <f t="shared" si="73"/>
        <v>10144.900915207867</v>
      </c>
      <c r="AI50" s="73">
        <f t="shared" si="74"/>
        <v>10191.649206149004</v>
      </c>
      <c r="AJ50" s="73">
        <f t="shared" si="75"/>
        <v>10271.581462931974</v>
      </c>
      <c r="AK50" s="73">
        <f t="shared" si="76"/>
        <v>10321.925766683506</v>
      </c>
      <c r="AL50" s="73">
        <f t="shared" si="77"/>
        <v>9955.3005479442745</v>
      </c>
      <c r="AM50" s="73">
        <f t="shared" si="78"/>
        <v>9026.5684253235722</v>
      </c>
      <c r="AN50" s="73">
        <f t="shared" si="79"/>
        <v>8083.3101630166921</v>
      </c>
      <c r="AO50" s="73">
        <f t="shared" si="80"/>
        <v>7130.9677806011168</v>
      </c>
      <c r="AP50" s="73">
        <f t="shared" si="81"/>
        <v>6042.8328499521467</v>
      </c>
      <c r="AQ50" s="73">
        <f t="shared" si="82"/>
        <v>4805.3060306748957</v>
      </c>
      <c r="AR50" s="73">
        <f t="shared" si="83"/>
        <v>3639.9713530977479</v>
      </c>
      <c r="AS50" s="73">
        <f t="shared" si="84"/>
        <v>2468.805708125255</v>
      </c>
      <c r="AT50" s="73">
        <f t="shared" si="85"/>
        <v>1420.2568390940771</v>
      </c>
      <c r="AU50" s="210">
        <f>AT50+AU43+AT57</f>
        <v>429.32619054948782</v>
      </c>
      <c r="AV50" s="21">
        <f t="shared" si="86"/>
        <v>-665.05409781383912</v>
      </c>
      <c r="AW50" s="241">
        <f t="shared" ref="AW50" si="88">AV50+AW43+AV57</f>
        <v>-1819.0594153498673</v>
      </c>
      <c r="AX50" s="31"/>
    </row>
    <row r="51" spans="1:50" x14ac:dyDescent="0.25">
      <c r="A51" t="s">
        <v>6</v>
      </c>
      <c r="B51" s="73">
        <f>B44</f>
        <v>-4801.723390414465</v>
      </c>
      <c r="C51" s="73">
        <f t="shared" si="61"/>
        <v>-4802.6525919149253</v>
      </c>
      <c r="D51" s="73">
        <f t="shared" si="61"/>
        <v>-4803.5077602398624</v>
      </c>
      <c r="E51" s="73">
        <f t="shared" si="61"/>
        <v>-4804.4089103044525</v>
      </c>
      <c r="F51" s="73">
        <f t="shared" si="61"/>
        <v>-4805.3068223003957</v>
      </c>
      <c r="G51" s="73">
        <f t="shared" si="61"/>
        <v>-4806.0805763518993</v>
      </c>
      <c r="H51" s="73">
        <f t="shared" si="61"/>
        <v>-4806.6394794671905</v>
      </c>
      <c r="I51" s="73">
        <f t="shared" si="61"/>
        <v>-4807.461010259357</v>
      </c>
      <c r="J51" s="73">
        <f t="shared" si="61"/>
        <v>-19571.806104079806</v>
      </c>
      <c r="K51" s="73">
        <f t="shared" si="62"/>
        <v>-19402.03300837753</v>
      </c>
      <c r="L51" s="73">
        <f t="shared" si="62"/>
        <v>-19579.708950132197</v>
      </c>
      <c r="M51" s="73">
        <f t="shared" si="62"/>
        <v>-19583.958791225519</v>
      </c>
      <c r="N51" s="73">
        <f>M51+N44+M58+M68</f>
        <v>-18588.071372116476</v>
      </c>
      <c r="O51" s="73">
        <f t="shared" si="62"/>
        <v>-17122.218123689312</v>
      </c>
      <c r="P51" s="73">
        <f t="shared" si="62"/>
        <v>-15603.403595138918</v>
      </c>
      <c r="Q51" s="73">
        <f t="shared" si="62"/>
        <v>-14058.134609905024</v>
      </c>
      <c r="R51" s="73">
        <f t="shared" si="62"/>
        <v>-12293.490062733281</v>
      </c>
      <c r="S51" s="73">
        <f t="shared" si="62"/>
        <v>-10471.623776684937</v>
      </c>
      <c r="T51" s="73">
        <f t="shared" si="62"/>
        <v>-8668.7403400376952</v>
      </c>
      <c r="U51" s="73">
        <f t="shared" si="62"/>
        <v>-6914.2931788360411</v>
      </c>
      <c r="V51" s="73">
        <f t="shared" si="62"/>
        <v>-5355.99251850159</v>
      </c>
      <c r="W51" s="73">
        <f t="shared" si="62"/>
        <v>-3783.0894046284384</v>
      </c>
      <c r="X51" s="73">
        <f t="shared" si="63"/>
        <v>-2160.7865530666086</v>
      </c>
      <c r="Y51" s="73">
        <f t="shared" si="64"/>
        <v>-612.20267958351121</v>
      </c>
      <c r="Z51" s="73">
        <f t="shared" si="65"/>
        <v>444.47018868750979</v>
      </c>
      <c r="AA51" s="73">
        <f t="shared" si="66"/>
        <v>475.85530364462949</v>
      </c>
      <c r="AB51" s="73">
        <f t="shared" si="67"/>
        <v>478.00211816379607</v>
      </c>
      <c r="AC51" s="73">
        <f t="shared" si="68"/>
        <v>480.11553471225295</v>
      </c>
      <c r="AD51" s="73">
        <f t="shared" si="69"/>
        <v>482.25342886368799</v>
      </c>
      <c r="AE51" s="73">
        <f t="shared" si="70"/>
        <v>484.33191252984949</v>
      </c>
      <c r="AF51" s="73">
        <f t="shared" si="71"/>
        <v>486.69234411508285</v>
      </c>
      <c r="AG51" s="73">
        <f t="shared" si="72"/>
        <v>491.8478055899235</v>
      </c>
      <c r="AH51" s="73">
        <f t="shared" si="73"/>
        <v>494.12649506207111</v>
      </c>
      <c r="AI51" s="73">
        <f t="shared" si="74"/>
        <v>496.42640557194488</v>
      </c>
      <c r="AJ51" s="73">
        <f t="shared" si="75"/>
        <v>499.06443515441464</v>
      </c>
      <c r="AK51" s="73">
        <f t="shared" si="76"/>
        <v>502.50792484397323</v>
      </c>
      <c r="AL51" s="73">
        <f t="shared" si="77"/>
        <v>505.88338704476581</v>
      </c>
      <c r="AM51" s="73">
        <f t="shared" si="78"/>
        <v>508.32514848554598</v>
      </c>
      <c r="AN51" s="73">
        <f t="shared" si="79"/>
        <v>510.68244541746151</v>
      </c>
      <c r="AO51" s="73">
        <f t="shared" si="80"/>
        <v>513.03546185979144</v>
      </c>
      <c r="AP51" s="73">
        <f t="shared" si="81"/>
        <v>515.39568134572164</v>
      </c>
      <c r="AQ51" s="73">
        <f t="shared" si="82"/>
        <v>517.82528745569232</v>
      </c>
      <c r="AR51" s="73">
        <f t="shared" si="83"/>
        <v>520.25609393956665</v>
      </c>
      <c r="AS51" s="73">
        <f t="shared" si="84"/>
        <v>522.6870734930269</v>
      </c>
      <c r="AT51" s="73">
        <f t="shared" si="85"/>
        <v>525.00504274027412</v>
      </c>
      <c r="AU51" s="210">
        <f>AT51+AU44+AT58</f>
        <v>531.56704742870602</v>
      </c>
      <c r="AV51" s="21">
        <f t="shared" si="86"/>
        <v>538.72814584527714</v>
      </c>
      <c r="AW51" s="241">
        <f t="shared" ref="AW51" si="89">AV51+AW44+AV58</f>
        <v>546.38470425733453</v>
      </c>
      <c r="AX51" s="31"/>
    </row>
    <row r="52" spans="1:50" x14ac:dyDescent="0.25">
      <c r="A52" t="s">
        <v>7</v>
      </c>
      <c r="B52" s="73">
        <f>B45</f>
        <v>-1936.1392706920603</v>
      </c>
      <c r="C52" s="73">
        <f t="shared" si="61"/>
        <v>-1936.513941069579</v>
      </c>
      <c r="D52" s="73">
        <f t="shared" si="61"/>
        <v>-1936.858759969449</v>
      </c>
      <c r="E52" s="73">
        <f t="shared" si="61"/>
        <v>-1937.2221195149662</v>
      </c>
      <c r="F52" s="73">
        <f t="shared" si="61"/>
        <v>-1937.5841734142894</v>
      </c>
      <c r="G52" s="73">
        <f t="shared" si="61"/>
        <v>-1937.8966537312369</v>
      </c>
      <c r="H52" s="73">
        <f t="shared" si="61"/>
        <v>-1938.1220133480133</v>
      </c>
      <c r="I52" s="73">
        <f t="shared" si="61"/>
        <v>-1938.4532690870265</v>
      </c>
      <c r="J52" s="73">
        <f t="shared" si="61"/>
        <v>-7891.6964226592445</v>
      </c>
      <c r="K52" s="73">
        <f t="shared" si="62"/>
        <v>-7823.2409264015814</v>
      </c>
      <c r="L52" s="73">
        <f t="shared" si="62"/>
        <v>-7894.8829891432333</v>
      </c>
      <c r="M52" s="73">
        <f t="shared" si="62"/>
        <v>-7896.5965998123038</v>
      </c>
      <c r="N52" s="73">
        <f>M52+N45+M59+M69</f>
        <v>-8411.0382018181008</v>
      </c>
      <c r="O52" s="73">
        <f t="shared" si="62"/>
        <v>-7873.7627946683624</v>
      </c>
      <c r="P52" s="73">
        <f t="shared" si="62"/>
        <v>-7426.5798185760341</v>
      </c>
      <c r="Q52" s="73">
        <f t="shared" si="62"/>
        <v>-6939.9968046805634</v>
      </c>
      <c r="R52" s="73">
        <f t="shared" si="62"/>
        <v>-6347.1697687653204</v>
      </c>
      <c r="S52" s="73">
        <f t="shared" si="62"/>
        <v>-5669.7904668182364</v>
      </c>
      <c r="T52" s="73">
        <f t="shared" si="62"/>
        <v>-5002.1655623176821</v>
      </c>
      <c r="U52" s="73">
        <f t="shared" si="62"/>
        <v>-4306.3750724712336</v>
      </c>
      <c r="V52" s="73">
        <f t="shared" si="62"/>
        <v>-3709.4496214347346</v>
      </c>
      <c r="W52" s="73">
        <f t="shared" si="62"/>
        <v>-3114.4420221376017</v>
      </c>
      <c r="X52" s="73">
        <f t="shared" si="63"/>
        <v>-2535.4616773892903</v>
      </c>
      <c r="Y52" s="73">
        <f t="shared" si="64"/>
        <v>-2047.9117755047221</v>
      </c>
      <c r="Z52" s="73">
        <f t="shared" si="65"/>
        <v>-1623.2907506211509</v>
      </c>
      <c r="AA52" s="73">
        <f t="shared" si="66"/>
        <v>-1499.2265511998107</v>
      </c>
      <c r="AB52" s="73">
        <f t="shared" si="67"/>
        <v>-1376.0905164168435</v>
      </c>
      <c r="AC52" s="73">
        <f t="shared" si="68"/>
        <v>-1246.8424541707773</v>
      </c>
      <c r="AD52" s="73">
        <f t="shared" si="69"/>
        <v>-1089.6648386548384</v>
      </c>
      <c r="AE52" s="73">
        <f t="shared" si="70"/>
        <v>-942.1737695775621</v>
      </c>
      <c r="AF52" s="73">
        <f t="shared" si="71"/>
        <v>-771.72248834103857</v>
      </c>
      <c r="AG52" s="73">
        <f t="shared" si="72"/>
        <v>-583.61963539751696</v>
      </c>
      <c r="AH52" s="73">
        <f t="shared" si="73"/>
        <v>-394.14729405481489</v>
      </c>
      <c r="AI52" s="73">
        <f t="shared" si="74"/>
        <v>-224.60861569493829</v>
      </c>
      <c r="AJ52" s="73">
        <f t="shared" si="75"/>
        <v>-32.599456224650467</v>
      </c>
      <c r="AK52" s="73">
        <f t="shared" si="76"/>
        <v>136.67365402906503</v>
      </c>
      <c r="AL52" s="73">
        <f t="shared" si="77"/>
        <v>243.44673984642631</v>
      </c>
      <c r="AM52" s="73">
        <f t="shared" si="78"/>
        <v>244.94531515476021</v>
      </c>
      <c r="AN52" s="73">
        <f t="shared" si="79"/>
        <v>246.06931393679744</v>
      </c>
      <c r="AO52" s="73">
        <f t="shared" si="80"/>
        <v>247.20110430441633</v>
      </c>
      <c r="AP52" s="73">
        <f t="shared" si="81"/>
        <v>248.33593972376499</v>
      </c>
      <c r="AQ52" s="73">
        <f t="shared" si="82"/>
        <v>249.4993579471363</v>
      </c>
      <c r="AR52" s="73">
        <f t="shared" si="83"/>
        <v>250.6672573333291</v>
      </c>
      <c r="AS52" s="73">
        <f t="shared" si="84"/>
        <v>251.83507161108869</v>
      </c>
      <c r="AT52" s="73">
        <f t="shared" si="85"/>
        <v>252.95061127011988</v>
      </c>
      <c r="AU52" s="210">
        <f>AT52+AU45+AT59</f>
        <v>255.34219617617615</v>
      </c>
      <c r="AV52" s="21">
        <f t="shared" si="86"/>
        <v>257.82019637254757</v>
      </c>
      <c r="AW52" s="241">
        <f t="shared" ref="AW52" si="90">AV52+AW45+AV59</f>
        <v>260.37177045809972</v>
      </c>
      <c r="AX52" s="31"/>
    </row>
    <row r="53" spans="1:50" x14ac:dyDescent="0.25">
      <c r="AU53" s="65"/>
      <c r="AW53" s="67"/>
    </row>
    <row r="54" spans="1:50" x14ac:dyDescent="0.25">
      <c r="A54" t="s">
        <v>64</v>
      </c>
      <c r="B54" s="127">
        <f>'PCR (M3)'!AB67</f>
        <v>1.9351416666666668E-4</v>
      </c>
      <c r="C54" s="127">
        <f>'PCR (M3)'!AC67</f>
        <v>1.7806166666666664E-4</v>
      </c>
      <c r="D54" s="127">
        <f>'PCR (M3)'!AD67</f>
        <v>1.8760249999999999E-4</v>
      </c>
      <c r="E54" s="127">
        <f>'PCR (M3)'!AE67</f>
        <v>1.8689333333333334E-4</v>
      </c>
      <c r="F54" s="127">
        <f>'PCR (M3)'!AF67</f>
        <v>1.6804916666666666E-4</v>
      </c>
      <c r="G54" s="127">
        <f>'PCR (M3)'!AG67</f>
        <v>1.1629083333333334E-4</v>
      </c>
      <c r="H54" s="127">
        <f>'PCR (M3)'!AH67</f>
        <v>1.7091583333333333E-4</v>
      </c>
      <c r="I54" s="127">
        <f>'PCR (M3)'!AI67</f>
        <v>1.6102749999999998E-4</v>
      </c>
      <c r="J54" s="127">
        <f>'PCR (M3)'!AJ67</f>
        <v>1.25E-4</v>
      </c>
      <c r="K54" s="127">
        <f>'PCR (M3)'!AK67</f>
        <v>1.2767416666666667E-4</v>
      </c>
      <c r="L54" s="127">
        <f>'PCR (M3)'!AL67</f>
        <v>2.1705333333333333E-4</v>
      </c>
      <c r="M54" s="127">
        <f>'PCR (M3)'!AM67</f>
        <v>1.9537499999999999E-4</v>
      </c>
      <c r="N54" s="127">
        <f>'PCR (M3)'!AN67</f>
        <v>2.4654083333333334E-4</v>
      </c>
      <c r="O54" s="127">
        <f>'PCR (M3)'!AO67</f>
        <v>5.7357999999999997E-4</v>
      </c>
      <c r="P54" s="127">
        <f>'PCR (M3)'!AP67</f>
        <v>5.0034666666666668E-4</v>
      </c>
      <c r="Q54" s="127">
        <f>'PCR (M3)'!AQ67</f>
        <v>7.9142083333333336E-4</v>
      </c>
      <c r="R54" s="127">
        <f>'PCR (M3)'!AR67</f>
        <v>1.2382216666666666E-3</v>
      </c>
      <c r="S54" s="127">
        <f>'PCR (M3)'!AS67</f>
        <v>1.7139083333333333E-3</v>
      </c>
      <c r="T54" s="127">
        <f>'PCR (M3)'!AT67</f>
        <v>2.1367116666666667E-3</v>
      </c>
      <c r="U54" s="127">
        <f>'PCR (M3)'!AU67</f>
        <v>2.3680800000000003E-3</v>
      </c>
      <c r="V54" s="127">
        <f>'PCR (M3)'!AV67</f>
        <v>2.8917666666666668E-3</v>
      </c>
      <c r="W54" s="127">
        <f>'PCR (M3)'!AW67</f>
        <v>3.5717483333333332E-3</v>
      </c>
      <c r="X54" s="127">
        <f>'PCR (M3)'!AX67</f>
        <v>3.8480024999999998E-3</v>
      </c>
      <c r="Y54" s="127">
        <f>'PCR (M3)'!AY67</f>
        <v>3.9868766666666666E-3</v>
      </c>
      <c r="Z54" s="127">
        <f>'PCR (M3)'!AZ67</f>
        <v>4.0399541666666667E-3</v>
      </c>
      <c r="AA54" s="127">
        <f>'PCR (M3)'!BA67</f>
        <v>4.1578449999999994E-3</v>
      </c>
      <c r="AB54" s="127">
        <f>'PCR (M3)'!BB67</f>
        <v>4.3739341666666669E-3</v>
      </c>
      <c r="AC54" s="127">
        <f>'PCR (M3)'!BC67</f>
        <v>4.4389866278539119E-3</v>
      </c>
      <c r="AD54" s="127">
        <f>'PCR (M3)'!BD67</f>
        <v>4.4956850000000001E-3</v>
      </c>
      <c r="AE54" s="127">
        <f>'PCR (M3)'!BE67</f>
        <v>4.5355533333333335E-3</v>
      </c>
      <c r="AF54" s="127">
        <f>'PCR (M3)'!BF67</f>
        <v>4.6003991666666664E-3</v>
      </c>
      <c r="AG54" s="127">
        <f>'PCR (M3)'!BG67</f>
        <v>4.6126058333333334E-3</v>
      </c>
      <c r="AH54" s="127">
        <f>'PCR (M3)'!BH67</f>
        <v>4.5978799999999995E-3</v>
      </c>
      <c r="AI54" s="127">
        <f>'PCR (M3)'!BI67</f>
        <v>4.6317149999999998E-3</v>
      </c>
      <c r="AJ54" s="127">
        <f>'PCR (M3)'!BJ67</f>
        <v>4.6229791666666667E-3</v>
      </c>
      <c r="AK54" s="127">
        <f>'PCR (M3)'!BK67</f>
        <v>4.4819374999999998E-3</v>
      </c>
      <c r="AL54" s="127">
        <f>'PCR (M3)'!BL67</f>
        <v>4.4809758333333337E-3</v>
      </c>
      <c r="AM54" s="127">
        <f>'PCR (M3)'!BM67</f>
        <v>4.5238608333333331E-3</v>
      </c>
      <c r="AN54" s="127">
        <f>'PCR (M3)'!BN67</f>
        <v>4.583470833333333E-3</v>
      </c>
      <c r="AO54" s="127">
        <f>'PCR (M3)'!BO67</f>
        <v>4.5750000000000001E-3</v>
      </c>
      <c r="AP54" s="127">
        <f>'PCR (M3)'!BP67</f>
        <v>4.6273308333333336E-3</v>
      </c>
      <c r="AQ54" s="127">
        <f>'PCR (M3)'!BQ67</f>
        <v>4.6511725E-3</v>
      </c>
      <c r="AR54" s="127">
        <f>'PCR (M3)'!BR67</f>
        <v>4.6366416666666667E-3</v>
      </c>
      <c r="AS54" s="127">
        <f>'PCR (M3)'!BS67</f>
        <v>4.4211241666666668E-3</v>
      </c>
      <c r="AT54" s="127">
        <f>'PCR (M3)'!BT67</f>
        <v>4.1172866666666667E-3</v>
      </c>
      <c r="AU54" s="187">
        <f>AT54</f>
        <v>4.1172866666666667E-3</v>
      </c>
      <c r="AV54" s="127">
        <f>AU54</f>
        <v>4.1172866666666667E-3</v>
      </c>
      <c r="AW54" s="157">
        <f>AU54</f>
        <v>4.1172866666666667E-3</v>
      </c>
    </row>
    <row r="55" spans="1:50" x14ac:dyDescent="0.25">
      <c r="A55" t="s">
        <v>0</v>
      </c>
      <c r="B55" s="73">
        <f t="shared" ref="B55:I59" si="91">B48*B$54</f>
        <v>-5.2176144699371738</v>
      </c>
      <c r="C55" s="73">
        <f t="shared" si="91"/>
        <v>-4.8019063940563091</v>
      </c>
      <c r="D55" s="73">
        <f t="shared" si="91"/>
        <v>-5.060101188240183</v>
      </c>
      <c r="E55" s="73">
        <f t="shared" si="91"/>
        <v>-5.0419189168812952</v>
      </c>
      <c r="F55" s="73">
        <f t="shared" si="91"/>
        <v>-4.5343972958877297</v>
      </c>
      <c r="G55" s="73">
        <f t="shared" si="91"/>
        <v>-3.1383703354158086</v>
      </c>
      <c r="H55" s="73">
        <f t="shared" si="91"/>
        <v>-4.6130855191630475</v>
      </c>
      <c r="I55" s="73">
        <f t="shared" si="91"/>
        <v>-4.3469383495716309</v>
      </c>
      <c r="J55" s="73">
        <f>J48*J$54</f>
        <v>-13.737401963411761</v>
      </c>
      <c r="K55" s="258">
        <v>-997.67877300101168</v>
      </c>
      <c r="L55" s="73">
        <f t="shared" ref="L55:U55" si="92">L48*L$54</f>
        <v>-23.863623024485694</v>
      </c>
      <c r="M55" s="73">
        <f t="shared" si="92"/>
        <v>-21.484891554357372</v>
      </c>
      <c r="N55" s="73">
        <f t="shared" si="92"/>
        <v>-22.735879240391107</v>
      </c>
      <c r="O55" s="73">
        <f t="shared" si="92"/>
        <v>-47.379156620885993</v>
      </c>
      <c r="P55" s="73">
        <f t="shared" si="92"/>
        <v>-37.624878168896359</v>
      </c>
      <c r="Q55" s="73">
        <f t="shared" si="92"/>
        <v>-53.911929914531996</v>
      </c>
      <c r="R55" s="73">
        <f t="shared" si="92"/>
        <v>-72.827535005013928</v>
      </c>
      <c r="S55" s="73">
        <f t="shared" si="92"/>
        <v>-78.979140002144447</v>
      </c>
      <c r="T55" s="73">
        <f t="shared" si="92"/>
        <v>-72.472056729308449</v>
      </c>
      <c r="U55" s="73">
        <f t="shared" si="92"/>
        <v>-56.209863532212914</v>
      </c>
      <c r="V55" s="73">
        <f>V48*V$54</f>
        <v>-48.084506281634205</v>
      </c>
      <c r="W55" s="73">
        <f>W48*W$54</f>
        <v>-36.443635518886587</v>
      </c>
      <c r="X55" s="73">
        <f>X48*X$54</f>
        <v>0.53487085773457854</v>
      </c>
      <c r="Y55" s="257">
        <f>((Y48+Y65)*Y$54)+(Y48/(SUM($Y$48:$Y$52))*'[2]MEEIA 3 calcs'!$AZ$76)</f>
        <v>50.177035081544759</v>
      </c>
      <c r="Z55" s="73">
        <f t="shared" ref="Z55:AH55" si="93">Z48*Z$54</f>
        <v>72.054885671229329</v>
      </c>
      <c r="AA55" s="73">
        <f t="shared" si="93"/>
        <v>74.343944232117877</v>
      </c>
      <c r="AB55" s="73">
        <f t="shared" si="93"/>
        <v>78.446026127074376</v>
      </c>
      <c r="AC55" s="73">
        <f t="shared" si="93"/>
        <v>79.923616592830456</v>
      </c>
      <c r="AD55" s="73">
        <f t="shared" si="93"/>
        <v>81.209854113117814</v>
      </c>
      <c r="AE55" s="73">
        <f t="shared" si="93"/>
        <v>82.133613248297536</v>
      </c>
      <c r="AF55" s="73">
        <f t="shared" si="93"/>
        <v>83.533561295699243</v>
      </c>
      <c r="AG55" s="73">
        <f t="shared" si="93"/>
        <v>84.082802881834454</v>
      </c>
      <c r="AH55" s="73">
        <f t="shared" si="93"/>
        <v>84.139910439780905</v>
      </c>
      <c r="AI55" s="73">
        <f t="shared" ref="AI55:AT55" si="94">AI48*AI$54</f>
        <v>85.103352817323341</v>
      </c>
      <c r="AJ55" s="73">
        <f t="shared" si="94"/>
        <v>85.135515212892201</v>
      </c>
      <c r="AK55" s="73">
        <f t="shared" si="94"/>
        <v>81.966481981052567</v>
      </c>
      <c r="AL55" s="73">
        <f t="shared" si="94"/>
        <v>81.486527962800935</v>
      </c>
      <c r="AM55" s="73">
        <f t="shared" si="94"/>
        <v>82.545219259054463</v>
      </c>
      <c r="AN55" s="73">
        <f t="shared" si="94"/>
        <v>83.961632720476018</v>
      </c>
      <c r="AO55" s="73">
        <f t="shared" si="94"/>
        <v>84.143249762236309</v>
      </c>
      <c r="AP55" s="73">
        <f t="shared" si="94"/>
        <v>85.378778718002437</v>
      </c>
      <c r="AQ55" s="73">
        <f t="shared" si="94"/>
        <v>86.020415650659302</v>
      </c>
      <c r="AR55" s="73">
        <f t="shared" si="94"/>
        <v>86.01382351243771</v>
      </c>
      <c r="AS55" s="73">
        <f t="shared" si="94"/>
        <v>82.277642537884248</v>
      </c>
      <c r="AT55" s="73">
        <f t="shared" si="94"/>
        <v>76.907920242978093</v>
      </c>
      <c r="AU55" s="210">
        <f>(AU48*AU$54)</f>
        <v>73.343756110980195</v>
      </c>
      <c r="AV55" s="21">
        <f t="shared" ref="AV55:AW59" si="95">AV48*AV$54</f>
        <v>68.750426345257765</v>
      </c>
      <c r="AW55" s="75">
        <f t="shared" si="95"/>
        <v>63.279079896091488</v>
      </c>
    </row>
    <row r="56" spans="1:50" x14ac:dyDescent="0.25">
      <c r="A56" t="s">
        <v>4</v>
      </c>
      <c r="B56" s="73">
        <f t="shared" si="91"/>
        <v>-0.98230700969908069</v>
      </c>
      <c r="C56" s="73">
        <f t="shared" si="91"/>
        <v>-0.9040427072522178</v>
      </c>
      <c r="D56" s="73">
        <f t="shared" si="91"/>
        <v>-0.95265238465478841</v>
      </c>
      <c r="E56" s="73">
        <f t="shared" si="91"/>
        <v>-0.94922925465716312</v>
      </c>
      <c r="F56" s="73">
        <f t="shared" si="91"/>
        <v>-0.85367944952144126</v>
      </c>
      <c r="G56" s="73">
        <f t="shared" si="91"/>
        <v>-0.59084556954548995</v>
      </c>
      <c r="H56" s="73">
        <f t="shared" si="91"/>
        <v>-0.8684829544091458</v>
      </c>
      <c r="I56" s="73">
        <f t="shared" si="91"/>
        <v>-0.81837673392088528</v>
      </c>
      <c r="J56" s="73">
        <f>J49*J$54</f>
        <v>-2.586296337168335</v>
      </c>
      <c r="K56" s="258">
        <v>-187.83043624372615</v>
      </c>
      <c r="L56" s="73">
        <f t="shared" ref="L56:V56" si="96">L49*L$54</f>
        <v>-4.4927273015711613</v>
      </c>
      <c r="M56" s="73">
        <f t="shared" si="96"/>
        <v>-4.044891203591134</v>
      </c>
      <c r="N56" s="73">
        <f t="shared" si="96"/>
        <v>-5.3243514148026163</v>
      </c>
      <c r="O56" s="73">
        <f t="shared" si="96"/>
        <v>-11.327071918463743</v>
      </c>
      <c r="P56" s="73">
        <f t="shared" si="96"/>
        <v>-9.0729259094989061</v>
      </c>
      <c r="Q56" s="73">
        <f t="shared" si="96"/>
        <v>-13.100943156263883</v>
      </c>
      <c r="R56" s="73">
        <f t="shared" si="96"/>
        <v>-18.176603445537584</v>
      </c>
      <c r="S56" s="73">
        <f t="shared" si="96"/>
        <v>-21.255061401431067</v>
      </c>
      <c r="T56" s="73">
        <f t="shared" si="96"/>
        <v>-21.772463240865822</v>
      </c>
      <c r="U56" s="73">
        <f t="shared" si="96"/>
        <v>-19.369314103934553</v>
      </c>
      <c r="V56" s="73">
        <f t="shared" si="96"/>
        <v>-18.984368513713168</v>
      </c>
      <c r="W56" s="73">
        <f t="shared" ref="W56:AH56" si="97">W49*W$54</f>
        <v>-18.006010520832895</v>
      </c>
      <c r="X56" s="73">
        <f>X49*X$54</f>
        <v>-11.909348061445051</v>
      </c>
      <c r="Y56" s="257">
        <f>((Y49+Y66)*Y$54)+(Y49/(SUM($Y$48:$Y$52))*'[2]MEEIA 3 calcs'!$AZ$76)</f>
        <v>-3.3094690231511001</v>
      </c>
      <c r="Z56" s="73">
        <f t="shared" si="97"/>
        <v>0.96410659468831061</v>
      </c>
      <c r="AA56" s="73">
        <f t="shared" si="97"/>
        <v>1.0097860282308633</v>
      </c>
      <c r="AB56" s="73">
        <f t="shared" si="97"/>
        <v>1.0757088751418438</v>
      </c>
      <c r="AC56" s="73">
        <f t="shared" si="97"/>
        <v>1.1009288006344859</v>
      </c>
      <c r="AD56" s="73">
        <f t="shared" si="97"/>
        <v>23.152335726607227</v>
      </c>
      <c r="AE56" s="73">
        <f t="shared" si="97"/>
        <v>23.468094633395339</v>
      </c>
      <c r="AF56" s="73">
        <f t="shared" si="97"/>
        <v>23.918806816952269</v>
      </c>
      <c r="AG56" s="73">
        <f t="shared" si="97"/>
        <v>24.093086162804198</v>
      </c>
      <c r="AH56" s="73">
        <f t="shared" si="97"/>
        <v>24.128789628620748</v>
      </c>
      <c r="AI56" s="73">
        <f t="shared" ref="AI56:AT56" si="98">AI49*AI$54</f>
        <v>24.421064777736831</v>
      </c>
      <c r="AJ56" s="73">
        <f t="shared" si="98"/>
        <v>24.488272495776783</v>
      </c>
      <c r="AK56" s="73">
        <f t="shared" si="98"/>
        <v>23.859126974221834</v>
      </c>
      <c r="AL56" s="73">
        <f t="shared" si="98"/>
        <v>23.34050437320413</v>
      </c>
      <c r="AM56" s="73">
        <f t="shared" si="98"/>
        <v>22.005328192751893</v>
      </c>
      <c r="AN56" s="73">
        <f t="shared" si="98"/>
        <v>20.761745684549336</v>
      </c>
      <c r="AO56" s="73">
        <f t="shared" si="98"/>
        <v>19.266485329128336</v>
      </c>
      <c r="AP56" s="73">
        <f t="shared" si="98"/>
        <v>17.556161685080784</v>
      </c>
      <c r="AQ56" s="73">
        <f t="shared" si="98"/>
        <v>15.20522643283241</v>
      </c>
      <c r="AR56" s="73">
        <f t="shared" si="98"/>
        <v>12.892181200865585</v>
      </c>
      <c r="AS56" s="73">
        <f t="shared" si="98"/>
        <v>10.19929058979864</v>
      </c>
      <c r="AT56" s="73">
        <f t="shared" si="98"/>
        <v>7.9177558857991386</v>
      </c>
      <c r="AU56" s="210">
        <f>(AU49*AU$54)</f>
        <v>6.0707296196479676</v>
      </c>
      <c r="AV56" s="21">
        <f t="shared" si="95"/>
        <v>3.8473385265659887</v>
      </c>
      <c r="AW56" s="75">
        <f t="shared" si="95"/>
        <v>1.3357239706137432</v>
      </c>
    </row>
    <row r="57" spans="1:50" x14ac:dyDescent="0.25">
      <c r="A57" t="s">
        <v>5</v>
      </c>
      <c r="B57" s="73">
        <f t="shared" si="91"/>
        <v>-2.1719149757186016</v>
      </c>
      <c r="C57" s="73">
        <f t="shared" si="91"/>
        <v>-1.9988698799693776</v>
      </c>
      <c r="D57" s="73">
        <f t="shared" si="91"/>
        <v>-2.1063475679763433</v>
      </c>
      <c r="E57" s="73">
        <f t="shared" si="91"/>
        <v>-2.0987789084510982</v>
      </c>
      <c r="F57" s="73">
        <f t="shared" si="91"/>
        <v>-1.8875149648446674</v>
      </c>
      <c r="G57" s="73">
        <f t="shared" si="91"/>
        <v>-1.3063801660108345</v>
      </c>
      <c r="H57" s="73">
        <f t="shared" si="91"/>
        <v>-1.9202461093706282</v>
      </c>
      <c r="I57" s="73">
        <f t="shared" si="91"/>
        <v>-1.8094595079072662</v>
      </c>
      <c r="J57" s="73">
        <f>J50*J$54</f>
        <v>-5.7183911660036228</v>
      </c>
      <c r="K57" s="258">
        <v>-415.29962967309069</v>
      </c>
      <c r="L57" s="73">
        <f t="shared" ref="L57:V57" si="99">L50*L$54</f>
        <v>-9.933576343656755</v>
      </c>
      <c r="M57" s="73">
        <f t="shared" si="99"/>
        <v>-8.9433951530079874</v>
      </c>
      <c r="N57" s="73">
        <f t="shared" si="99"/>
        <v>-10.319252191692627</v>
      </c>
      <c r="O57" s="73">
        <f t="shared" si="99"/>
        <v>-21.944245121261648</v>
      </c>
      <c r="P57" s="73">
        <f t="shared" si="99"/>
        <v>-17.42642029701134</v>
      </c>
      <c r="Q57" s="73">
        <f t="shared" si="99"/>
        <v>-24.772736313234798</v>
      </c>
      <c r="R57" s="73">
        <f t="shared" si="99"/>
        <v>-33.844732132824042</v>
      </c>
      <c r="S57" s="73">
        <f t="shared" si="99"/>
        <v>-38.735882417518503</v>
      </c>
      <c r="T57" s="73">
        <f t="shared" si="99"/>
        <v>-38.910341022526268</v>
      </c>
      <c r="U57" s="73">
        <f t="shared" si="99"/>
        <v>-33.165325856507629</v>
      </c>
      <c r="V57" s="73">
        <f t="shared" si="99"/>
        <v>-30.060306234828772</v>
      </c>
      <c r="W57" s="73">
        <f t="shared" ref="W57:AH57" si="100">W50*W$54</f>
        <v>-24.633739745834959</v>
      </c>
      <c r="X57" s="73">
        <f t="shared" si="100"/>
        <v>-11.643267337632388</v>
      </c>
      <c r="Y57" s="257">
        <f>((Y50+Y67)*Y$54)+(Y50/(SUM($Y$48:$Y$52))*'[2]MEEIA 3 calcs'!$AZ$76)</f>
        <v>4.0665480617748422</v>
      </c>
      <c r="Z57" s="73">
        <f t="shared" si="100"/>
        <v>13.165638111557943</v>
      </c>
      <c r="AA57" s="73">
        <f t="shared" si="100"/>
        <v>13.700051113106623</v>
      </c>
      <c r="AB57" s="73">
        <f t="shared" si="100"/>
        <v>14.484783384966084</v>
      </c>
      <c r="AC57" s="73">
        <f t="shared" si="100"/>
        <v>14.749019364235773</v>
      </c>
      <c r="AD57" s="73">
        <f t="shared" si="100"/>
        <v>44.743009790443374</v>
      </c>
      <c r="AE57" s="73">
        <f t="shared" si="100"/>
        <v>45.342987962975364</v>
      </c>
      <c r="AF57" s="73">
        <f t="shared" si="100"/>
        <v>46.22025319918496</v>
      </c>
      <c r="AG57" s="73">
        <f t="shared" si="100"/>
        <v>46.579647320370356</v>
      </c>
      <c r="AH57" s="73">
        <f t="shared" si="100"/>
        <v>46.645037020015941</v>
      </c>
      <c r="AI57" s="73">
        <f t="shared" ref="AI57:AT57" si="101">AI50*AI$54</f>
        <v>47.204814502858433</v>
      </c>
      <c r="AJ57" s="73">
        <f t="shared" si="101"/>
        <v>47.485307111854041</v>
      </c>
      <c r="AK57" s="73">
        <f t="shared" si="101"/>
        <v>46.262226165915052</v>
      </c>
      <c r="AL57" s="73">
        <f t="shared" si="101"/>
        <v>44.609461168908389</v>
      </c>
      <c r="AM57" s="73">
        <f t="shared" si="101"/>
        <v>40.834939358724647</v>
      </c>
      <c r="AN57" s="73">
        <f t="shared" si="101"/>
        <v>37.049616368973915</v>
      </c>
      <c r="AO57" s="73">
        <f t="shared" si="101"/>
        <v>32.624177596250107</v>
      </c>
      <c r="AP57" s="73">
        <f t="shared" si="101"/>
        <v>27.962186767263109</v>
      </c>
      <c r="AQ57" s="73">
        <f t="shared" si="101"/>
        <v>22.35030726395923</v>
      </c>
      <c r="AR57" s="73">
        <f t="shared" si="101"/>
        <v>16.877242841246062</v>
      </c>
      <c r="AS57" s="73">
        <f t="shared" si="101"/>
        <v>10.914896578997178</v>
      </c>
      <c r="AT57" s="73">
        <f t="shared" si="101"/>
        <v>5.8476045468441891</v>
      </c>
      <c r="AU57" s="210">
        <f>(AU50*AU$54)</f>
        <v>1.7676590000001988</v>
      </c>
      <c r="AV57" s="21">
        <f t="shared" si="95"/>
        <v>-2.7382183695409488</v>
      </c>
      <c r="AW57" s="75">
        <f t="shared" si="95"/>
        <v>-7.4895890766944708</v>
      </c>
    </row>
    <row r="58" spans="1:50" x14ac:dyDescent="0.25">
      <c r="A58" t="s">
        <v>6</v>
      </c>
      <c r="B58" s="73">
        <f t="shared" si="91"/>
        <v>-0.92920150045989658</v>
      </c>
      <c r="C58" s="73">
        <f t="shared" si="91"/>
        <v>-0.85516832493735806</v>
      </c>
      <c r="D58" s="73">
        <f t="shared" si="91"/>
        <v>-0.9011500645903987</v>
      </c>
      <c r="E58" s="73">
        <f t="shared" si="91"/>
        <v>-0.89791199594316684</v>
      </c>
      <c r="F58" s="73">
        <f t="shared" si="91"/>
        <v>-0.80752780706522953</v>
      </c>
      <c r="G58" s="73">
        <f t="shared" si="91"/>
        <v>-0.55890311529110936</v>
      </c>
      <c r="H58" s="73">
        <f t="shared" si="91"/>
        <v>-0.82153079216603442</v>
      </c>
      <c r="I58" s="73">
        <f t="shared" si="91"/>
        <v>-0.77413342782953853</v>
      </c>
      <c r="J58" s="73">
        <f>J51*J$54</f>
        <v>-2.4464757630099756</v>
      </c>
      <c r="K58" s="258">
        <v>-177.67594175466829</v>
      </c>
      <c r="L58" s="73">
        <f t="shared" ref="L58:V58" si="102">L51*L$54</f>
        <v>-4.2498410933226936</v>
      </c>
      <c r="M58" s="73">
        <f t="shared" si="102"/>
        <v>-3.8262159488356855</v>
      </c>
      <c r="N58" s="73">
        <f t="shared" si="102"/>
        <v>-4.5827186061410723</v>
      </c>
      <c r="O58" s="73">
        <f t="shared" si="102"/>
        <v>-9.8209618713857143</v>
      </c>
      <c r="P58" s="73">
        <f t="shared" si="102"/>
        <v>-7.8071109774824405</v>
      </c>
      <c r="Q58" s="73">
        <f t="shared" si="102"/>
        <v>-11.12590060808321</v>
      </c>
      <c r="R58" s="73">
        <f t="shared" si="102"/>
        <v>-15.222065754627707</v>
      </c>
      <c r="S58" s="73">
        <f t="shared" si="102"/>
        <v>-17.947403254391784</v>
      </c>
      <c r="T58" s="73">
        <f t="shared" si="102"/>
        <v>-18.52259861986251</v>
      </c>
      <c r="U58" s="73">
        <f t="shared" si="102"/>
        <v>-16.373599390938054</v>
      </c>
      <c r="V58" s="73">
        <f t="shared" si="102"/>
        <v>-15.488280631918949</v>
      </c>
      <c r="W58" s="73">
        <f t="shared" ref="W58:AH58" si="103">W51*W$54</f>
        <v>-13.512243275832617</v>
      </c>
      <c r="X58" s="73">
        <f t="shared" si="103"/>
        <v>-8.3147120581666929</v>
      </c>
      <c r="Y58" s="257">
        <f>((Y51+Y68)*Y$54)+(Y51/(SUM($Y$48:$Y$52))*'[2]MEEIA 3 calcs'!$AZ$76)</f>
        <v>-2.4321344332519268</v>
      </c>
      <c r="Z58" s="73">
        <f t="shared" si="103"/>
        <v>1.7956391907472247</v>
      </c>
      <c r="AA58" s="73">
        <f t="shared" si="103"/>
        <v>1.9785325949823043</v>
      </c>
      <c r="AB58" s="73">
        <f t="shared" si="103"/>
        <v>2.0907497963756652</v>
      </c>
      <c r="AC58" s="73">
        <f t="shared" si="103"/>
        <v>2.1312264384126216</v>
      </c>
      <c r="AD58" s="73">
        <f t="shared" si="103"/>
        <v>2.168059506341049</v>
      </c>
      <c r="AE58" s="73">
        <f t="shared" si="103"/>
        <v>2.1967132203144675</v>
      </c>
      <c r="AF58" s="73">
        <f t="shared" si="103"/>
        <v>2.2389790542900734</v>
      </c>
      <c r="AG58" s="73">
        <f t="shared" si="103"/>
        <v>2.2687000571762805</v>
      </c>
      <c r="AH58" s="73">
        <f t="shared" si="103"/>
        <v>2.2719343291159952</v>
      </c>
      <c r="AI58" s="73">
        <f t="shared" ref="AI58:AT58" si="104">AI51*AI$54</f>
        <v>2.2993056290836607</v>
      </c>
      <c r="AJ58" s="73">
        <f t="shared" si="104"/>
        <v>2.3071644865431264</v>
      </c>
      <c r="AK58" s="73">
        <f t="shared" si="104"/>
        <v>2.2522091124053851</v>
      </c>
      <c r="AL58" s="73">
        <f t="shared" si="104"/>
        <v>2.2668512318324088</v>
      </c>
      <c r="AM58" s="73">
        <f t="shared" si="104"/>
        <v>2.2995922298321125</v>
      </c>
      <c r="AN58" s="73">
        <f t="shared" si="104"/>
        <v>2.3406980936662767</v>
      </c>
      <c r="AO58" s="73">
        <f t="shared" si="104"/>
        <v>2.3471372380085458</v>
      </c>
      <c r="AP58" s="73">
        <f t="shared" si="104"/>
        <v>2.3849063276578994</v>
      </c>
      <c r="AQ58" s="73">
        <f t="shared" si="104"/>
        <v>2.4084947368185112</v>
      </c>
      <c r="AR58" s="73">
        <f t="shared" si="104"/>
        <v>2.4122410824974421</v>
      </c>
      <c r="AS58" s="73">
        <f t="shared" si="104"/>
        <v>2.3108644522242976</v>
      </c>
      <c r="AT58" s="73">
        <f t="shared" si="104"/>
        <v>2.161596262407294</v>
      </c>
      <c r="AU58" s="210">
        <f>(AU51*AU$54)</f>
        <v>2.1886139168175789</v>
      </c>
      <c r="AV58" s="21">
        <f t="shared" si="95"/>
        <v>2.2180982118468151</v>
      </c>
      <c r="AW58" s="75">
        <f t="shared" si="95"/>
        <v>2.2496224577093336</v>
      </c>
    </row>
    <row r="59" spans="1:50" ht="15.75" thickBot="1" x14ac:dyDescent="0.3">
      <c r="A59" t="s">
        <v>7</v>
      </c>
      <c r="B59" s="73">
        <f t="shared" si="91"/>
        <v>-0.37467037751858184</v>
      </c>
      <c r="C59" s="73">
        <f t="shared" si="91"/>
        <v>-0.34481889987008429</v>
      </c>
      <c r="D59" s="73">
        <f t="shared" si="91"/>
        <v>-0.36335954551716854</v>
      </c>
      <c r="E59" s="73">
        <f t="shared" si="91"/>
        <v>-0.36205389932321708</v>
      </c>
      <c r="F59" s="73">
        <f t="shared" si="91"/>
        <v>-0.32560940568879349</v>
      </c>
      <c r="G59" s="73">
        <f t="shared" si="91"/>
        <v>-0.22535961677628366</v>
      </c>
      <c r="H59" s="73">
        <f t="shared" si="91"/>
        <v>-0.3312557390130535</v>
      </c>
      <c r="I59" s="73">
        <f t="shared" si="91"/>
        <v>-0.31214428378791109</v>
      </c>
      <c r="J59" s="73">
        <f>J52*J$54</f>
        <v>-0.98646205283240562</v>
      </c>
      <c r="K59" s="258">
        <v>-71.642062741651557</v>
      </c>
      <c r="L59" s="73">
        <f t="shared" ref="L59:V59" si="105">L52*L$54</f>
        <v>-1.7136106690701693</v>
      </c>
      <c r="M59" s="73">
        <f t="shared" si="105"/>
        <v>-1.5427975606883289</v>
      </c>
      <c r="N59" s="73">
        <f t="shared" si="105"/>
        <v>-2.0736643674747359</v>
      </c>
      <c r="O59" s="73">
        <f t="shared" si="105"/>
        <v>-4.5162328637658788</v>
      </c>
      <c r="P59" s="73">
        <f t="shared" si="105"/>
        <v>-3.7158644569584567</v>
      </c>
      <c r="Q59" s="73">
        <f t="shared" si="105"/>
        <v>-5.492458054490962</v>
      </c>
      <c r="R59" s="73">
        <f t="shared" si="105"/>
        <v>-7.8592031296968763</v>
      </c>
      <c r="S59" s="73">
        <f t="shared" si="105"/>
        <v>-9.7175011293336642</v>
      </c>
      <c r="T59" s="73">
        <f t="shared" si="105"/>
        <v>-10.688185515602418</v>
      </c>
      <c r="U59" s="73">
        <f t="shared" si="105"/>
        <v>-10.197840681617681</v>
      </c>
      <c r="V59" s="73">
        <f t="shared" si="105"/>
        <v>-10.726862766944251</v>
      </c>
      <c r="W59" s="73">
        <f t="shared" ref="W59:AH59" si="106">W52*W$54</f>
        <v>-11.124003101833274</v>
      </c>
      <c r="X59" s="73">
        <f t="shared" si="106"/>
        <v>-9.7564628732481822</v>
      </c>
      <c r="Y59" s="257">
        <f>((Y52+Y69)*Y$54)+(Y52/(SUM($Y$48:$Y$52))*'[2]MEEIA 3 calcs'!$AZ$76)</f>
        <v>-8.1356109473931877</v>
      </c>
      <c r="Z59" s="73">
        <f t="shared" si="106"/>
        <v>-6.5580202316833791</v>
      </c>
      <c r="AA59" s="73">
        <f t="shared" si="106"/>
        <v>-6.233551619773376</v>
      </c>
      <c r="AB59" s="73">
        <f t="shared" si="106"/>
        <v>-6.0189293261816097</v>
      </c>
      <c r="AC59" s="73">
        <f t="shared" si="106"/>
        <v>-5.5347169811046344</v>
      </c>
      <c r="AD59" s="73">
        <f t="shared" si="106"/>
        <v>-4.8987898701679775</v>
      </c>
      <c r="AE59" s="73">
        <f t="shared" si="106"/>
        <v>-4.273279381186744</v>
      </c>
      <c r="AF59" s="73">
        <f t="shared" si="106"/>
        <v>-3.5502314922620402</v>
      </c>
      <c r="AG59" s="73">
        <f t="shared" si="106"/>
        <v>-2.6920073346824598</v>
      </c>
      <c r="AH59" s="73">
        <f t="shared" si="106"/>
        <v>-1.8122419603887521</v>
      </c>
      <c r="AI59" s="73">
        <f t="shared" ref="AI59:AT59" si="107">AI52*AI$54</f>
        <v>-1.0403230944434811</v>
      </c>
      <c r="AJ59" s="73">
        <f t="shared" si="107"/>
        <v>-0.1507066069712211</v>
      </c>
      <c r="AK59" s="73">
        <f t="shared" si="107"/>
        <v>0.61256277525489267</v>
      </c>
      <c r="AL59" s="73">
        <f t="shared" si="107"/>
        <v>1.0908789579556235</v>
      </c>
      <c r="AM59" s="73">
        <f t="shared" si="107"/>
        <v>1.1080985175371094</v>
      </c>
      <c r="AN59" s="73">
        <f t="shared" si="107"/>
        <v>1.1278515234076545</v>
      </c>
      <c r="AO59" s="73">
        <f t="shared" si="107"/>
        <v>1.1309450521927047</v>
      </c>
      <c r="AP59" s="73">
        <f t="shared" si="107"/>
        <v>1.1491325509085859</v>
      </c>
      <c r="AQ59" s="73">
        <f t="shared" si="107"/>
        <v>1.1604645524513768</v>
      </c>
      <c r="AR59" s="73">
        <f t="shared" si="107"/>
        <v>1.1622542498207693</v>
      </c>
      <c r="AS59" s="73">
        <f t="shared" si="107"/>
        <v>1.1133941211140148</v>
      </c>
      <c r="AT59" s="73">
        <f t="shared" si="107"/>
        <v>1.0414701791076477</v>
      </c>
      <c r="AU59" s="210">
        <f>(AU52*AU$54)</f>
        <v>1.0513170197535544</v>
      </c>
      <c r="AV59" s="21">
        <f t="shared" si="95"/>
        <v>1.0615196569220717</v>
      </c>
      <c r="AW59" s="75">
        <f t="shared" si="95"/>
        <v>1.072025218883528</v>
      </c>
    </row>
    <row r="60" spans="1:50" ht="16.5" thickTop="1" thickBot="1" x14ac:dyDescent="0.3">
      <c r="A60" s="84" t="s">
        <v>70</v>
      </c>
      <c r="B60" s="105">
        <f t="shared" ref="B60:J60" si="108">SUM(B55:B59)+SUM(B48:B52)-B63</f>
        <v>0</v>
      </c>
      <c r="C60" s="105">
        <f t="shared" si="108"/>
        <v>0</v>
      </c>
      <c r="D60" s="105">
        <f t="shared" si="108"/>
        <v>0</v>
      </c>
      <c r="E60" s="105">
        <f t="shared" si="108"/>
        <v>0</v>
      </c>
      <c r="F60" s="105">
        <f t="shared" si="108"/>
        <v>0</v>
      </c>
      <c r="G60" s="105">
        <f t="shared" si="108"/>
        <v>0</v>
      </c>
      <c r="H60" s="105">
        <f t="shared" si="108"/>
        <v>0</v>
      </c>
      <c r="I60" s="105">
        <f t="shared" si="108"/>
        <v>0</v>
      </c>
      <c r="J60" s="105">
        <f t="shared" si="108"/>
        <v>0</v>
      </c>
      <c r="K60" s="105">
        <f>SUM(K55:K59)+SUM(K48:K52)-K63</f>
        <v>0</v>
      </c>
      <c r="L60" s="105">
        <f t="shared" ref="L60:U60" si="109">SUM(L55:L59)+SUM(L48:L52)-L63</f>
        <v>0</v>
      </c>
      <c r="M60" s="105">
        <f t="shared" si="109"/>
        <v>0</v>
      </c>
      <c r="N60" s="105">
        <f t="shared" si="109"/>
        <v>0</v>
      </c>
      <c r="O60" s="105">
        <f t="shared" si="109"/>
        <v>0</v>
      </c>
      <c r="P60" s="105">
        <f t="shared" si="109"/>
        <v>0</v>
      </c>
      <c r="Q60" s="105">
        <f t="shared" si="109"/>
        <v>0</v>
      </c>
      <c r="R60" s="105">
        <f t="shared" si="109"/>
        <v>0</v>
      </c>
      <c r="S60" s="105">
        <f t="shared" si="109"/>
        <v>0</v>
      </c>
      <c r="T60" s="105">
        <f t="shared" si="109"/>
        <v>0</v>
      </c>
      <c r="U60" s="105">
        <f t="shared" si="109"/>
        <v>0</v>
      </c>
      <c r="V60" s="105">
        <f>SUM(V55:V59)+SUM(V48:V52)-V63</f>
        <v>0</v>
      </c>
      <c r="W60" s="105">
        <f>SUM(W55:W59)+SUM(W48:W52)-W63</f>
        <v>0</v>
      </c>
      <c r="X60" s="105">
        <f t="shared" ref="X60:AH60" si="110">SUM(X55:X59)+SUM(X48:X52)-X63</f>
        <v>-1.8189894035458565E-11</v>
      </c>
      <c r="Y60" s="105">
        <f t="shared" si="110"/>
        <v>-2.1827872842550278E-11</v>
      </c>
      <c r="Z60" s="105">
        <f t="shared" si="110"/>
        <v>0</v>
      </c>
      <c r="AA60" s="105">
        <f t="shared" si="110"/>
        <v>0</v>
      </c>
      <c r="AB60" s="105">
        <f t="shared" si="110"/>
        <v>0</v>
      </c>
      <c r="AC60" s="105">
        <f t="shared" si="110"/>
        <v>0</v>
      </c>
      <c r="AD60" s="105">
        <f t="shared" si="110"/>
        <v>0</v>
      </c>
      <c r="AE60" s="105">
        <f t="shared" si="110"/>
        <v>0</v>
      </c>
      <c r="AF60" s="105">
        <f t="shared" si="110"/>
        <v>0</v>
      </c>
      <c r="AG60" s="105">
        <f t="shared" si="110"/>
        <v>0</v>
      </c>
      <c r="AH60" s="105">
        <f t="shared" si="110"/>
        <v>0</v>
      </c>
      <c r="AI60" s="105">
        <f t="shared" ref="AI60:AT60" si="111">SUM(AI55:AI59)+SUM(AI48:AI52)-AI63</f>
        <v>0</v>
      </c>
      <c r="AJ60" s="105">
        <f t="shared" si="111"/>
        <v>0</v>
      </c>
      <c r="AK60" s="105">
        <f t="shared" si="111"/>
        <v>0</v>
      </c>
      <c r="AL60" s="105">
        <f t="shared" si="111"/>
        <v>0</v>
      </c>
      <c r="AM60" s="105">
        <f t="shared" si="111"/>
        <v>0</v>
      </c>
      <c r="AN60" s="105">
        <f t="shared" si="111"/>
        <v>0</v>
      </c>
      <c r="AO60" s="105">
        <f t="shared" si="111"/>
        <v>0</v>
      </c>
      <c r="AP60" s="105">
        <f t="shared" si="111"/>
        <v>0</v>
      </c>
      <c r="AQ60" s="105">
        <f t="shared" si="111"/>
        <v>0</v>
      </c>
      <c r="AR60" s="105">
        <f t="shared" si="111"/>
        <v>0</v>
      </c>
      <c r="AS60" s="105">
        <f t="shared" si="111"/>
        <v>0</v>
      </c>
      <c r="AT60" s="105">
        <f t="shared" si="111"/>
        <v>0</v>
      </c>
      <c r="AU60" s="211">
        <f>SUM(AU55:AU59)+SUM(AU48:AU52)-AU63</f>
        <v>0</v>
      </c>
      <c r="AV60" s="205">
        <f>SUM(AV55:AV59)+SUM(AV48:AV52)-AV63</f>
        <v>0</v>
      </c>
      <c r="AW60" s="213">
        <f>SUM(AW55:AW59)+SUM(AW48:AW52)-AW63</f>
        <v>-1.4551915228366852E-11</v>
      </c>
    </row>
    <row r="61" spans="1:50" ht="16.5" thickTop="1" thickBot="1" x14ac:dyDescent="0.3">
      <c r="A61" s="84" t="s">
        <v>71</v>
      </c>
      <c r="B61" s="105">
        <f t="shared" ref="B61:J61" si="112">SUM(B55:B59)-B38</f>
        <v>4.2916666666652503E-3</v>
      </c>
      <c r="C61" s="105">
        <f t="shared" si="112"/>
        <v>-4.8062060853464317E-3</v>
      </c>
      <c r="D61" s="105">
        <f t="shared" si="112"/>
        <v>-0.4836107509788814</v>
      </c>
      <c r="E61" s="105">
        <f t="shared" si="112"/>
        <v>1.0702474406087958E-4</v>
      </c>
      <c r="F61" s="105">
        <f t="shared" si="112"/>
        <v>0.48127107699214022</v>
      </c>
      <c r="G61" s="105">
        <f t="shared" si="112"/>
        <v>1.4119696047476538E-4</v>
      </c>
      <c r="H61" s="105">
        <f t="shared" si="112"/>
        <v>-4.6011141219093332E-3</v>
      </c>
      <c r="I61" s="105">
        <f t="shared" si="112"/>
        <v>-1.0523030172322478E-3</v>
      </c>
      <c r="J61" s="105">
        <f t="shared" si="112"/>
        <v>4.9727175738993878E-3</v>
      </c>
      <c r="K61" s="105">
        <f>SUM(K55:K59)-K38</f>
        <v>0.23315658585147503</v>
      </c>
      <c r="L61" s="105">
        <f t="shared" ref="L61:U61" si="113">SUM(L55:L59)-L38</f>
        <v>-3.3784321064729284E-3</v>
      </c>
      <c r="M61" s="105">
        <f t="shared" si="113"/>
        <v>-2.1914204805071336E-3</v>
      </c>
      <c r="N61" s="105">
        <f t="shared" si="113"/>
        <v>4.1341794978464463E-3</v>
      </c>
      <c r="O61" s="105">
        <f t="shared" si="113"/>
        <v>2.3316042370140622E-3</v>
      </c>
      <c r="P61" s="105">
        <f t="shared" si="113"/>
        <v>2.8001901524987716E-3</v>
      </c>
      <c r="Q61" s="105">
        <f t="shared" si="113"/>
        <v>-3.9680466048537255E-3</v>
      </c>
      <c r="R61" s="105">
        <f t="shared" si="113"/>
        <v>-1.3946770013717469E-4</v>
      </c>
      <c r="S61" s="105">
        <f t="shared" si="113"/>
        <v>5.011795180507761E-3</v>
      </c>
      <c r="T61" s="105">
        <f t="shared" si="113"/>
        <v>4.3548718345221005E-3</v>
      </c>
      <c r="U61" s="105">
        <f t="shared" si="113"/>
        <v>4.0564347891631769E-3</v>
      </c>
      <c r="V61" s="105">
        <f>SUM(V55:V59)-V38</f>
        <v>5.6755709606477467E-3</v>
      </c>
      <c r="W61" s="105">
        <f>SUM(W55:W59)-W38</f>
        <v>3.6783677967378026E-4</v>
      </c>
      <c r="X61" s="105">
        <f t="shared" ref="X61:AH61" si="114">SUM(X55:X59)-X38</f>
        <v>1.0805272422658163E-3</v>
      </c>
      <c r="Y61" s="105">
        <f t="shared" si="114"/>
        <v>-3.6312604766095546E-3</v>
      </c>
      <c r="Z61" s="105">
        <f t="shared" si="114"/>
        <v>2.2493365394353759E-3</v>
      </c>
      <c r="AA61" s="105">
        <f t="shared" si="114"/>
        <v>-1.2376513357139629E-3</v>
      </c>
      <c r="AB61" s="105">
        <f t="shared" si="114"/>
        <v>-1.6611426236465832E-3</v>
      </c>
      <c r="AC61" s="105">
        <f t="shared" si="114"/>
        <v>7.4215008709188623E-5</v>
      </c>
      <c r="AD61" s="105">
        <f t="shared" si="114"/>
        <v>4.4692663414878098E-3</v>
      </c>
      <c r="AE61" s="105">
        <f t="shared" si="114"/>
        <v>-1.870316204019673E-3</v>
      </c>
      <c r="AF61" s="105">
        <f t="shared" si="114"/>
        <v>1.3688738644930254E-3</v>
      </c>
      <c r="AG61" s="105">
        <f t="shared" si="114"/>
        <v>2.2290875027977108E-3</v>
      </c>
      <c r="AH61" s="105">
        <f t="shared" si="114"/>
        <v>3.4294571448469924E-3</v>
      </c>
      <c r="AI61" s="105">
        <f t="shared" ref="AI61:AT61" si="115">SUM(AI55:AI59)-AI38</f>
        <v>-1.7853674412435794E-3</v>
      </c>
      <c r="AJ61" s="105">
        <f t="shared" si="115"/>
        <v>-4.447299905109503E-3</v>
      </c>
      <c r="AK61" s="105">
        <f t="shared" si="115"/>
        <v>2.6070088497647248E-3</v>
      </c>
      <c r="AL61" s="105">
        <f t="shared" si="115"/>
        <v>4.2236947014941961E-3</v>
      </c>
      <c r="AM61" s="105">
        <f t="shared" si="115"/>
        <v>3.17755790024421E-3</v>
      </c>
      <c r="AN61" s="105">
        <f t="shared" si="115"/>
        <v>1.5443910731960386E-3</v>
      </c>
      <c r="AO61" s="105">
        <f t="shared" si="115"/>
        <v>1.9949778160253118E-3</v>
      </c>
      <c r="AP61" s="105">
        <f t="shared" si="115"/>
        <v>1.1660489127791607E-3</v>
      </c>
      <c r="AQ61" s="105">
        <f t="shared" si="115"/>
        <v>4.9086367208275306E-3</v>
      </c>
      <c r="AR61" s="105">
        <f t="shared" si="115"/>
        <v>-2.257113132444033E-3</v>
      </c>
      <c r="AS61" s="105">
        <f t="shared" si="115"/>
        <v>-3.9117199816303128E-3</v>
      </c>
      <c r="AT61" s="105">
        <f t="shared" si="115"/>
        <v>-3.6528828636193111E-3</v>
      </c>
      <c r="AU61" s="228">
        <f>SUM(AU55:AU59)-AU38</f>
        <v>1.652339775546352E-4</v>
      </c>
      <c r="AV61" s="54">
        <f>SUM(AV55:AV59)-AV38</f>
        <v>1.6591429321977103E-4</v>
      </c>
      <c r="AW61" s="88">
        <f>SUM(AW55:AW59)-AW38</f>
        <v>1.6659740989410921E-4</v>
      </c>
    </row>
    <row r="62" spans="1:50" ht="15.75" thickTop="1" x14ac:dyDescent="0.25">
      <c r="AU62" s="65"/>
      <c r="AW62" s="67"/>
    </row>
    <row r="63" spans="1:50" x14ac:dyDescent="0.25">
      <c r="A63" t="s">
        <v>72</v>
      </c>
      <c r="B63" s="73">
        <f>(SUM(B15:B19)-SUM(B22:B26))+SUM(B55:B59)</f>
        <v>-50009.675708333336</v>
      </c>
      <c r="C63" s="73">
        <f t="shared" ref="C63:J63" si="116">(SUM(C15:C19)-SUM(C22:C26))+SUM(C55:C59)+B63</f>
        <v>-50018.580514539419</v>
      </c>
      <c r="D63" s="73">
        <f t="shared" si="116"/>
        <v>-50027.964125290397</v>
      </c>
      <c r="E63" s="73">
        <f t="shared" si="116"/>
        <v>-50037.31401826565</v>
      </c>
      <c r="F63" s="73">
        <f t="shared" si="116"/>
        <v>-50045.722747188658</v>
      </c>
      <c r="G63" s="73">
        <f t="shared" si="116"/>
        <v>-50051.542605991701</v>
      </c>
      <c r="H63" s="73">
        <f t="shared" si="116"/>
        <v>-50060.09720710582</v>
      </c>
      <c r="I63" s="73">
        <f t="shared" si="116"/>
        <v>-50068.15825940884</v>
      </c>
      <c r="J63" s="73">
        <f t="shared" si="116"/>
        <v>-203825.69328669124</v>
      </c>
      <c r="K63" s="73">
        <f>(SUM(K15:K19)-SUM(K22:K26))+SUM(K55:K59)+J63</f>
        <v>-203882.51013010539</v>
      </c>
      <c r="L63" s="73">
        <f>(SUM(L15:L19)-SUM(L22:L26))+SUM(L55:L59)+K63</f>
        <v>-203926.76350853749</v>
      </c>
      <c r="M63" s="73">
        <f>(SUM(M15:M19)-SUM(M22:M26))+SUM(M55:M59)+L63</f>
        <v>-203966.60569995796</v>
      </c>
      <c r="N63" s="73">
        <f>(SUM(N15:N19)-SUM(N22:N26))+SUM(N55:N59)+M63+M64</f>
        <v>-182716.05717940474</v>
      </c>
      <c r="O63" s="73">
        <f t="shared" ref="O63" si="117">(SUM(O15:O19)-SUM(O22:O26))+SUM(O55:O59)+N63</f>
        <v>-165699.9048478005</v>
      </c>
      <c r="P63" s="73">
        <f t="shared" ref="P63" si="118">(SUM(P15:P19)-SUM(P22:P26))+SUM(P55:P59)+O63</f>
        <v>-151265.22204761035</v>
      </c>
      <c r="Q63" s="73">
        <f t="shared" ref="Q63" si="119">(SUM(Q15:Q19)-SUM(Q22:Q26))+SUM(Q55:Q59)+P63</f>
        <v>-137082.26601565696</v>
      </c>
      <c r="R63" s="73">
        <f t="shared" ref="R63" si="120">(SUM(R15:R19)-SUM(R22:R26))+SUM(R55:R59)+Q63</f>
        <v>-119617.76615512466</v>
      </c>
      <c r="S63" s="73">
        <f t="shared" ref="S63" si="121">(SUM(S15:S19)-SUM(S22:S26))+SUM(S55:S59)+R63</f>
        <v>-97391.78114332947</v>
      </c>
      <c r="T63" s="73">
        <f t="shared" ref="T63" si="122">(SUM(T15:T19)-SUM(T22:T26))+SUM(T55:T59)+S63</f>
        <v>-76150.92678845764</v>
      </c>
      <c r="U63" s="73">
        <f t="shared" ref="U63" si="123">(SUM(U15:U19)-SUM(U22:U26))+SUM(U55:U59)+T63</f>
        <v>-57276.94273202285</v>
      </c>
      <c r="V63" s="73">
        <f>(SUM(V15:V19)-SUM(V22:V26))+SUM(V55:V59)+U63</f>
        <v>-42776.967056451889</v>
      </c>
      <c r="W63" s="73">
        <f>(SUM(W15:W19)-SUM(W22:W26))+SUM(W55:W59)+V63</f>
        <v>-29142.616688615111</v>
      </c>
      <c r="X63" s="73">
        <f>(SUM(X15:X19)-SUM(X22:X26))+SUM(X55:X59)+W63</f>
        <v>-10719.075608087867</v>
      </c>
      <c r="Y63" s="73">
        <f t="shared" ref="Y63:AH63" si="124">(SUM(Y15:Y19)-SUM(Y22:Y26))+SUM(Y55:Y59)+X63</f>
        <v>10201.79076065166</v>
      </c>
      <c r="Z63" s="73">
        <f t="shared" si="124"/>
        <v>20235.673009988197</v>
      </c>
      <c r="AA63" s="73">
        <f t="shared" si="124"/>
        <v>20479.681772336862</v>
      </c>
      <c r="AB63" s="73">
        <f t="shared" si="124"/>
        <v>20684.430111194237</v>
      </c>
      <c r="AC63" s="73">
        <f t="shared" si="124"/>
        <v>20901.190185409247</v>
      </c>
      <c r="AD63" s="73">
        <f t="shared" si="124"/>
        <v>32705.254654675588</v>
      </c>
      <c r="AE63" s="73">
        <f t="shared" si="124"/>
        <v>32971.352784359384</v>
      </c>
      <c r="AF63" s="73">
        <f t="shared" si="124"/>
        <v>33271.524153233251</v>
      </c>
      <c r="AG63" s="73">
        <f t="shared" si="124"/>
        <v>33613.126382320756</v>
      </c>
      <c r="AH63" s="73">
        <f t="shared" si="124"/>
        <v>33947.779811777902</v>
      </c>
      <c r="AI63" s="73">
        <f t="shared" ref="AI63" si="125">(SUM(AI15:AI19)-SUM(AI22:AI26))+SUM(AI55:AI59)+AH63</f>
        <v>34268.078026410461</v>
      </c>
      <c r="AJ63" s="73">
        <f t="shared" ref="AJ63" si="126">(SUM(AJ15:AJ19)-SUM(AJ22:AJ26))+SUM(AJ55:AJ59)+AI63</f>
        <v>34610.113579110555</v>
      </c>
      <c r="AK63" s="73">
        <f t="shared" ref="AK63" si="127">(SUM(AK15:AK19)-SUM(AK22:AK26))+SUM(AK55:AK59)+AJ63</f>
        <v>34727.636186119402</v>
      </c>
      <c r="AL63" s="73">
        <f t="shared" ref="AL63" si="128">(SUM(AL15:AL19)-SUM(AL22:AL26))+SUM(AL55:AL59)+AK63</f>
        <v>34251.220409814101</v>
      </c>
      <c r="AM63" s="73">
        <f t="shared" ref="AM63" si="129">(SUM(AM15:AM19)-SUM(AM22:AM26))+SUM(AM55:AM59)+AL63</f>
        <v>33039.543587371998</v>
      </c>
      <c r="AN63" s="73">
        <f t="shared" ref="AN63" si="130">(SUM(AN15:AN19)-SUM(AN22:AN26))+SUM(AN55:AN59)+AM63</f>
        <v>31833.355131763074</v>
      </c>
      <c r="AO63" s="73">
        <f t="shared" ref="AO63" si="131">(SUM(AO15:AO19)-SUM(AO22:AO26))+SUM(AO55:AO59)+AN63</f>
        <v>30633.93712674089</v>
      </c>
      <c r="AP63" s="73">
        <f t="shared" ref="AP63" si="132">(SUM(AP15:AP19)-SUM(AP22:AP26))+SUM(AP55:AP59)+AO63</f>
        <v>29185.988292789803</v>
      </c>
      <c r="AQ63" s="73">
        <f t="shared" ref="AQ63" si="133">(SUM(AQ15:AQ19)-SUM(AQ22:AQ26))+SUM(AQ55:AQ59)+AP63</f>
        <v>27463.243201426525</v>
      </c>
      <c r="AR63" s="73">
        <f t="shared" ref="AR63" si="134">(SUM(AR15:AR19)-SUM(AR22:AR26))+SUM(AR55:AR59)+AQ63</f>
        <v>25861.640944313393</v>
      </c>
      <c r="AS63" s="73">
        <f t="shared" ref="AS63" si="135">(SUM(AS15:AS19)-SUM(AS22:AS26))+SUM(AS55:AS59)+AR63</f>
        <v>24267.207032593411</v>
      </c>
      <c r="AT63" s="73">
        <f t="shared" ref="AT63" si="136">(SUM(AT15:AT19)-SUM(AT22:AT26))+SUM(AT55:AT59)+AS63</f>
        <v>22894.41337971055</v>
      </c>
      <c r="AU63" s="210">
        <f>(SUM(AU15:AU19)-SUM(AU22:AU26))+SUM(AU55:AU59)+AT63</f>
        <v>20588.720780607073</v>
      </c>
      <c r="AV63" s="21">
        <f>(SUM(AV15:AV19)-SUM(AV22:AV26))+SUM(AV55:AV59)+AU63</f>
        <v>17837.062420719103</v>
      </c>
      <c r="AW63" s="75">
        <f>(SUM(AW15:AW19)-SUM(AW22:AW26))+SUM(AW55:AW59)+AV63</f>
        <v>14741.684133599132</v>
      </c>
    </row>
    <row r="64" spans="1:50" x14ac:dyDescent="0.25">
      <c r="A64" t="s">
        <v>73</v>
      </c>
      <c r="L64" s="145" t="s">
        <v>156</v>
      </c>
      <c r="M64" s="251">
        <f>SUM(M65:M69)</f>
        <v>13638.854386373714</v>
      </c>
      <c r="Y64" s="280">
        <f>SUM(Y65:Y69)</f>
        <v>-0.15349713508484131</v>
      </c>
      <c r="AU64" s="65"/>
      <c r="AW64" s="67"/>
    </row>
    <row r="65" spans="1:49" x14ac:dyDescent="0.25">
      <c r="A65" s="136" t="s">
        <v>0</v>
      </c>
      <c r="L65" s="216"/>
      <c r="M65" s="238">
        <v>13722.349284809385</v>
      </c>
      <c r="Y65" s="278">
        <f>'[2]MEEIA 3 calcs'!$AZ$76*(X48/(SUM($X$49:$X$52)))-0.01</f>
        <v>-8.1320405425562188E-3</v>
      </c>
      <c r="AU65" s="214"/>
      <c r="AW65" s="67"/>
    </row>
    <row r="66" spans="1:49" x14ac:dyDescent="0.25">
      <c r="A66" s="136" t="s">
        <v>4</v>
      </c>
      <c r="L66" s="216"/>
      <c r="M66" s="238">
        <v>-1851.7050326834342</v>
      </c>
      <c r="Y66" s="278">
        <f>'[2]MEEIA 3 calcs'!$AZ$76*(X49/(SUM($X$49:$X$52)))</f>
        <v>-4.1591683341262481E-2</v>
      </c>
      <c r="AU66" s="214"/>
      <c r="AW66" s="67"/>
    </row>
    <row r="67" spans="1:49" x14ac:dyDescent="0.25">
      <c r="A67" s="136" t="s">
        <v>5</v>
      </c>
      <c r="L67" s="216"/>
      <c r="M67" s="238">
        <v>2070.0461161302624</v>
      </c>
      <c r="Y67" s="278">
        <f>'[2]MEEIA 3 calcs'!$AZ$76*(X50/(SUM($X$49:$X$52)))</f>
        <v>-4.0662434724887134E-2</v>
      </c>
      <c r="AU67" s="214"/>
      <c r="AW67" s="67"/>
    </row>
    <row r="68" spans="1:49" x14ac:dyDescent="0.25">
      <c r="A68" s="136" t="s">
        <v>6</v>
      </c>
      <c r="L68" s="216"/>
      <c r="M68" s="238">
        <v>354.19769641814929</v>
      </c>
      <c r="Y68" s="278">
        <f>'[2]MEEIA 3 calcs'!$AZ$76*(X51/(SUM($X$49:$X$52)))</f>
        <v>-2.9037934672226262E-2</v>
      </c>
      <c r="AU68" s="214"/>
      <c r="AW68" s="67"/>
    </row>
    <row r="69" spans="1:49" ht="15.75" thickBot="1" x14ac:dyDescent="0.3">
      <c r="A69" s="136" t="s">
        <v>7</v>
      </c>
      <c r="B69" s="90"/>
      <c r="C69" s="90"/>
      <c r="D69" s="90"/>
      <c r="E69" s="90"/>
      <c r="F69" s="90"/>
      <c r="G69" s="90"/>
      <c r="H69" s="90"/>
      <c r="I69" s="90"/>
      <c r="J69" s="90"/>
      <c r="K69" s="90"/>
      <c r="L69" s="219"/>
      <c r="M69" s="240">
        <v>-656.03367830064747</v>
      </c>
      <c r="N69" s="90"/>
      <c r="O69" s="90"/>
      <c r="P69" s="90"/>
      <c r="Q69" s="90"/>
      <c r="R69" s="90"/>
      <c r="S69" s="90"/>
      <c r="T69" s="90"/>
      <c r="U69" s="90"/>
      <c r="V69" s="90"/>
      <c r="W69" s="90"/>
      <c r="X69" s="90"/>
      <c r="Y69" s="279">
        <f>'[2]MEEIA 3 calcs'!$AZ$76*(X52/(SUM($X$49:$X$52)))</f>
        <v>-3.4073041803909208E-2</v>
      </c>
      <c r="Z69" s="90"/>
      <c r="AA69" s="90"/>
      <c r="AB69" s="90"/>
      <c r="AC69" s="90"/>
      <c r="AD69" s="90"/>
      <c r="AE69" s="90"/>
      <c r="AF69" s="90"/>
      <c r="AG69" s="90"/>
      <c r="AH69" s="90"/>
      <c r="AI69" s="90"/>
      <c r="AJ69" s="90"/>
      <c r="AK69" s="90"/>
      <c r="AL69" s="90"/>
      <c r="AM69" s="90"/>
      <c r="AN69" s="90"/>
      <c r="AO69" s="90"/>
      <c r="AP69" s="90"/>
      <c r="AQ69" s="90"/>
      <c r="AR69" s="90"/>
      <c r="AS69" s="90"/>
      <c r="AT69" s="90"/>
      <c r="AU69" s="215"/>
      <c r="AV69" s="90"/>
      <c r="AW69" s="91"/>
    </row>
    <row r="71" spans="1:49" x14ac:dyDescent="0.25">
      <c r="B71" s="31"/>
      <c r="C71" s="31"/>
      <c r="D71" s="31"/>
      <c r="E71" s="31"/>
      <c r="F71" s="31"/>
      <c r="G71" s="31"/>
      <c r="H71" s="31"/>
      <c r="I71" s="31"/>
      <c r="J71" s="230"/>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6" spans="1:49" x14ac:dyDescent="0.25">
      <c r="J76" s="31"/>
    </row>
    <row r="77" spans="1:49" x14ac:dyDescent="0.25">
      <c r="B77" s="136"/>
    </row>
    <row r="78" spans="1:49" x14ac:dyDescent="0.25">
      <c r="B78" s="136"/>
    </row>
    <row r="79" spans="1:49" x14ac:dyDescent="0.25">
      <c r="B79" s="136"/>
    </row>
    <row r="80" spans="1:49" x14ac:dyDescent="0.25">
      <c r="B80" s="136"/>
    </row>
    <row r="81" spans="2:2" x14ac:dyDescent="0.25">
      <c r="B81" s="136"/>
    </row>
  </sheetData>
  <mergeCells count="1">
    <mergeCell ref="AU13:AW13"/>
  </mergeCells>
  <pageMargins left="0.7" right="0.7" top="0.75" bottom="0.75" header="0.3" footer="0.3"/>
  <pageSetup scale="7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B2:Y42"/>
  <sheetViews>
    <sheetView workbookViewId="0">
      <selection activeCell="P29" sqref="P29"/>
    </sheetView>
  </sheetViews>
  <sheetFormatPr defaultRowHeight="15" x14ac:dyDescent="0.25"/>
  <cols>
    <col min="3" max="3" width="16.5703125" customWidth="1"/>
    <col min="4" max="5" width="15.5703125" customWidth="1"/>
    <col min="6" max="6" width="12.42578125" bestFit="1" customWidth="1"/>
    <col min="7" max="7" width="17.140625" customWidth="1"/>
    <col min="8" max="8" width="16" bestFit="1" customWidth="1"/>
    <col min="9" max="9" width="5.7109375" customWidth="1"/>
    <col min="10" max="10" width="16" bestFit="1" customWidth="1"/>
    <col min="11" max="11" width="17.5703125" customWidth="1"/>
    <col min="12" max="12" width="14.85546875" bestFit="1" customWidth="1"/>
    <col min="13" max="13" width="16" bestFit="1" customWidth="1"/>
    <col min="14" max="14" width="11.5703125" bestFit="1" customWidth="1"/>
    <col min="15" max="15" width="2.5703125" customWidth="1"/>
    <col min="16" max="17" width="11" bestFit="1" customWidth="1"/>
    <col min="18" max="18" width="10.28515625" customWidth="1"/>
    <col min="19" max="20" width="11" bestFit="1" customWidth="1"/>
  </cols>
  <sheetData>
    <row r="2" spans="2:25" ht="15.75" thickBot="1" x14ac:dyDescent="0.3">
      <c r="J2" s="333" t="s">
        <v>28</v>
      </c>
      <c r="K2" s="333"/>
      <c r="L2" s="333"/>
      <c r="M2" s="333"/>
      <c r="P2" s="333" t="s">
        <v>133</v>
      </c>
      <c r="Q2" s="333"/>
      <c r="R2" s="333"/>
      <c r="S2" s="333"/>
      <c r="T2" s="333"/>
    </row>
    <row r="3" spans="2:25" ht="27.75" thickBot="1" x14ac:dyDescent="0.3">
      <c r="B3" s="7" t="s">
        <v>11</v>
      </c>
      <c r="C3" s="8" t="s">
        <v>33</v>
      </c>
      <c r="D3" s="8" t="s">
        <v>34</v>
      </c>
      <c r="E3" s="8" t="s">
        <v>43</v>
      </c>
      <c r="F3" s="8" t="s">
        <v>35</v>
      </c>
      <c r="G3" s="8" t="s">
        <v>13</v>
      </c>
      <c r="H3" s="9" t="s">
        <v>14</v>
      </c>
      <c r="J3" s="30" t="s">
        <v>29</v>
      </c>
      <c r="K3" s="30" t="s">
        <v>44</v>
      </c>
      <c r="L3" s="30" t="s">
        <v>132</v>
      </c>
      <c r="M3" s="30" t="s">
        <v>131</v>
      </c>
      <c r="N3" s="30"/>
      <c r="P3" t="s">
        <v>33</v>
      </c>
      <c r="Q3" t="s">
        <v>34</v>
      </c>
      <c r="R3" t="s">
        <v>43</v>
      </c>
      <c r="S3" t="s">
        <v>35</v>
      </c>
      <c r="T3" t="s">
        <v>9</v>
      </c>
    </row>
    <row r="4" spans="2:25" ht="15.75" thickBot="1" x14ac:dyDescent="0.3">
      <c r="B4" s="10" t="s">
        <v>15</v>
      </c>
      <c r="C4" s="11">
        <f>C16+C26</f>
        <v>-3334687.8529507732</v>
      </c>
      <c r="D4" s="224">
        <f>D16+D26</f>
        <v>-86516.23315596336</v>
      </c>
      <c r="E4" s="12">
        <f>E16+E26</f>
        <v>5271665.7331497269</v>
      </c>
      <c r="F4" s="253">
        <f>F16+F26</f>
        <v>15432.400790170872</v>
      </c>
      <c r="G4" s="14">
        <f>PPC!B15</f>
        <v>12583693951.443453</v>
      </c>
      <c r="H4" s="221">
        <f>SUM(C4:F4)/G4</f>
        <v>1.4827872125888184E-4</v>
      </c>
      <c r="J4" s="223">
        <f>C4/G4</f>
        <v>-2.6500071170026008E-4</v>
      </c>
      <c r="K4" s="223">
        <f>(D4)/G4</f>
        <v>-6.8752652035088027E-6</v>
      </c>
      <c r="L4" s="223">
        <f>(E4)/G4</f>
        <v>4.1892831735191905E-4</v>
      </c>
      <c r="M4" s="223">
        <f>(F4)/G4</f>
        <v>1.2263808107317048E-6</v>
      </c>
      <c r="N4" s="153">
        <f>SUM(J4:M4)-H4</f>
        <v>0</v>
      </c>
      <c r="P4" s="39">
        <f>ROUND(C4/G4,6)</f>
        <v>-2.6499999999999999E-4</v>
      </c>
      <c r="Q4" s="39">
        <f>ROUND(D4/G4,6)</f>
        <v>-6.9999999999999999E-6</v>
      </c>
      <c r="R4" s="39">
        <f>+ROUND(E4/G4,6)</f>
        <v>4.1899999999999999E-4</v>
      </c>
      <c r="S4" s="39">
        <f>ROUND(F4/G4,6)</f>
        <v>9.9999999999999995E-7</v>
      </c>
      <c r="T4" s="39">
        <f>SUM(P4:S4)</f>
        <v>1.4799999999999999E-4</v>
      </c>
      <c r="W4" s="37"/>
      <c r="Y4" s="38"/>
    </row>
    <row r="5" spans="2:25" ht="15.75" thickBot="1" x14ac:dyDescent="0.3">
      <c r="B5" s="10" t="s">
        <v>16</v>
      </c>
      <c r="C5" s="11">
        <f t="shared" ref="C5:D9" si="0">C17+C27</f>
        <v>174692.56089818483</v>
      </c>
      <c r="D5" s="12">
        <f>D17+D27</f>
        <v>903229.16953420918</v>
      </c>
      <c r="E5" s="12">
        <f t="shared" ref="E5:F8" si="1">E17+E27</f>
        <v>1349819.9070958463</v>
      </c>
      <c r="F5" s="253">
        <f t="shared" si="1"/>
        <v>325.75422546280623</v>
      </c>
      <c r="G5" s="14">
        <f>PPC!B6</f>
        <v>3189499539.3651609</v>
      </c>
      <c r="H5" s="221">
        <f>SUM(C5:F5)/G5</f>
        <v>7.6126908368733806E-4</v>
      </c>
      <c r="J5" s="223">
        <f t="shared" ref="J5:J8" si="2">C5/G5</f>
        <v>5.4771151004133928E-5</v>
      </c>
      <c r="K5" s="223">
        <f t="shared" ref="K5:K8" si="3">(D5)/G5</f>
        <v>2.8318836807670093E-4</v>
      </c>
      <c r="L5" s="223">
        <f t="shared" ref="L5:L8" si="4">(E5)/G5</f>
        <v>4.2320743127133824E-4</v>
      </c>
      <c r="M5" s="223">
        <f t="shared" ref="M5:M8" si="5">(F5)/G5</f>
        <v>1.021333351650662E-7</v>
      </c>
      <c r="N5" s="153">
        <f t="shared" ref="N5:N8" si="6">SUM(J5:M5)-H5</f>
        <v>0</v>
      </c>
      <c r="P5" s="39">
        <f>ROUND(C5/G5,6)</f>
        <v>5.5000000000000002E-5</v>
      </c>
      <c r="Q5" s="39">
        <f>ROUND(D5/G5,6)</f>
        <v>2.8299999999999999E-4</v>
      </c>
      <c r="R5" s="39">
        <f t="shared" ref="R5:R8" si="7">+ROUND(E5/G5,6)</f>
        <v>4.2299999999999998E-4</v>
      </c>
      <c r="S5" s="39">
        <f>ROUND(F5/G5,6)</f>
        <v>0</v>
      </c>
      <c r="T5" s="39">
        <f t="shared" ref="T5:T8" si="8">SUM(P5:S5)</f>
        <v>7.6099999999999996E-4</v>
      </c>
      <c r="W5" s="37"/>
    </row>
    <row r="6" spans="2:25" ht="15.75" thickBot="1" x14ac:dyDescent="0.3">
      <c r="B6" s="10" t="s">
        <v>17</v>
      </c>
      <c r="C6" s="11">
        <f t="shared" si="0"/>
        <v>408751.9594458869</v>
      </c>
      <c r="D6" s="12">
        <f t="shared" si="0"/>
        <v>130662.76192761748</v>
      </c>
      <c r="E6" s="12">
        <f t="shared" si="1"/>
        <v>3018841.4556008768</v>
      </c>
      <c r="F6" s="224">
        <f t="shared" si="1"/>
        <v>-1826.5490044265521</v>
      </c>
      <c r="G6" s="14">
        <f>PPC!B7</f>
        <v>6758129930.8800106</v>
      </c>
      <c r="H6" s="221">
        <f>SUM(C6:F6)/G6</f>
        <v>5.2624463636301441E-4</v>
      </c>
      <c r="J6" s="223">
        <f t="shared" si="2"/>
        <v>6.0482998052193592E-5</v>
      </c>
      <c r="K6" s="223">
        <f t="shared" si="3"/>
        <v>1.9334159488496725E-5</v>
      </c>
      <c r="L6" s="223">
        <f t="shared" si="4"/>
        <v>4.4669775314719025E-4</v>
      </c>
      <c r="M6" s="223">
        <f t="shared" si="5"/>
        <v>-2.7027432486618496E-7</v>
      </c>
      <c r="N6" s="153">
        <f t="shared" si="6"/>
        <v>0</v>
      </c>
      <c r="P6" s="39">
        <f>ROUND(C6/G6,6)</f>
        <v>6.0000000000000002E-5</v>
      </c>
      <c r="Q6" s="39">
        <f>ROUND(D6/G6,6)</f>
        <v>1.9000000000000001E-5</v>
      </c>
      <c r="R6" s="39">
        <f t="shared" si="7"/>
        <v>4.4700000000000002E-4</v>
      </c>
      <c r="S6" s="39">
        <f>ROUND(F6/G6,6)</f>
        <v>0</v>
      </c>
      <c r="T6" s="39">
        <f t="shared" si="8"/>
        <v>5.2599999999999999E-4</v>
      </c>
    </row>
    <row r="7" spans="2:25" ht="15.75" thickBot="1" x14ac:dyDescent="0.3">
      <c r="B7" s="10" t="s">
        <v>18</v>
      </c>
      <c r="C7" s="11">
        <f t="shared" si="0"/>
        <v>268959.49635834992</v>
      </c>
      <c r="D7" s="12">
        <f t="shared" si="0"/>
        <v>221000.8141801919</v>
      </c>
      <c r="E7" s="12">
        <f t="shared" si="1"/>
        <v>1274800.376296361</v>
      </c>
      <c r="F7" s="253">
        <f t="shared" si="1"/>
        <v>548.63432671505416</v>
      </c>
      <c r="G7" s="14">
        <f>PPC!B8</f>
        <v>2873169676.4508505</v>
      </c>
      <c r="H7" s="221">
        <f t="shared" ref="H7:H8" si="9">SUM(C7:F7)/G7</f>
        <v>6.1441178905321636E-4</v>
      </c>
      <c r="J7" s="223">
        <f t="shared" si="2"/>
        <v>9.3610724964419219E-5</v>
      </c>
      <c r="K7" s="223">
        <f t="shared" si="3"/>
        <v>7.6918817566384829E-5</v>
      </c>
      <c r="L7" s="223">
        <f t="shared" si="4"/>
        <v>4.4369129562549459E-4</v>
      </c>
      <c r="M7" s="223">
        <f t="shared" si="5"/>
        <v>1.9095089691770916E-7</v>
      </c>
      <c r="N7" s="153">
        <f t="shared" si="6"/>
        <v>0</v>
      </c>
      <c r="P7" s="39">
        <f>ROUND(C7/G7,6)</f>
        <v>9.3999999999999994E-5</v>
      </c>
      <c r="Q7" s="39">
        <f>ROUND(D7/G7,6)</f>
        <v>7.7000000000000001E-5</v>
      </c>
      <c r="R7" s="39">
        <f>+ROUND(E7/G7,6)</f>
        <v>4.44E-4</v>
      </c>
      <c r="S7" s="39">
        <f>ROUND(F7/G7,6)</f>
        <v>0</v>
      </c>
      <c r="T7" s="39">
        <f t="shared" si="8"/>
        <v>6.1499999999999999E-4</v>
      </c>
    </row>
    <row r="8" spans="2:25" ht="15.75" thickBot="1" x14ac:dyDescent="0.3">
      <c r="B8" s="10" t="s">
        <v>19</v>
      </c>
      <c r="C8" s="11">
        <f t="shared" si="0"/>
        <v>282399.5107137661</v>
      </c>
      <c r="D8" s="12">
        <f t="shared" si="0"/>
        <v>186224.75077531661</v>
      </c>
      <c r="E8" s="12">
        <f>E20+E30</f>
        <v>509577.56879529404</v>
      </c>
      <c r="F8" s="253">
        <f t="shared" si="1"/>
        <v>261.44379567698371</v>
      </c>
      <c r="G8" s="14">
        <f>PPC!B9</f>
        <v>869932432.58731532</v>
      </c>
      <c r="H8" s="221">
        <f t="shared" si="9"/>
        <v>1.1247577828199264E-3</v>
      </c>
      <c r="J8" s="223">
        <f t="shared" si="2"/>
        <v>3.2462235012191204E-4</v>
      </c>
      <c r="K8" s="223">
        <f t="shared" si="3"/>
        <v>2.1406806298904737E-4</v>
      </c>
      <c r="L8" s="223">
        <f t="shared" si="4"/>
        <v>5.8576683625845576E-4</v>
      </c>
      <c r="M8" s="223">
        <f t="shared" si="5"/>
        <v>3.0053345051110341E-7</v>
      </c>
      <c r="N8" s="153">
        <f t="shared" si="6"/>
        <v>0</v>
      </c>
      <c r="P8" s="39">
        <f>ROUND(C8/G8,6)</f>
        <v>3.2499999999999999E-4</v>
      </c>
      <c r="Q8" s="39">
        <f>ROUND(D8/G8,6)</f>
        <v>2.14E-4</v>
      </c>
      <c r="R8" s="39">
        <f t="shared" si="7"/>
        <v>5.8600000000000004E-4</v>
      </c>
      <c r="S8" s="39">
        <f>ROUND(F8/G8,6)</f>
        <v>0</v>
      </c>
      <c r="T8" s="39">
        <f t="shared" si="8"/>
        <v>1.1250000000000001E-3</v>
      </c>
    </row>
    <row r="9" spans="2:25" ht="15.75" thickBot="1" x14ac:dyDescent="0.3">
      <c r="B9" s="10" t="s">
        <v>20</v>
      </c>
      <c r="C9" s="11">
        <f t="shared" si="0"/>
        <v>0</v>
      </c>
      <c r="D9" s="12">
        <f t="shared" si="0"/>
        <v>0</v>
      </c>
      <c r="E9" s="13">
        <v>0</v>
      </c>
      <c r="F9" s="255">
        <v>0</v>
      </c>
      <c r="G9" s="14">
        <v>0</v>
      </c>
      <c r="H9" s="221">
        <v>0</v>
      </c>
    </row>
    <row r="10" spans="2:25" x14ac:dyDescent="0.25">
      <c r="K10" s="146"/>
      <c r="L10" s="146"/>
    </row>
    <row r="14" spans="2:25" ht="15.75" thickBot="1" x14ac:dyDescent="0.3"/>
    <row r="15" spans="2:25" ht="27.75" thickBot="1" x14ac:dyDescent="0.3">
      <c r="B15" s="7" t="s">
        <v>11</v>
      </c>
      <c r="C15" s="8" t="s">
        <v>21</v>
      </c>
      <c r="D15" s="8" t="s">
        <v>22</v>
      </c>
      <c r="E15" s="8" t="s">
        <v>42</v>
      </c>
      <c r="F15" s="8" t="s">
        <v>129</v>
      </c>
      <c r="G15" s="8" t="s">
        <v>12</v>
      </c>
      <c r="J15" s="234" t="s">
        <v>160</v>
      </c>
    </row>
    <row r="16" spans="2:25" ht="15.75" thickBot="1" x14ac:dyDescent="0.3">
      <c r="B16" s="10" t="s">
        <v>15</v>
      </c>
      <c r="C16" s="13">
        <f>PPC!C5</f>
        <v>0</v>
      </c>
      <c r="D16" s="13">
        <f>PTD!B5</f>
        <v>1018523.3501884519</v>
      </c>
      <c r="E16" s="13">
        <f>EO!C12+EO!C30</f>
        <v>5426243.263050817</v>
      </c>
      <c r="F16" s="13">
        <v>0</v>
      </c>
      <c r="G16" s="11">
        <f>SUM(C16:F16)</f>
        <v>6444766.6132392688</v>
      </c>
      <c r="I16" s="19" t="s">
        <v>15</v>
      </c>
      <c r="J16" s="20">
        <f>SUM(C4:F4)</f>
        <v>1865894.047833161</v>
      </c>
      <c r="K16" s="20"/>
    </row>
    <row r="17" spans="2:14" ht="15.75" thickBot="1" x14ac:dyDescent="0.3">
      <c r="B17" s="10" t="s">
        <v>16</v>
      </c>
      <c r="C17" s="13">
        <f>PPC!C6</f>
        <v>0</v>
      </c>
      <c r="D17" s="13">
        <f>PTD!B6</f>
        <v>787914.4549988975</v>
      </c>
      <c r="E17" s="13">
        <f>EO!C13+EO!C31</f>
        <v>1339064.8333262214</v>
      </c>
      <c r="F17" s="13">
        <v>0</v>
      </c>
      <c r="G17" s="11">
        <f t="shared" ref="G17:G21" si="10">SUM(C17:F17)</f>
        <v>2126979.2883251188</v>
      </c>
      <c r="I17" s="19" t="s">
        <v>16</v>
      </c>
      <c r="J17" s="20">
        <f>SUM(C5:F5)</f>
        <v>2428067.3917537029</v>
      </c>
      <c r="K17" s="20"/>
    </row>
    <row r="18" spans="2:14" ht="15.75" thickBot="1" x14ac:dyDescent="0.3">
      <c r="B18" s="10" t="s">
        <v>17</v>
      </c>
      <c r="C18" s="13">
        <f>PPC!C7</f>
        <v>0</v>
      </c>
      <c r="D18" s="13">
        <f>PTD!B7</f>
        <v>1459406.6893896144</v>
      </c>
      <c r="E18" s="13">
        <f>EO!C14+EO!C32</f>
        <v>2868215.8248012303</v>
      </c>
      <c r="F18" s="13">
        <v>0</v>
      </c>
      <c r="G18" s="11">
        <f t="shared" si="10"/>
        <v>4327622.5141908452</v>
      </c>
      <c r="I18" s="19" t="s">
        <v>17</v>
      </c>
      <c r="J18" s="20">
        <f>SUM(C6:F6)</f>
        <v>3556429.6279699546</v>
      </c>
      <c r="K18" s="20"/>
    </row>
    <row r="19" spans="2:14" ht="15.75" thickBot="1" x14ac:dyDescent="0.3">
      <c r="B19" s="10" t="s">
        <v>18</v>
      </c>
      <c r="C19" s="13">
        <f>PPC!C8</f>
        <v>0</v>
      </c>
      <c r="D19" s="13">
        <f>PTD!B8</f>
        <v>492171.17950438627</v>
      </c>
      <c r="E19" s="13">
        <f>EO!C15+EO!C33</f>
        <v>1222231.7393161561</v>
      </c>
      <c r="F19" s="13">
        <v>0</v>
      </c>
      <c r="G19" s="11">
        <f t="shared" si="10"/>
        <v>1714402.9188205423</v>
      </c>
      <c r="I19" s="19" t="s">
        <v>18</v>
      </c>
      <c r="J19" s="20">
        <f t="shared" ref="J19:J21" si="11">SUM(C7:F7)</f>
        <v>1765309.3211616178</v>
      </c>
      <c r="K19" s="20"/>
    </row>
    <row r="20" spans="2:14" ht="15.75" thickBot="1" x14ac:dyDescent="0.3">
      <c r="B20" s="10" t="s">
        <v>19</v>
      </c>
      <c r="C20" s="13">
        <f>PPC!C9</f>
        <v>0</v>
      </c>
      <c r="D20" s="13">
        <f>PTD!B9</f>
        <v>88903.202190548065</v>
      </c>
      <c r="E20" s="13">
        <f>EO!C16+EO!C34</f>
        <v>446718.93402256747</v>
      </c>
      <c r="F20" s="13">
        <v>0</v>
      </c>
      <c r="G20" s="11">
        <f t="shared" si="10"/>
        <v>535622.13621311553</v>
      </c>
      <c r="I20" s="19" t="s">
        <v>19</v>
      </c>
      <c r="J20" s="20">
        <f t="shared" si="11"/>
        <v>978463.27408005379</v>
      </c>
      <c r="K20" s="20"/>
    </row>
    <row r="21" spans="2:14" ht="15.75" thickBot="1" x14ac:dyDescent="0.3">
      <c r="B21" s="10" t="s">
        <v>20</v>
      </c>
      <c r="C21" s="15">
        <v>0</v>
      </c>
      <c r="D21" s="13">
        <v>0</v>
      </c>
      <c r="E21" s="13">
        <v>0</v>
      </c>
      <c r="F21" s="13">
        <v>0</v>
      </c>
      <c r="G21" s="11">
        <f t="shared" si="10"/>
        <v>0</v>
      </c>
      <c r="I21" s="19" t="s">
        <v>20</v>
      </c>
      <c r="J21" s="20">
        <f t="shared" si="11"/>
        <v>0</v>
      </c>
      <c r="K21" s="20"/>
    </row>
    <row r="22" spans="2:14" ht="15.75" thickBot="1" x14ac:dyDescent="0.3">
      <c r="B22" s="10" t="s">
        <v>9</v>
      </c>
      <c r="C22" s="15">
        <f>SUM(C16:C21)</f>
        <v>0</v>
      </c>
      <c r="D22" s="13">
        <f t="shared" ref="D22:G22" si="12">SUM(D16:D21)</f>
        <v>3846918.8762718979</v>
      </c>
      <c r="E22" s="13">
        <f t="shared" si="12"/>
        <v>11302474.594516993</v>
      </c>
      <c r="F22" s="13">
        <f t="shared" si="12"/>
        <v>0</v>
      </c>
      <c r="G22" s="11">
        <f t="shared" si="12"/>
        <v>15149393.470788892</v>
      </c>
      <c r="I22" s="19" t="s">
        <v>9</v>
      </c>
      <c r="J22" s="174">
        <f>SUM(J16:J21)</f>
        <v>10594163.66279849</v>
      </c>
      <c r="K22" s="20"/>
      <c r="L22" s="20"/>
    </row>
    <row r="23" spans="2:14" ht="15.75" thickBot="1" x14ac:dyDescent="0.3">
      <c r="J23" s="20"/>
      <c r="L23" s="35"/>
    </row>
    <row r="24" spans="2:14" ht="15.75" thickBot="1" x14ac:dyDescent="0.3">
      <c r="I24" s="334" t="s">
        <v>170</v>
      </c>
      <c r="J24" s="335"/>
      <c r="K24" s="335"/>
      <c r="L24" s="336"/>
    </row>
    <row r="25" spans="2:14" ht="27.75" thickBot="1" x14ac:dyDescent="0.3">
      <c r="B25" s="7" t="s">
        <v>11</v>
      </c>
      <c r="C25" s="8" t="s">
        <v>23</v>
      </c>
      <c r="D25" s="8" t="s">
        <v>24</v>
      </c>
      <c r="E25" s="8" t="s">
        <v>41</v>
      </c>
      <c r="F25" s="8" t="s">
        <v>130</v>
      </c>
      <c r="G25" s="8" t="s">
        <v>32</v>
      </c>
      <c r="I25" s="110"/>
      <c r="J25" s="313" t="s">
        <v>118</v>
      </c>
      <c r="K25" s="313" t="s">
        <v>119</v>
      </c>
      <c r="L25" s="314" t="s">
        <v>9</v>
      </c>
      <c r="N25" s="147"/>
    </row>
    <row r="26" spans="2:14" ht="15.75" thickBot="1" x14ac:dyDescent="0.3">
      <c r="B26" s="10" t="s">
        <v>15</v>
      </c>
      <c r="C26" s="224">
        <f>'PCR (M3)'!H4</f>
        <v>-3334687.8529507732</v>
      </c>
      <c r="D26" s="224">
        <f>'TDR (M3)'!G4</f>
        <v>-1105039.5833444153</v>
      </c>
      <c r="E26" s="13">
        <f>'EOR (M3)'!G4</f>
        <v>-154577.5299010897</v>
      </c>
      <c r="F26" s="13">
        <f>'OAR (M3)'!G4</f>
        <v>15432.400790170872</v>
      </c>
      <c r="G26" s="225">
        <f>SUM(C26:F26)</f>
        <v>-4578872.5654061083</v>
      </c>
      <c r="I26" s="111" t="s">
        <v>15</v>
      </c>
      <c r="J26" s="147">
        <f>+G26+'tariff tables (M4)'!G26</f>
        <v>-3626589.5468943892</v>
      </c>
      <c r="K26" s="20">
        <f>+G16+'tariff tables (M4)'!G16</f>
        <v>30945476.523855541</v>
      </c>
      <c r="L26" s="315">
        <f>+K26+J26</f>
        <v>27318886.976961151</v>
      </c>
    </row>
    <row r="27" spans="2:14" ht="15.75" thickBot="1" x14ac:dyDescent="0.3">
      <c r="B27" s="10" t="s">
        <v>16</v>
      </c>
      <c r="C27" s="253">
        <f>'PCR (M3)'!H5</f>
        <v>174692.56089818483</v>
      </c>
      <c r="D27" s="253">
        <f>'TDR (M3)'!G5</f>
        <v>115314.71453531174</v>
      </c>
      <c r="E27" s="13">
        <f>'EOR (M3)'!G5</f>
        <v>10755.073769624792</v>
      </c>
      <c r="F27" s="13">
        <f>'OAR (M3)'!G5</f>
        <v>325.75422546280623</v>
      </c>
      <c r="G27" s="254">
        <f t="shared" ref="G27:G31" si="13">SUM(C27:F27)</f>
        <v>301088.10342858417</v>
      </c>
      <c r="I27" s="111" t="s">
        <v>16</v>
      </c>
      <c r="J27" s="147">
        <f>+G27+'tariff tables (M4)'!G27</f>
        <v>319521.1132176299</v>
      </c>
      <c r="K27" s="20">
        <f>+G17+'tariff tables (M4)'!G17</f>
        <v>8673323.2866206281</v>
      </c>
      <c r="L27" s="315">
        <f t="shared" ref="L27:L31" si="14">+K27+J27</f>
        <v>8992844.3998382576</v>
      </c>
    </row>
    <row r="28" spans="2:14" ht="15.75" thickBot="1" x14ac:dyDescent="0.3">
      <c r="B28" s="10" t="s">
        <v>17</v>
      </c>
      <c r="C28" s="253">
        <f>'PCR (M3)'!H6</f>
        <v>408751.9594458869</v>
      </c>
      <c r="D28" s="224">
        <f>'TDR (M3)'!G6</f>
        <v>-1328743.9274619969</v>
      </c>
      <c r="E28" s="13">
        <f>'EOR (M3)'!G6</f>
        <v>150625.63079964649</v>
      </c>
      <c r="F28" s="13">
        <f>'OAR (M3)'!G6</f>
        <v>-1826.5490044265521</v>
      </c>
      <c r="G28" s="225">
        <f t="shared" si="13"/>
        <v>-771192.8862208901</v>
      </c>
      <c r="I28" s="111" t="s">
        <v>17</v>
      </c>
      <c r="J28" s="147">
        <f>+G28+'tariff tables (M4)'!G28</f>
        <v>-736622.83721446875</v>
      </c>
      <c r="K28" s="20">
        <f>+G18+'tariff tables (M4)'!G18</f>
        <v>18494837.733840723</v>
      </c>
      <c r="L28" s="315">
        <f t="shared" si="14"/>
        <v>17758214.896626253</v>
      </c>
    </row>
    <row r="29" spans="2:14" ht="15.75" thickBot="1" x14ac:dyDescent="0.3">
      <c r="B29" s="10" t="s">
        <v>18</v>
      </c>
      <c r="C29" s="253">
        <f>'PCR (M3)'!H7</f>
        <v>268959.49635834992</v>
      </c>
      <c r="D29" s="224">
        <f>'TDR (M3)'!G7</f>
        <v>-271170.36532419437</v>
      </c>
      <c r="E29" s="13">
        <f>'EOR (M3)'!G7</f>
        <v>52568.636980204879</v>
      </c>
      <c r="F29" s="13">
        <f>'OAR (M3)'!G7</f>
        <v>548.63432671505416</v>
      </c>
      <c r="G29" s="254">
        <f t="shared" si="13"/>
        <v>50906.402341075482</v>
      </c>
      <c r="I29" s="111" t="s">
        <v>18</v>
      </c>
      <c r="J29" s="147">
        <f>+G29+'tariff tables (M4)'!G29</f>
        <v>65378.190163241088</v>
      </c>
      <c r="K29" s="20">
        <f>+G19+'tariff tables (M4)'!G19</f>
        <v>7687191.2727789227</v>
      </c>
      <c r="L29" s="315">
        <f t="shared" si="14"/>
        <v>7752569.4629421635</v>
      </c>
    </row>
    <row r="30" spans="2:14" ht="15.75" thickBot="1" x14ac:dyDescent="0.3">
      <c r="B30" s="10" t="s">
        <v>19</v>
      </c>
      <c r="C30" s="253">
        <f>'PCR (M3)'!H8</f>
        <v>282399.5107137661</v>
      </c>
      <c r="D30" s="253">
        <f>'TDR (M3)'!G8</f>
        <v>97321.548584768563</v>
      </c>
      <c r="E30" s="13">
        <f>'EOR (M3)'!G8</f>
        <v>62858.634772726567</v>
      </c>
      <c r="F30" s="13">
        <f>'OAR (M3)'!G8</f>
        <v>261.44379567698371</v>
      </c>
      <c r="G30" s="254">
        <f>SUM(C30:F30)</f>
        <v>442841.1378669382</v>
      </c>
      <c r="I30" s="111" t="s">
        <v>19</v>
      </c>
      <c r="J30" s="147">
        <f>+G30+'tariff tables (M4)'!G30</f>
        <v>446806.18509368395</v>
      </c>
      <c r="K30" s="20">
        <f>+G20+'tariff tables (M4)'!G20</f>
        <v>2324914.1934958142</v>
      </c>
      <c r="L30" s="315">
        <f t="shared" si="14"/>
        <v>2771720.3785894983</v>
      </c>
    </row>
    <row r="31" spans="2:14" ht="15.75" thickBot="1" x14ac:dyDescent="0.3">
      <c r="B31" s="10" t="s">
        <v>20</v>
      </c>
      <c r="C31" s="12">
        <v>0</v>
      </c>
      <c r="D31" s="12">
        <v>0</v>
      </c>
      <c r="E31" s="13">
        <v>0</v>
      </c>
      <c r="F31" s="13">
        <v>0</v>
      </c>
      <c r="G31" s="16">
        <f t="shared" si="13"/>
        <v>0</v>
      </c>
      <c r="I31" s="111" t="s">
        <v>20</v>
      </c>
      <c r="J31" s="147">
        <f>+G31+'tariff tables (M4)'!G31</f>
        <v>0</v>
      </c>
      <c r="K31" s="20">
        <f>+G21+'tariff tables (M4)'!G21</f>
        <v>0</v>
      </c>
      <c r="L31" s="315">
        <f t="shared" si="14"/>
        <v>0</v>
      </c>
    </row>
    <row r="32" spans="2:14" ht="15.75" thickBot="1" x14ac:dyDescent="0.3">
      <c r="B32" s="10" t="s">
        <v>9</v>
      </c>
      <c r="C32" s="224">
        <f>SUM(C26:C31)</f>
        <v>-2199884.3255345859</v>
      </c>
      <c r="D32" s="224">
        <f t="shared" ref="D32:G32" si="15">SUM(D26:D31)</f>
        <v>-2492317.6130105266</v>
      </c>
      <c r="E32" s="13">
        <f t="shared" si="15"/>
        <v>122230.44642111301</v>
      </c>
      <c r="F32" s="13">
        <f t="shared" si="15"/>
        <v>14741.684133599163</v>
      </c>
      <c r="G32" s="225">
        <f t="shared" si="15"/>
        <v>-4555229.8079904001</v>
      </c>
      <c r="I32" s="112" t="s">
        <v>9</v>
      </c>
      <c r="J32" s="316">
        <f>SUM(J26:J31)</f>
        <v>-3531506.8956343024</v>
      </c>
      <c r="K32" s="316">
        <f>SUM(K26:K31)</f>
        <v>68125743.010591626</v>
      </c>
      <c r="L32" s="317">
        <f>SUM(L26:L31)</f>
        <v>64594236.11495731</v>
      </c>
    </row>
    <row r="33" spans="3:12" x14ac:dyDescent="0.25">
      <c r="K33" s="147"/>
      <c r="L33" s="147"/>
    </row>
    <row r="34" spans="3:12" x14ac:dyDescent="0.25">
      <c r="E34" s="20"/>
      <c r="F34" s="147"/>
      <c r="G34" s="147"/>
      <c r="H34" s="20"/>
      <c r="I34" s="147"/>
      <c r="J34" s="147"/>
      <c r="K34" s="147"/>
      <c r="L34" s="147"/>
    </row>
    <row r="35" spans="3:12" x14ac:dyDescent="0.25">
      <c r="C35" s="36"/>
      <c r="E35" s="20"/>
      <c r="F35" s="20"/>
      <c r="G35" s="20"/>
      <c r="H35" s="20"/>
      <c r="J35" s="147"/>
      <c r="K35" s="147"/>
      <c r="L35" s="147"/>
    </row>
    <row r="36" spans="3:12" x14ac:dyDescent="0.25">
      <c r="C36" s="36"/>
      <c r="E36" s="20"/>
      <c r="G36" s="20"/>
      <c r="H36" s="20"/>
    </row>
    <row r="37" spans="3:12" x14ac:dyDescent="0.25">
      <c r="C37" s="36"/>
      <c r="D37" s="36"/>
      <c r="E37" s="36"/>
    </row>
    <row r="38" spans="3:12" x14ac:dyDescent="0.25">
      <c r="C38" s="36"/>
      <c r="D38" s="36"/>
      <c r="E38" s="36"/>
    </row>
    <row r="39" spans="3:12" x14ac:dyDescent="0.25">
      <c r="C39" s="36"/>
      <c r="D39" s="36"/>
      <c r="E39" s="36"/>
    </row>
    <row r="40" spans="3:12" x14ac:dyDescent="0.25">
      <c r="D40" s="36"/>
      <c r="E40" s="36"/>
    </row>
    <row r="41" spans="3:12" x14ac:dyDescent="0.25">
      <c r="D41" s="36"/>
      <c r="E41" s="36"/>
    </row>
    <row r="42" spans="3:12" x14ac:dyDescent="0.25">
      <c r="D42" s="36"/>
      <c r="E42" s="36"/>
    </row>
  </sheetData>
  <mergeCells count="3">
    <mergeCell ref="J2:M2"/>
    <mergeCell ref="P2:T2"/>
    <mergeCell ref="I24:L2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sheetPr>
  <dimension ref="B2:Y42"/>
  <sheetViews>
    <sheetView workbookViewId="0">
      <selection activeCell="P15" sqref="P15"/>
    </sheetView>
  </sheetViews>
  <sheetFormatPr defaultRowHeight="15" x14ac:dyDescent="0.25"/>
  <cols>
    <col min="3" max="3" width="16.5703125" customWidth="1"/>
    <col min="4" max="4" width="15.5703125" customWidth="1"/>
    <col min="5" max="5" width="16.140625" customWidth="1"/>
    <col min="6" max="6" width="17.28515625" bestFit="1" customWidth="1"/>
    <col min="7" max="7" width="17.140625" customWidth="1"/>
    <col min="8" max="8" width="17.28515625" bestFit="1" customWidth="1"/>
    <col min="9" max="9" width="5.7109375" customWidth="1"/>
    <col min="10" max="10" width="16" bestFit="1" customWidth="1"/>
    <col min="11" max="11" width="17.5703125" customWidth="1"/>
    <col min="12" max="13" width="16" bestFit="1" customWidth="1"/>
    <col min="14" max="14" width="11" bestFit="1" customWidth="1"/>
    <col min="15" max="15" width="2.5703125" customWidth="1"/>
    <col min="16" max="20" width="11" bestFit="1" customWidth="1"/>
  </cols>
  <sheetData>
    <row r="2" spans="2:25" ht="15.75" thickBot="1" x14ac:dyDescent="0.3">
      <c r="J2" s="333" t="s">
        <v>28</v>
      </c>
      <c r="K2" s="333"/>
      <c r="L2" s="333"/>
      <c r="M2" s="333"/>
      <c r="P2" s="333" t="s">
        <v>133</v>
      </c>
      <c r="Q2" s="333"/>
      <c r="R2" s="333"/>
      <c r="S2" s="333"/>
      <c r="T2" s="333"/>
    </row>
    <row r="3" spans="2:25" ht="27.75" thickBot="1" x14ac:dyDescent="0.3">
      <c r="B3" s="7" t="s">
        <v>11</v>
      </c>
      <c r="C3" s="8" t="s">
        <v>33</v>
      </c>
      <c r="D3" s="8" t="s">
        <v>34</v>
      </c>
      <c r="E3" s="8" t="s">
        <v>43</v>
      </c>
      <c r="F3" s="8" t="s">
        <v>35</v>
      </c>
      <c r="G3" s="8" t="s">
        <v>13</v>
      </c>
      <c r="H3" s="9" t="s">
        <v>14</v>
      </c>
      <c r="J3" s="30" t="s">
        <v>29</v>
      </c>
      <c r="K3" s="30" t="s">
        <v>44</v>
      </c>
      <c r="L3" s="30" t="s">
        <v>132</v>
      </c>
      <c r="M3" s="30" t="s">
        <v>131</v>
      </c>
      <c r="N3" s="30"/>
      <c r="P3" t="s">
        <v>33</v>
      </c>
      <c r="Q3" t="s">
        <v>34</v>
      </c>
      <c r="R3" t="s">
        <v>43</v>
      </c>
      <c r="S3" t="s">
        <v>35</v>
      </c>
      <c r="T3" t="s">
        <v>9</v>
      </c>
    </row>
    <row r="4" spans="2:25" ht="15.75" thickBot="1" x14ac:dyDescent="0.3">
      <c r="B4" s="10" t="s">
        <v>15</v>
      </c>
      <c r="C4" s="200">
        <f>C16+C26</f>
        <v>24600848.500665739</v>
      </c>
      <c r="D4" s="253">
        <f>D16+D26</f>
        <v>852144.42846225318</v>
      </c>
      <c r="E4" s="253">
        <f>E16+E26</f>
        <v>0</v>
      </c>
      <c r="F4" s="253">
        <f>F16+F26</f>
        <v>0</v>
      </c>
      <c r="G4" s="14">
        <f>PPC!B15</f>
        <v>12583693951.443453</v>
      </c>
      <c r="H4" s="273">
        <f>SUM(C4:F4)/G4</f>
        <v>2.0226964377346706E-3</v>
      </c>
      <c r="J4" s="223">
        <f>C4/G4</f>
        <v>1.9549782913977991E-3</v>
      </c>
      <c r="K4" s="223">
        <f>(D4)/G4</f>
        <v>6.7718146336871553E-5</v>
      </c>
      <c r="L4" s="223">
        <f>(E4)/G4</f>
        <v>0</v>
      </c>
      <c r="M4" s="223">
        <f>(F4)/G4</f>
        <v>0</v>
      </c>
      <c r="N4" s="153">
        <f>SUM(J4:M4)-H4</f>
        <v>0</v>
      </c>
      <c r="P4" s="39">
        <f>ROUND(C4/G4,6)</f>
        <v>1.9550000000000001E-3</v>
      </c>
      <c r="Q4" s="39">
        <f>ROUND(D4/G4,6)</f>
        <v>6.7999999999999999E-5</v>
      </c>
      <c r="R4" s="39">
        <f>+ROUND(E4/G4,6)</f>
        <v>0</v>
      </c>
      <c r="S4" s="39">
        <f>ROUND(F4/G4,6)</f>
        <v>0</v>
      </c>
      <c r="T4" s="39">
        <f>SUM(P4:S4)</f>
        <v>2.0230000000000001E-3</v>
      </c>
      <c r="W4" s="37"/>
      <c r="Y4" s="38"/>
    </row>
    <row r="5" spans="2:25" ht="15.75" thickBot="1" x14ac:dyDescent="0.3">
      <c r="B5" s="10" t="s">
        <v>16</v>
      </c>
      <c r="C5" s="253">
        <f t="shared" ref="C5:D9" si="0">C17+C27</f>
        <v>6466010.7494377038</v>
      </c>
      <c r="D5" s="253">
        <f>D17+D27</f>
        <v>98766.258646850925</v>
      </c>
      <c r="E5" s="253">
        <f>E17+E27</f>
        <v>0</v>
      </c>
      <c r="F5" s="253">
        <f t="shared" ref="F5:F8" si="1">F17+F27</f>
        <v>0</v>
      </c>
      <c r="G5" s="14">
        <f>PPC!B6</f>
        <v>3189499539.3651609</v>
      </c>
      <c r="H5" s="273">
        <f t="shared" ref="H5:H8" si="2">SUM(C5:F5)/G5</f>
        <v>2.0582467334016954E-3</v>
      </c>
      <c r="J5" s="223">
        <f t="shared" ref="J5:J8" si="3">C5/G5</f>
        <v>2.0272806657074169E-3</v>
      </c>
      <c r="K5" s="223">
        <f t="shared" ref="K5:K8" si="4">(D5)/G5</f>
        <v>3.0966067694278264E-5</v>
      </c>
      <c r="L5" s="223">
        <f t="shared" ref="L5:L8" si="5">(E5)/G5</f>
        <v>0</v>
      </c>
      <c r="M5" s="223">
        <f t="shared" ref="M5:M8" si="6">(F5)/G5</f>
        <v>0</v>
      </c>
      <c r="N5" s="153">
        <f t="shared" ref="N5:N8" si="7">SUM(J5:M5)-H5</f>
        <v>0</v>
      </c>
      <c r="P5" s="39">
        <f>ROUND(C5/G5,6)</f>
        <v>2.0270000000000002E-3</v>
      </c>
      <c r="Q5" s="39">
        <f>ROUND(D5/G5,6)</f>
        <v>3.1000000000000001E-5</v>
      </c>
      <c r="R5" s="39">
        <f t="shared" ref="R5:R8" si="8">+ROUND(E5/G5,6)</f>
        <v>0</v>
      </c>
      <c r="S5" s="39">
        <f>ROUND(F5/G5,6)</f>
        <v>0</v>
      </c>
      <c r="T5" s="39">
        <f t="shared" ref="T5:T8" si="9">SUM(P5:S5)</f>
        <v>2.0580000000000004E-3</v>
      </c>
      <c r="W5" s="37"/>
    </row>
    <row r="6" spans="2:25" ht="15.75" thickBot="1" x14ac:dyDescent="0.3">
      <c r="B6" s="10" t="s">
        <v>17</v>
      </c>
      <c r="C6" s="253">
        <f t="shared" si="0"/>
        <v>13696140.760510001</v>
      </c>
      <c r="D6" s="253">
        <f t="shared" si="0"/>
        <v>505644.50814629829</v>
      </c>
      <c r="E6" s="253">
        <f t="shared" ref="E6" si="10">E18+E28</f>
        <v>0</v>
      </c>
      <c r="F6" s="253">
        <f t="shared" si="1"/>
        <v>0</v>
      </c>
      <c r="G6" s="14">
        <f>PPC!B7</f>
        <v>6758129930.8800106</v>
      </c>
      <c r="H6" s="273">
        <f t="shared" si="2"/>
        <v>2.1014371451729416E-3</v>
      </c>
      <c r="J6" s="223">
        <f t="shared" si="3"/>
        <v>2.0266169636555887E-3</v>
      </c>
      <c r="K6" s="223">
        <f t="shared" si="4"/>
        <v>7.4820181517352939E-5</v>
      </c>
      <c r="L6" s="223">
        <f t="shared" si="5"/>
        <v>0</v>
      </c>
      <c r="M6" s="223">
        <f t="shared" si="6"/>
        <v>0</v>
      </c>
      <c r="N6" s="153">
        <f t="shared" si="7"/>
        <v>0</v>
      </c>
      <c r="P6" s="39">
        <f>ROUND(C6/G6,6)</f>
        <v>2.0270000000000002E-3</v>
      </c>
      <c r="Q6" s="39">
        <f>ROUND(D6/G6,6)</f>
        <v>7.4999999999999993E-5</v>
      </c>
      <c r="R6" s="39">
        <f t="shared" si="8"/>
        <v>0</v>
      </c>
      <c r="S6" s="39">
        <f>ROUND(F6/G6,6)</f>
        <v>0</v>
      </c>
      <c r="T6" s="39">
        <f t="shared" si="9"/>
        <v>2.1020000000000001E-3</v>
      </c>
    </row>
    <row r="7" spans="2:25" ht="15.75" thickBot="1" x14ac:dyDescent="0.3">
      <c r="B7" s="10" t="s">
        <v>18</v>
      </c>
      <c r="C7" s="253">
        <f t="shared" si="0"/>
        <v>5822589.0740975505</v>
      </c>
      <c r="D7" s="253">
        <f t="shared" si="0"/>
        <v>164671.06768299587</v>
      </c>
      <c r="E7" s="253">
        <f t="shared" ref="E7" si="11">E19+E29</f>
        <v>0</v>
      </c>
      <c r="F7" s="253">
        <f t="shared" si="1"/>
        <v>0</v>
      </c>
      <c r="G7" s="14">
        <f>PPC!B8</f>
        <v>2873169676.4508505</v>
      </c>
      <c r="H7" s="273">
        <f t="shared" si="2"/>
        <v>2.0838519182676493E-3</v>
      </c>
      <c r="J7" s="223">
        <f t="shared" si="3"/>
        <v>2.026538537497736E-3</v>
      </c>
      <c r="K7" s="223">
        <f t="shared" si="4"/>
        <v>5.731338076991319E-5</v>
      </c>
      <c r="L7" s="223">
        <f t="shared" si="5"/>
        <v>0</v>
      </c>
      <c r="M7" s="223">
        <f t="shared" si="6"/>
        <v>0</v>
      </c>
      <c r="N7" s="153">
        <f t="shared" si="7"/>
        <v>0</v>
      </c>
      <c r="P7" s="39">
        <f>ROUND(C7/G7,6)</f>
        <v>2.0270000000000002E-3</v>
      </c>
      <c r="Q7" s="39">
        <f>ROUND(D7/G7,6)</f>
        <v>5.7000000000000003E-5</v>
      </c>
      <c r="R7" s="39">
        <f t="shared" si="8"/>
        <v>0</v>
      </c>
      <c r="S7" s="39">
        <f>ROUND(F7/G7,6)</f>
        <v>0</v>
      </c>
      <c r="T7" s="39">
        <f t="shared" si="9"/>
        <v>2.0840000000000003E-3</v>
      </c>
    </row>
    <row r="8" spans="2:25" ht="15.75" thickBot="1" x14ac:dyDescent="0.3">
      <c r="B8" s="10" t="s">
        <v>19</v>
      </c>
      <c r="C8" s="253">
        <f t="shared" si="0"/>
        <v>1762535.0654513179</v>
      </c>
      <c r="D8" s="253">
        <f t="shared" si="0"/>
        <v>30722.039058126273</v>
      </c>
      <c r="E8" s="253">
        <f t="shared" ref="E8" si="12">E20+E30</f>
        <v>0</v>
      </c>
      <c r="F8" s="253">
        <f t="shared" si="1"/>
        <v>0</v>
      </c>
      <c r="G8" s="14">
        <f>PPC!B9</f>
        <v>869932432.58731532</v>
      </c>
      <c r="H8" s="273">
        <f t="shared" si="2"/>
        <v>2.0613751566613244E-3</v>
      </c>
      <c r="J8" s="223">
        <f t="shared" si="3"/>
        <v>2.0260597253619599E-3</v>
      </c>
      <c r="K8" s="223">
        <f t="shared" si="4"/>
        <v>3.5315431299364383E-5</v>
      </c>
      <c r="L8" s="223">
        <f t="shared" si="5"/>
        <v>0</v>
      </c>
      <c r="M8" s="223">
        <f t="shared" si="6"/>
        <v>0</v>
      </c>
      <c r="N8" s="153">
        <f t="shared" si="7"/>
        <v>0</v>
      </c>
      <c r="P8" s="39">
        <f>ROUND(C8/G8,6)</f>
        <v>2.026E-3</v>
      </c>
      <c r="Q8" s="39">
        <f>ROUND(D8/G8,6)</f>
        <v>3.4999999999999997E-5</v>
      </c>
      <c r="R8" s="39">
        <f t="shared" si="8"/>
        <v>0</v>
      </c>
      <c r="S8" s="39">
        <f>ROUND(F8/G8,6)</f>
        <v>0</v>
      </c>
      <c r="T8" s="39">
        <f t="shared" si="9"/>
        <v>2.0609999999999999E-3</v>
      </c>
    </row>
    <row r="9" spans="2:25" ht="15.75" thickBot="1" x14ac:dyDescent="0.3">
      <c r="B9" s="10" t="s">
        <v>20</v>
      </c>
      <c r="C9" s="200">
        <f t="shared" si="0"/>
        <v>0</v>
      </c>
      <c r="D9" s="12">
        <f t="shared" si="0"/>
        <v>0</v>
      </c>
      <c r="E9" s="13">
        <v>0</v>
      </c>
      <c r="F9" s="13">
        <v>0</v>
      </c>
      <c r="G9" s="14">
        <v>0</v>
      </c>
      <c r="H9" s="222">
        <v>0</v>
      </c>
    </row>
    <row r="10" spans="2:25" x14ac:dyDescent="0.25">
      <c r="K10" s="146"/>
      <c r="L10" s="146"/>
    </row>
    <row r="14" spans="2:25" ht="15.75" thickBot="1" x14ac:dyDescent="0.3">
      <c r="J14" s="2"/>
    </row>
    <row r="15" spans="2:25" ht="27.75" thickBot="1" x14ac:dyDescent="0.3">
      <c r="B15" s="7" t="s">
        <v>11</v>
      </c>
      <c r="C15" s="8" t="s">
        <v>21</v>
      </c>
      <c r="D15" s="8" t="s">
        <v>22</v>
      </c>
      <c r="E15" s="8" t="s">
        <v>42</v>
      </c>
      <c r="F15" s="8" t="s">
        <v>129</v>
      </c>
      <c r="G15" s="8" t="s">
        <v>12</v>
      </c>
      <c r="J15" s="234" t="s">
        <v>172</v>
      </c>
      <c r="K15" s="173"/>
      <c r="L15" s="196"/>
    </row>
    <row r="16" spans="2:25" ht="15.75" thickBot="1" x14ac:dyDescent="0.3">
      <c r="B16" s="10" t="s">
        <v>15</v>
      </c>
      <c r="C16" s="13">
        <f>PPC!D5</f>
        <v>23650248.42738666</v>
      </c>
      <c r="D16" s="13">
        <f>PTD!C5</f>
        <v>850461.4832296127</v>
      </c>
      <c r="E16" s="13">
        <v>0</v>
      </c>
      <c r="F16" s="13">
        <v>0</v>
      </c>
      <c r="G16" s="11">
        <f>SUM(C16:F16)</f>
        <v>24500709.910616271</v>
      </c>
      <c r="I16" s="19" t="s">
        <v>15</v>
      </c>
      <c r="J16" s="20">
        <f>SUM(C4:F4)</f>
        <v>25452992.929127991</v>
      </c>
      <c r="K16" s="20"/>
      <c r="L16" s="20"/>
    </row>
    <row r="17" spans="2:12" ht="15.75" thickBot="1" x14ac:dyDescent="0.3">
      <c r="B17" s="10" t="s">
        <v>16</v>
      </c>
      <c r="C17" s="13">
        <f>PPC!D6</f>
        <v>6447584.6784696877</v>
      </c>
      <c r="D17" s="13">
        <f>PTD!C6</f>
        <v>98759.319825821323</v>
      </c>
      <c r="E17" s="13">
        <v>0</v>
      </c>
      <c r="F17" s="13">
        <v>0</v>
      </c>
      <c r="G17" s="11">
        <f t="shared" ref="G17:G21" si="13">SUM(C17:F17)</f>
        <v>6546343.9982955093</v>
      </c>
      <c r="I17" s="19" t="s">
        <v>16</v>
      </c>
      <c r="J17" s="20">
        <f t="shared" ref="J17:J21" si="14">SUM(C5:F5)</f>
        <v>6564777.0080845542</v>
      </c>
      <c r="K17" s="20"/>
      <c r="L17" s="20"/>
    </row>
    <row r="18" spans="2:12" ht="15.75" thickBot="1" x14ac:dyDescent="0.3">
      <c r="B18" s="10" t="s">
        <v>17</v>
      </c>
      <c r="C18" s="13">
        <f>PPC!D7</f>
        <v>13661583.724863078</v>
      </c>
      <c r="D18" s="13">
        <f>PTD!C7</f>
        <v>505631.49478679895</v>
      </c>
      <c r="E18" s="13">
        <v>0</v>
      </c>
      <c r="F18" s="13">
        <v>0</v>
      </c>
      <c r="G18" s="11">
        <f t="shared" si="13"/>
        <v>14167215.219649877</v>
      </c>
      <c r="I18" s="19" t="s">
        <v>17</v>
      </c>
      <c r="J18" s="20">
        <f t="shared" si="14"/>
        <v>14201785.2686563</v>
      </c>
      <c r="K18" s="20"/>
      <c r="L18" s="20"/>
    </row>
    <row r="19" spans="2:12" ht="15.75" thickBot="1" x14ac:dyDescent="0.3">
      <c r="B19" s="10" t="s">
        <v>18</v>
      </c>
      <c r="C19" s="13">
        <f>PPC!D8</f>
        <v>5808122.7339557596</v>
      </c>
      <c r="D19" s="13">
        <f>PTD!C8</f>
        <v>164665.62000262106</v>
      </c>
      <c r="E19" s="13">
        <v>0</v>
      </c>
      <c r="F19" s="13">
        <v>0</v>
      </c>
      <c r="G19" s="11">
        <f t="shared" si="13"/>
        <v>5972788.3539583804</v>
      </c>
      <c r="I19" s="19" t="s">
        <v>18</v>
      </c>
      <c r="J19" s="20">
        <f t="shared" si="14"/>
        <v>5987260.1417805459</v>
      </c>
      <c r="K19" s="20"/>
      <c r="L19" s="20"/>
    </row>
    <row r="20" spans="2:12" ht="15.75" thickBot="1" x14ac:dyDescent="0.3">
      <c r="B20" s="10" t="s">
        <v>19</v>
      </c>
      <c r="C20" s="13">
        <f>PPC!D9</f>
        <v>1758571.5108051868</v>
      </c>
      <c r="D20" s="13">
        <f>PTD!C9</f>
        <v>30720.546477511649</v>
      </c>
      <c r="E20" s="13">
        <v>0</v>
      </c>
      <c r="F20" s="13">
        <v>0</v>
      </c>
      <c r="G20" s="11">
        <f t="shared" si="13"/>
        <v>1789292.0572826986</v>
      </c>
      <c r="I20" s="19" t="s">
        <v>19</v>
      </c>
      <c r="J20" s="20">
        <f t="shared" si="14"/>
        <v>1793257.1045094442</v>
      </c>
      <c r="K20" s="20"/>
      <c r="L20" s="20"/>
    </row>
    <row r="21" spans="2:12" ht="15.75" thickBot="1" x14ac:dyDescent="0.3">
      <c r="B21" s="10" t="s">
        <v>20</v>
      </c>
      <c r="C21" s="13">
        <v>0</v>
      </c>
      <c r="D21" s="13">
        <v>0</v>
      </c>
      <c r="E21" s="13">
        <v>0</v>
      </c>
      <c r="F21" s="13">
        <v>0</v>
      </c>
      <c r="G21" s="11">
        <f t="shared" si="13"/>
        <v>0</v>
      </c>
      <c r="I21" s="19" t="s">
        <v>20</v>
      </c>
      <c r="J21" s="20">
        <f t="shared" si="14"/>
        <v>0</v>
      </c>
      <c r="K21" s="20"/>
      <c r="L21" s="20"/>
    </row>
    <row r="22" spans="2:12" ht="15.75" thickBot="1" x14ac:dyDescent="0.3">
      <c r="B22" s="10" t="s">
        <v>9</v>
      </c>
      <c r="C22" s="13">
        <f>SUM(C16:C21)</f>
        <v>51326111.075480372</v>
      </c>
      <c r="D22" s="13">
        <f>SUM(D16:D21)</f>
        <v>1650238.4643223658</v>
      </c>
      <c r="E22" s="13">
        <f>SUM(E16:E21)</f>
        <v>0</v>
      </c>
      <c r="F22" s="13">
        <f t="shared" ref="F22:G22" si="15">SUM(F16:F21)</f>
        <v>0</v>
      </c>
      <c r="G22" s="11">
        <f t="shared" si="15"/>
        <v>52976349.539802745</v>
      </c>
      <c r="I22" s="19" t="s">
        <v>9</v>
      </c>
      <c r="J22" s="174">
        <f>SUM(J16:J21)</f>
        <v>54000072.452158839</v>
      </c>
      <c r="K22" s="174"/>
      <c r="L22" s="20"/>
    </row>
    <row r="23" spans="2:12" x14ac:dyDescent="0.25">
      <c r="L23" s="35"/>
    </row>
    <row r="24" spans="2:12" ht="15.75" thickBot="1" x14ac:dyDescent="0.3">
      <c r="J24" s="174"/>
      <c r="L24" s="35"/>
    </row>
    <row r="25" spans="2:12" ht="27.75" thickBot="1" x14ac:dyDescent="0.3">
      <c r="B25" s="7" t="s">
        <v>11</v>
      </c>
      <c r="C25" s="8" t="s">
        <v>23</v>
      </c>
      <c r="D25" s="8" t="s">
        <v>24</v>
      </c>
      <c r="E25" s="8" t="s">
        <v>41</v>
      </c>
      <c r="F25" s="8" t="s">
        <v>130</v>
      </c>
      <c r="G25" s="8" t="s">
        <v>32</v>
      </c>
      <c r="J25" s="197"/>
      <c r="K25" s="173"/>
      <c r="L25" s="196"/>
    </row>
    <row r="26" spans="2:12" ht="15.75" thickBot="1" x14ac:dyDescent="0.3">
      <c r="B26" s="10" t="s">
        <v>15</v>
      </c>
      <c r="C26" s="253">
        <f>'PCR (M4)'!G4</f>
        <v>950600.0732790787</v>
      </c>
      <c r="D26" s="253">
        <f>'TDR (M4)'!F4</f>
        <v>1682.9452326404864</v>
      </c>
      <c r="E26" s="253">
        <v>0</v>
      </c>
      <c r="F26" s="253">
        <v>0</v>
      </c>
      <c r="G26" s="254">
        <f>SUM(C26:F26)</f>
        <v>952283.01851171919</v>
      </c>
      <c r="I26" s="19"/>
      <c r="J26" s="20"/>
      <c r="K26" s="20"/>
      <c r="L26" s="20"/>
    </row>
    <row r="27" spans="2:12" ht="15.75" thickBot="1" x14ac:dyDescent="0.3">
      <c r="B27" s="10" t="s">
        <v>16</v>
      </c>
      <c r="C27" s="253">
        <f>'PCR (M4)'!G5</f>
        <v>18426.070968016105</v>
      </c>
      <c r="D27" s="253">
        <f>'TDR (M4)'!F5</f>
        <v>6.9388210296002111</v>
      </c>
      <c r="E27" s="255">
        <v>0</v>
      </c>
      <c r="F27" s="253">
        <v>0</v>
      </c>
      <c r="G27" s="254">
        <f t="shared" ref="G27:G31" si="16">SUM(C27:F27)</f>
        <v>18433.009789045707</v>
      </c>
      <c r="I27" s="19"/>
      <c r="J27" s="20"/>
      <c r="K27" s="20"/>
      <c r="L27" s="20"/>
    </row>
    <row r="28" spans="2:12" ht="15.75" thickBot="1" x14ac:dyDescent="0.3">
      <c r="B28" s="10" t="s">
        <v>17</v>
      </c>
      <c r="C28" s="253">
        <f>'PCR (M4)'!G6</f>
        <v>34557.035646922006</v>
      </c>
      <c r="D28" s="253">
        <f>'TDR (M4)'!F6</f>
        <v>13.013359499359602</v>
      </c>
      <c r="E28" s="255">
        <v>0</v>
      </c>
      <c r="F28" s="253">
        <v>0</v>
      </c>
      <c r="G28" s="254">
        <f t="shared" si="16"/>
        <v>34570.049006421366</v>
      </c>
      <c r="I28" s="19"/>
      <c r="J28" s="20"/>
      <c r="K28" s="20"/>
      <c r="L28" s="20"/>
    </row>
    <row r="29" spans="2:12" ht="15.75" thickBot="1" x14ac:dyDescent="0.3">
      <c r="B29" s="10" t="s">
        <v>18</v>
      </c>
      <c r="C29" s="253">
        <f>'PCR (M4)'!G7</f>
        <v>14466.340141790803</v>
      </c>
      <c r="D29" s="253">
        <f>'TDR (M4)'!F7</f>
        <v>5.4476803748040341</v>
      </c>
      <c r="E29" s="255">
        <v>0</v>
      </c>
      <c r="F29" s="253">
        <v>0</v>
      </c>
      <c r="G29" s="254">
        <f t="shared" si="16"/>
        <v>14471.787822165606</v>
      </c>
      <c r="I29" s="19"/>
      <c r="J29" s="20"/>
      <c r="K29" s="20"/>
      <c r="L29" s="20"/>
    </row>
    <row r="30" spans="2:12" ht="15.75" thickBot="1" x14ac:dyDescent="0.3">
      <c r="B30" s="10" t="s">
        <v>19</v>
      </c>
      <c r="C30" s="253">
        <f>'PCR (M4)'!G8</f>
        <v>3963.5546461311092</v>
      </c>
      <c r="D30" s="253">
        <f>'TDR (M4)'!F8</f>
        <v>1.4925806146238503</v>
      </c>
      <c r="E30" s="255">
        <v>0</v>
      </c>
      <c r="F30" s="253">
        <v>0</v>
      </c>
      <c r="G30" s="254">
        <f t="shared" si="16"/>
        <v>3965.047226745733</v>
      </c>
      <c r="I30" s="19"/>
      <c r="J30" s="20"/>
      <c r="K30" s="20"/>
      <c r="L30" s="20"/>
    </row>
    <row r="31" spans="2:12" ht="15.75" thickBot="1" x14ac:dyDescent="0.3">
      <c r="B31" s="10" t="s">
        <v>20</v>
      </c>
      <c r="C31" s="253">
        <v>0</v>
      </c>
      <c r="D31" s="12">
        <v>0</v>
      </c>
      <c r="E31" s="255">
        <v>0</v>
      </c>
      <c r="F31" s="253">
        <v>0</v>
      </c>
      <c r="G31" s="16">
        <f t="shared" si="16"/>
        <v>0</v>
      </c>
      <c r="I31" s="19"/>
      <c r="J31" s="20"/>
      <c r="K31" s="20"/>
      <c r="L31" s="20"/>
    </row>
    <row r="32" spans="2:12" ht="15.75" thickBot="1" x14ac:dyDescent="0.3">
      <c r="B32" s="10" t="s">
        <v>9</v>
      </c>
      <c r="C32" s="253">
        <f>SUM(C26:C31)</f>
        <v>1022013.0746819386</v>
      </c>
      <c r="D32" s="12">
        <f t="shared" ref="D32:G32" si="17">SUM(D26:D31)</f>
        <v>1709.8376741588743</v>
      </c>
      <c r="E32" s="255">
        <f t="shared" si="17"/>
        <v>0</v>
      </c>
      <c r="F32" s="253">
        <f t="shared" si="17"/>
        <v>0</v>
      </c>
      <c r="G32" s="254">
        <f t="shared" si="17"/>
        <v>1023722.9123560976</v>
      </c>
      <c r="I32" s="19"/>
      <c r="J32" s="174"/>
      <c r="K32" s="174"/>
      <c r="L32" s="20"/>
    </row>
    <row r="33" spans="6:12" x14ac:dyDescent="0.25">
      <c r="F33" s="147"/>
      <c r="G33" s="20"/>
      <c r="H33" s="147"/>
      <c r="J33" s="35"/>
      <c r="K33" s="147"/>
      <c r="L33" s="147"/>
    </row>
    <row r="34" spans="6:12" x14ac:dyDescent="0.25">
      <c r="F34" s="147"/>
      <c r="G34" s="20"/>
      <c r="H34" s="147"/>
      <c r="J34" s="175"/>
      <c r="K34" s="147"/>
      <c r="L34" s="147"/>
    </row>
    <row r="35" spans="6:12" x14ac:dyDescent="0.25">
      <c r="F35" s="147"/>
      <c r="G35" s="20"/>
      <c r="H35" s="147"/>
      <c r="J35" s="30"/>
      <c r="K35" s="173"/>
      <c r="L35" s="147"/>
    </row>
    <row r="36" spans="6:12" x14ac:dyDescent="0.25">
      <c r="F36" s="147"/>
      <c r="G36" s="20"/>
      <c r="H36" s="147"/>
      <c r="I36" s="19"/>
      <c r="J36" s="20"/>
      <c r="K36" s="20"/>
      <c r="L36" s="20"/>
    </row>
    <row r="37" spans="6:12" x14ac:dyDescent="0.25">
      <c r="F37" s="147"/>
      <c r="G37" s="20"/>
      <c r="H37" s="147"/>
      <c r="I37" s="19"/>
      <c r="J37" s="20"/>
      <c r="K37" s="20"/>
      <c r="L37" s="20"/>
    </row>
    <row r="38" spans="6:12" x14ac:dyDescent="0.25">
      <c r="F38" s="147"/>
      <c r="G38" s="20"/>
      <c r="H38" s="147"/>
      <c r="I38" s="19"/>
      <c r="J38" s="20"/>
      <c r="K38" s="20"/>
      <c r="L38" s="20"/>
    </row>
    <row r="39" spans="6:12" x14ac:dyDescent="0.25">
      <c r="I39" s="19"/>
      <c r="J39" s="20"/>
      <c r="K39" s="20"/>
      <c r="L39" s="20"/>
    </row>
    <row r="40" spans="6:12" x14ac:dyDescent="0.25">
      <c r="I40" s="19"/>
      <c r="J40" s="20"/>
      <c r="K40" s="20"/>
      <c r="L40" s="20"/>
    </row>
    <row r="41" spans="6:12" x14ac:dyDescent="0.25">
      <c r="I41" s="19"/>
      <c r="J41" s="20"/>
      <c r="K41" s="20"/>
      <c r="L41" s="20"/>
    </row>
    <row r="42" spans="6:12" x14ac:dyDescent="0.25">
      <c r="I42" s="19"/>
      <c r="J42" s="174"/>
      <c r="K42" s="174"/>
      <c r="L42" s="20"/>
    </row>
  </sheetData>
  <mergeCells count="2">
    <mergeCell ref="J2:M2"/>
    <mergeCell ref="P2:T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92D050"/>
  </sheetPr>
  <dimension ref="C2:J32"/>
  <sheetViews>
    <sheetView zoomScaleNormal="100" workbookViewId="0">
      <selection activeCell="M15" sqref="M15"/>
    </sheetView>
  </sheetViews>
  <sheetFormatPr defaultRowHeight="15" x14ac:dyDescent="0.25"/>
  <cols>
    <col min="3" max="3" width="33.85546875" bestFit="1" customWidth="1"/>
    <col min="4" max="5" width="13.5703125" bestFit="1" customWidth="1"/>
    <col min="6" max="7" width="12.42578125" bestFit="1" customWidth="1"/>
    <col min="8" max="8" width="12" bestFit="1" customWidth="1"/>
    <col min="9" max="10" width="10.28515625" bestFit="1" customWidth="1"/>
  </cols>
  <sheetData>
    <row r="2" spans="3:10" x14ac:dyDescent="0.25">
      <c r="D2" s="39"/>
      <c r="E2" s="39"/>
      <c r="F2" s="39"/>
      <c r="G2" s="39"/>
      <c r="H2" s="39"/>
    </row>
    <row r="3" spans="3:10" ht="15.75" thickBot="1" x14ac:dyDescent="0.3">
      <c r="C3" s="46" t="s">
        <v>135</v>
      </c>
      <c r="H3" s="39"/>
    </row>
    <row r="4" spans="3:10" x14ac:dyDescent="0.25">
      <c r="C4" s="337" t="s">
        <v>11</v>
      </c>
      <c r="D4" s="43" t="s">
        <v>46</v>
      </c>
      <c r="E4" s="43" t="s">
        <v>48</v>
      </c>
      <c r="F4" s="43" t="s">
        <v>62</v>
      </c>
      <c r="G4" s="43" t="s">
        <v>49</v>
      </c>
      <c r="H4" s="39"/>
    </row>
    <row r="5" spans="3:10" ht="15.75" thickBot="1" x14ac:dyDescent="0.3">
      <c r="C5" s="338"/>
      <c r="D5" s="44" t="s">
        <v>47</v>
      </c>
      <c r="E5" s="44" t="s">
        <v>47</v>
      </c>
      <c r="F5" s="44" t="s">
        <v>47</v>
      </c>
      <c r="G5" s="44" t="s">
        <v>47</v>
      </c>
      <c r="H5" s="39"/>
      <c r="I5" s="39"/>
    </row>
    <row r="6" spans="3:10" ht="15.75" thickBot="1" x14ac:dyDescent="0.3">
      <c r="C6" s="45" t="s">
        <v>50</v>
      </c>
      <c r="D6" s="47">
        <f>+'tariff tables (M3)'!P4</f>
        <v>-2.6499999999999999E-4</v>
      </c>
      <c r="E6" s="47">
        <f>+'tariff tables (M3)'!Q4</f>
        <v>-6.9999999999999999E-6</v>
      </c>
      <c r="F6" s="47">
        <f>+'tariff tables (M3)'!R4</f>
        <v>4.1899999999999999E-4</v>
      </c>
      <c r="G6" s="47">
        <f>+'tariff tables (M3)'!S4</f>
        <v>9.9999999999999995E-7</v>
      </c>
      <c r="H6" s="39">
        <f>SUM(D6:G6)</f>
        <v>1.4799999999999999E-4</v>
      </c>
      <c r="I6" s="39"/>
    </row>
    <row r="7" spans="3:10" ht="15.75" thickBot="1" x14ac:dyDescent="0.3">
      <c r="C7" s="45" t="s">
        <v>51</v>
      </c>
      <c r="D7" s="47">
        <f>+'tariff tables (M3)'!P5</f>
        <v>5.5000000000000002E-5</v>
      </c>
      <c r="E7" s="47">
        <f>+'tariff tables (M3)'!Q5</f>
        <v>2.8299999999999999E-4</v>
      </c>
      <c r="F7" s="47">
        <f>+'tariff tables (M3)'!R5</f>
        <v>4.2299999999999998E-4</v>
      </c>
      <c r="G7" s="47">
        <f>+'tariff tables (M3)'!S5</f>
        <v>0</v>
      </c>
      <c r="H7" s="39">
        <f t="shared" ref="H7:H11" si="0">SUM(D7:G7)</f>
        <v>7.6099999999999996E-4</v>
      </c>
      <c r="I7" s="39"/>
    </row>
    <row r="8" spans="3:10" ht="15.75" thickBot="1" x14ac:dyDescent="0.3">
      <c r="C8" s="45" t="s">
        <v>52</v>
      </c>
      <c r="D8" s="47">
        <f>+'tariff tables (M3)'!P6</f>
        <v>6.0000000000000002E-5</v>
      </c>
      <c r="E8" s="47">
        <f>+'tariff tables (M3)'!Q6</f>
        <v>1.9000000000000001E-5</v>
      </c>
      <c r="F8" s="47">
        <f>+'tariff tables (M3)'!R6</f>
        <v>4.4700000000000002E-4</v>
      </c>
      <c r="G8" s="47">
        <f>+'tariff tables (M3)'!S6</f>
        <v>0</v>
      </c>
      <c r="H8" s="39">
        <f t="shared" si="0"/>
        <v>5.2599999999999999E-4</v>
      </c>
      <c r="I8" s="39"/>
    </row>
    <row r="9" spans="3:10" ht="15.75" thickBot="1" x14ac:dyDescent="0.3">
      <c r="C9" s="45" t="s">
        <v>53</v>
      </c>
      <c r="D9" s="47">
        <f>+'tariff tables (M3)'!P7</f>
        <v>9.3999999999999994E-5</v>
      </c>
      <c r="E9" s="47">
        <f>+'tariff tables (M3)'!Q7</f>
        <v>7.7000000000000001E-5</v>
      </c>
      <c r="F9" s="47">
        <f>+'tariff tables (M3)'!R7</f>
        <v>4.44E-4</v>
      </c>
      <c r="G9" s="47">
        <f>+'tariff tables (M3)'!S7</f>
        <v>0</v>
      </c>
      <c r="H9" s="39">
        <f t="shared" si="0"/>
        <v>6.1499999999999999E-4</v>
      </c>
      <c r="I9" s="39"/>
    </row>
    <row r="10" spans="3:10" ht="15.75" thickBot="1" x14ac:dyDescent="0.3">
      <c r="C10" s="45" t="s">
        <v>54</v>
      </c>
      <c r="D10" s="47">
        <f>+'tariff tables (M3)'!P8</f>
        <v>3.2499999999999999E-4</v>
      </c>
      <c r="E10" s="47">
        <f>+'tariff tables (M3)'!Q8</f>
        <v>2.14E-4</v>
      </c>
      <c r="F10" s="47">
        <f>+'tariff tables (M3)'!R8</f>
        <v>5.8600000000000004E-4</v>
      </c>
      <c r="G10" s="47">
        <f>+'tariff tables (M3)'!S8</f>
        <v>0</v>
      </c>
      <c r="H10" s="39">
        <f t="shared" si="0"/>
        <v>1.1250000000000001E-3</v>
      </c>
    </row>
    <row r="11" spans="3:10" ht="15.75" thickBot="1" x14ac:dyDescent="0.3">
      <c r="C11" s="45" t="s">
        <v>55</v>
      </c>
      <c r="D11" s="47">
        <f>+'tariff tables (M3)'!P9</f>
        <v>0</v>
      </c>
      <c r="E11" s="47">
        <f>+'tariff tables (M3)'!Q9</f>
        <v>0</v>
      </c>
      <c r="F11" s="47">
        <f>+'tariff tables (M3)'!R9</f>
        <v>0</v>
      </c>
      <c r="G11" s="47">
        <f>+'tariff tables (M3)'!S9</f>
        <v>0</v>
      </c>
      <c r="H11" s="39">
        <f t="shared" si="0"/>
        <v>0</v>
      </c>
    </row>
    <row r="12" spans="3:10" x14ac:dyDescent="0.25">
      <c r="C12" s="318"/>
      <c r="D12" s="319"/>
      <c r="E12" s="319"/>
      <c r="F12" s="319"/>
      <c r="G12" s="319"/>
      <c r="H12" s="39"/>
    </row>
    <row r="13" spans="3:10" ht="15.75" thickBot="1" x14ac:dyDescent="0.3">
      <c r="C13" s="46" t="s">
        <v>171</v>
      </c>
    </row>
    <row r="14" spans="3:10" x14ac:dyDescent="0.25">
      <c r="C14" s="337" t="s">
        <v>11</v>
      </c>
      <c r="D14" s="43" t="s">
        <v>46</v>
      </c>
      <c r="E14" s="43" t="s">
        <v>48</v>
      </c>
      <c r="F14" s="43" t="s">
        <v>62</v>
      </c>
      <c r="G14" s="43" t="s">
        <v>49</v>
      </c>
    </row>
    <row r="15" spans="3:10" ht="15.75" thickBot="1" x14ac:dyDescent="0.3">
      <c r="C15" s="338"/>
      <c r="D15" s="44" t="s">
        <v>47</v>
      </c>
      <c r="E15" s="44" t="s">
        <v>47</v>
      </c>
      <c r="F15" s="44" t="s">
        <v>47</v>
      </c>
      <c r="G15" s="44" t="s">
        <v>47</v>
      </c>
    </row>
    <row r="16" spans="3:10" ht="15.75" thickBot="1" x14ac:dyDescent="0.3">
      <c r="C16" s="45" t="s">
        <v>50</v>
      </c>
      <c r="D16" s="47">
        <f>'tariff tables (M4)'!P4</f>
        <v>1.9550000000000001E-3</v>
      </c>
      <c r="E16" s="47">
        <f>'tariff tables (M4)'!Q4</f>
        <v>6.7999999999999999E-5</v>
      </c>
      <c r="F16" s="47">
        <f>'tariff tables (M4)'!R4</f>
        <v>0</v>
      </c>
      <c r="G16" s="47">
        <f>'tariff tables (M4)'!S4</f>
        <v>0</v>
      </c>
      <c r="H16" s="39">
        <f>SUM(D16:G16)</f>
        <v>2.0230000000000001E-3</v>
      </c>
      <c r="J16" s="39"/>
    </row>
    <row r="17" spans="3:10" ht="15.75" thickBot="1" x14ac:dyDescent="0.3">
      <c r="C17" s="45" t="s">
        <v>51</v>
      </c>
      <c r="D17" s="47">
        <f>'tariff tables (M4)'!P5</f>
        <v>2.0270000000000002E-3</v>
      </c>
      <c r="E17" s="47">
        <f>'tariff tables (M4)'!Q5</f>
        <v>3.1000000000000001E-5</v>
      </c>
      <c r="F17" s="47">
        <f>'tariff tables (M4)'!R5</f>
        <v>0</v>
      </c>
      <c r="G17" s="47">
        <f>'tariff tables (M4)'!S5</f>
        <v>0</v>
      </c>
      <c r="H17" s="39">
        <f t="shared" ref="H17:H21" si="1">SUM(D17:G17)</f>
        <v>2.0580000000000004E-3</v>
      </c>
      <c r="J17" s="39"/>
    </row>
    <row r="18" spans="3:10" ht="15.75" thickBot="1" x14ac:dyDescent="0.3">
      <c r="C18" s="45" t="s">
        <v>52</v>
      </c>
      <c r="D18" s="47">
        <f>'tariff tables (M4)'!P6</f>
        <v>2.0270000000000002E-3</v>
      </c>
      <c r="E18" s="47">
        <f>'tariff tables (M4)'!Q6</f>
        <v>7.4999999999999993E-5</v>
      </c>
      <c r="F18" s="47">
        <f>'tariff tables (M4)'!R6</f>
        <v>0</v>
      </c>
      <c r="G18" s="47">
        <f>'tariff tables (M4)'!S6</f>
        <v>0</v>
      </c>
      <c r="H18" s="39">
        <f t="shared" si="1"/>
        <v>2.1020000000000001E-3</v>
      </c>
      <c r="J18" s="39"/>
    </row>
    <row r="19" spans="3:10" ht="15.75" thickBot="1" x14ac:dyDescent="0.3">
      <c r="C19" s="45" t="s">
        <v>53</v>
      </c>
      <c r="D19" s="47">
        <f>'tariff tables (M4)'!P7</f>
        <v>2.0270000000000002E-3</v>
      </c>
      <c r="E19" s="47">
        <f>'tariff tables (M4)'!Q7</f>
        <v>5.7000000000000003E-5</v>
      </c>
      <c r="F19" s="47">
        <f>'tariff tables (M4)'!R7</f>
        <v>0</v>
      </c>
      <c r="G19" s="47">
        <f>'tariff tables (M4)'!S7</f>
        <v>0</v>
      </c>
      <c r="H19" s="39">
        <f t="shared" si="1"/>
        <v>2.0840000000000003E-3</v>
      </c>
      <c r="J19" s="39"/>
    </row>
    <row r="20" spans="3:10" ht="15.75" thickBot="1" x14ac:dyDescent="0.3">
      <c r="C20" s="45" t="s">
        <v>54</v>
      </c>
      <c r="D20" s="47">
        <f>'tariff tables (M4)'!P8</f>
        <v>2.026E-3</v>
      </c>
      <c r="E20" s="47">
        <f>'tariff tables (M4)'!Q8</f>
        <v>3.4999999999999997E-5</v>
      </c>
      <c r="F20" s="47">
        <f>'tariff tables (M4)'!R8</f>
        <v>0</v>
      </c>
      <c r="G20" s="47">
        <f>'tariff tables (M4)'!S8</f>
        <v>0</v>
      </c>
      <c r="H20" s="39">
        <f t="shared" si="1"/>
        <v>2.0609999999999999E-3</v>
      </c>
      <c r="J20" s="39"/>
    </row>
    <row r="21" spans="3:10" ht="15.75" thickBot="1" x14ac:dyDescent="0.3">
      <c r="C21" s="45" t="s">
        <v>55</v>
      </c>
      <c r="D21" s="47">
        <f>'tariff tables (M4)'!P9</f>
        <v>0</v>
      </c>
      <c r="E21" s="47">
        <f>'tariff tables (M4)'!Q9</f>
        <v>0</v>
      </c>
      <c r="F21" s="47">
        <f>'tariff tables (M4)'!R9</f>
        <v>0</v>
      </c>
      <c r="G21" s="47">
        <f>'tariff tables (M4)'!Q9</f>
        <v>0</v>
      </c>
      <c r="H21" s="39">
        <f t="shared" si="1"/>
        <v>0</v>
      </c>
      <c r="J21" s="39"/>
    </row>
    <row r="22" spans="3:10" x14ac:dyDescent="0.25">
      <c r="D22" s="39"/>
      <c r="E22" s="39"/>
      <c r="F22" s="39"/>
      <c r="G22" s="39"/>
      <c r="H22" s="39"/>
    </row>
    <row r="23" spans="3:10" ht="15.75" thickBot="1" x14ac:dyDescent="0.3">
      <c r="C23" s="46" t="s">
        <v>58</v>
      </c>
      <c r="D23" s="39"/>
      <c r="E23" s="39"/>
      <c r="F23" s="39"/>
      <c r="G23" s="39"/>
      <c r="H23" s="39"/>
    </row>
    <row r="24" spans="3:10" x14ac:dyDescent="0.25">
      <c r="C24" s="337" t="s">
        <v>11</v>
      </c>
      <c r="D24" s="48" t="s">
        <v>33</v>
      </c>
      <c r="E24" s="48" t="s">
        <v>34</v>
      </c>
      <c r="F24" s="48" t="s">
        <v>56</v>
      </c>
      <c r="G24" s="48" t="s">
        <v>35</v>
      </c>
      <c r="H24" s="48" t="s">
        <v>9</v>
      </c>
    </row>
    <row r="25" spans="3:10" x14ac:dyDescent="0.25">
      <c r="C25" s="339"/>
      <c r="D25" s="49" t="s">
        <v>47</v>
      </c>
      <c r="E25" s="49" t="s">
        <v>47</v>
      </c>
      <c r="F25" s="49" t="s">
        <v>47</v>
      </c>
      <c r="G25" s="49" t="s">
        <v>47</v>
      </c>
      <c r="H25" s="49" t="s">
        <v>57</v>
      </c>
    </row>
    <row r="26" spans="3:10" ht="15.75" thickBot="1" x14ac:dyDescent="0.3">
      <c r="C26" s="338"/>
      <c r="D26" s="50"/>
      <c r="E26" s="50"/>
      <c r="F26" s="50"/>
      <c r="G26" s="50"/>
      <c r="H26" s="51" t="s">
        <v>47</v>
      </c>
    </row>
    <row r="27" spans="3:10" ht="15.75" thickBot="1" x14ac:dyDescent="0.3">
      <c r="C27" s="45" t="s">
        <v>50</v>
      </c>
      <c r="D27" s="47">
        <f t="shared" ref="D27:G32" si="2">D16+D6</f>
        <v>1.6900000000000001E-3</v>
      </c>
      <c r="E27" s="47">
        <f t="shared" si="2"/>
        <v>6.0999999999999999E-5</v>
      </c>
      <c r="F27" s="47">
        <f t="shared" si="2"/>
        <v>4.1899999999999999E-4</v>
      </c>
      <c r="G27" s="47">
        <f t="shared" si="2"/>
        <v>9.9999999999999995E-7</v>
      </c>
      <c r="H27" s="47">
        <f>SUM(D27:G27)</f>
        <v>2.1710000000000002E-3</v>
      </c>
    </row>
    <row r="28" spans="3:10" ht="15.75" thickBot="1" x14ac:dyDescent="0.3">
      <c r="C28" s="45" t="s">
        <v>51</v>
      </c>
      <c r="D28" s="47">
        <f t="shared" si="2"/>
        <v>2.0820000000000001E-3</v>
      </c>
      <c r="E28" s="47">
        <f t="shared" si="2"/>
        <v>3.1399999999999999E-4</v>
      </c>
      <c r="F28" s="47">
        <f t="shared" si="2"/>
        <v>4.2299999999999998E-4</v>
      </c>
      <c r="G28" s="47">
        <f t="shared" si="2"/>
        <v>0</v>
      </c>
      <c r="H28" s="47">
        <f t="shared" ref="H28:H32" si="3">SUM(D28:G28)</f>
        <v>2.8190000000000003E-3</v>
      </c>
    </row>
    <row r="29" spans="3:10" ht="15.75" thickBot="1" x14ac:dyDescent="0.3">
      <c r="C29" s="45" t="s">
        <v>52</v>
      </c>
      <c r="D29" s="47">
        <f t="shared" si="2"/>
        <v>2.0870000000000003E-3</v>
      </c>
      <c r="E29" s="47">
        <f t="shared" si="2"/>
        <v>9.3999999999999994E-5</v>
      </c>
      <c r="F29" s="47">
        <f t="shared" si="2"/>
        <v>4.4700000000000002E-4</v>
      </c>
      <c r="G29" s="47">
        <f t="shared" si="2"/>
        <v>0</v>
      </c>
      <c r="H29" s="47">
        <f t="shared" si="3"/>
        <v>2.6280000000000001E-3</v>
      </c>
    </row>
    <row r="30" spans="3:10" ht="15.75" thickBot="1" x14ac:dyDescent="0.3">
      <c r="C30" s="45" t="s">
        <v>53</v>
      </c>
      <c r="D30" s="47">
        <f t="shared" si="2"/>
        <v>2.1210000000000001E-3</v>
      </c>
      <c r="E30" s="47">
        <f t="shared" si="2"/>
        <v>1.34E-4</v>
      </c>
      <c r="F30" s="47">
        <f t="shared" si="2"/>
        <v>4.44E-4</v>
      </c>
      <c r="G30" s="47">
        <f t="shared" si="2"/>
        <v>0</v>
      </c>
      <c r="H30" s="47">
        <f t="shared" si="3"/>
        <v>2.699E-3</v>
      </c>
    </row>
    <row r="31" spans="3:10" ht="15.75" thickBot="1" x14ac:dyDescent="0.3">
      <c r="C31" s="45" t="s">
        <v>54</v>
      </c>
      <c r="D31" s="47">
        <f t="shared" si="2"/>
        <v>2.3509999999999998E-3</v>
      </c>
      <c r="E31" s="47">
        <f t="shared" si="2"/>
        <v>2.4899999999999998E-4</v>
      </c>
      <c r="F31" s="47">
        <f t="shared" si="2"/>
        <v>5.8600000000000004E-4</v>
      </c>
      <c r="G31" s="47">
        <f t="shared" si="2"/>
        <v>0</v>
      </c>
      <c r="H31" s="47">
        <f t="shared" si="3"/>
        <v>3.186E-3</v>
      </c>
    </row>
    <row r="32" spans="3:10" ht="24.75" thickBot="1" x14ac:dyDescent="0.3">
      <c r="C32" s="45" t="s">
        <v>55</v>
      </c>
      <c r="D32" s="47">
        <f t="shared" si="2"/>
        <v>0</v>
      </c>
      <c r="E32" s="47">
        <f t="shared" si="2"/>
        <v>0</v>
      </c>
      <c r="F32" s="47">
        <f t="shared" si="2"/>
        <v>0</v>
      </c>
      <c r="G32" s="47">
        <f t="shared" si="2"/>
        <v>0</v>
      </c>
      <c r="H32" s="47">
        <f t="shared" si="3"/>
        <v>0</v>
      </c>
    </row>
  </sheetData>
  <mergeCells count="3">
    <mergeCell ref="C14:C15"/>
    <mergeCell ref="C24:C26"/>
    <mergeCell ref="C4: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79998168889431442"/>
    <pageSetUpPr fitToPage="1"/>
  </sheetPr>
  <dimension ref="A1:CD89"/>
  <sheetViews>
    <sheetView zoomScale="80" zoomScaleNormal="80" workbookViewId="0">
      <pane xSplit="1" ySplit="14" topLeftCell="B15" activePane="bottomRight" state="frozen"/>
      <selection activeCell="AY76" sqref="AY76"/>
      <selection pane="topRight" activeCell="AY76" sqref="AY76"/>
      <selection pane="bottomLeft" activeCell="AY76" sqref="AY76"/>
      <selection pane="bottomRight" activeCell="CG80" sqref="CG80"/>
    </sheetView>
  </sheetViews>
  <sheetFormatPr defaultColWidth="9.140625" defaultRowHeight="15" x14ac:dyDescent="0.25"/>
  <cols>
    <col min="1" max="1" width="21.5703125" customWidth="1"/>
    <col min="2" max="2" width="15.28515625" customWidth="1"/>
    <col min="3" max="3" width="15.85546875" customWidth="1"/>
    <col min="4" max="4" width="16.7109375" customWidth="1"/>
    <col min="5" max="5" width="16.140625" customWidth="1"/>
    <col min="6" max="6" width="15.85546875" bestFit="1" customWidth="1"/>
    <col min="7" max="7" width="16" customWidth="1"/>
    <col min="8" max="8" width="15" bestFit="1" customWidth="1"/>
    <col min="9" max="10" width="16" bestFit="1" customWidth="1"/>
    <col min="11" max="11" width="16" customWidth="1"/>
    <col min="12" max="12" width="16" bestFit="1" customWidth="1"/>
    <col min="13" max="72" width="16" customWidth="1"/>
    <col min="73" max="73" width="16.42578125" customWidth="1"/>
    <col min="74" max="74" width="17.28515625" customWidth="1"/>
    <col min="75" max="75" width="16.85546875" customWidth="1"/>
    <col min="76" max="76" width="13.85546875" bestFit="1" customWidth="1"/>
    <col min="77" max="78" width="10.85546875" bestFit="1" customWidth="1"/>
    <col min="79" max="79" width="12.7109375" bestFit="1" customWidth="1"/>
  </cols>
  <sheetData>
    <row r="1" spans="1:82" x14ac:dyDescent="0.25">
      <c r="A1" t="s">
        <v>153</v>
      </c>
    </row>
    <row r="2" spans="1:82" x14ac:dyDescent="0.25">
      <c r="B2" s="125" t="s">
        <v>76</v>
      </c>
      <c r="J2" s="2" t="s">
        <v>26</v>
      </c>
      <c r="K2" s="2"/>
    </row>
    <row r="3" spans="1:82" x14ac:dyDescent="0.25">
      <c r="B3" s="52" t="s">
        <v>161</v>
      </c>
      <c r="C3" s="52" t="s">
        <v>63</v>
      </c>
      <c r="D3" s="52" t="s">
        <v>77</v>
      </c>
      <c r="E3" s="52" t="s">
        <v>96</v>
      </c>
      <c r="F3" s="52" t="s">
        <v>90</v>
      </c>
      <c r="G3" s="52" t="s">
        <v>64</v>
      </c>
      <c r="H3" s="52" t="s">
        <v>78</v>
      </c>
      <c r="I3" s="2"/>
      <c r="J3" s="2" t="s">
        <v>79</v>
      </c>
      <c r="K3" s="2"/>
    </row>
    <row r="4" spans="1:82" x14ac:dyDescent="0.25">
      <c r="A4" t="s">
        <v>0</v>
      </c>
      <c r="B4" s="21">
        <f>AM78</f>
        <v>-112063.39590084087</v>
      </c>
      <c r="C4" s="21">
        <f>SUM(B42:BW42)</f>
        <v>214566385.73646036</v>
      </c>
      <c r="D4" s="53">
        <f>SUM(B28:BW28)</f>
        <v>79593530745.501297</v>
      </c>
      <c r="E4" s="21">
        <f>SUM(B21:BW21)</f>
        <v>211385311.7866188</v>
      </c>
      <c r="F4" s="21">
        <f>+B4-C4+E4</f>
        <v>-3293137.3457424045</v>
      </c>
      <c r="G4" s="74">
        <f>SUM(B68:BW68)</f>
        <v>-41550.507208368683</v>
      </c>
      <c r="H4" s="26">
        <f>F4+G4</f>
        <v>-3334687.8529507732</v>
      </c>
      <c r="I4" s="2"/>
      <c r="J4" s="2" t="s">
        <v>93</v>
      </c>
      <c r="K4" s="2"/>
    </row>
    <row r="5" spans="1:82" x14ac:dyDescent="0.25">
      <c r="A5" t="s">
        <v>4</v>
      </c>
      <c r="B5" s="21">
        <f t="shared" ref="B5:B8" si="0">AM79</f>
        <v>-163973.95627627094</v>
      </c>
      <c r="C5" s="21">
        <f t="shared" ref="C5:C8" si="1">SUM(B43:BW43)</f>
        <v>45503942.97831548</v>
      </c>
      <c r="D5" s="53">
        <f t="shared" ref="D5:D8" si="2">SUM(B29:BW29)</f>
        <v>19580006033.675808</v>
      </c>
      <c r="E5" s="21">
        <f t="shared" ref="E5:E8" si="3">SUM(B22:BW22)</f>
        <v>46145286.945441365</v>
      </c>
      <c r="F5" s="21">
        <f t="shared" ref="F5:F8" si="4">+B5-C5+E5</f>
        <v>477370.01084961742</v>
      </c>
      <c r="G5" s="74">
        <f t="shared" ref="G5:G8" si="5">SUM(B69:BW69)</f>
        <v>-302677.44995143259</v>
      </c>
      <c r="H5" s="26">
        <f>F5+G5</f>
        <v>174692.56089818483</v>
      </c>
      <c r="I5" s="2"/>
      <c r="J5" s="2" t="s">
        <v>92</v>
      </c>
      <c r="K5" s="2"/>
      <c r="AY5" s="3"/>
      <c r="AZ5" s="3"/>
    </row>
    <row r="6" spans="1:82" x14ac:dyDescent="0.25">
      <c r="A6" t="s">
        <v>5</v>
      </c>
      <c r="B6" s="21">
        <f t="shared" si="0"/>
        <v>-295090.17501933238</v>
      </c>
      <c r="C6" s="21">
        <f t="shared" si="1"/>
        <v>98488659.833646044</v>
      </c>
      <c r="D6" s="53">
        <f t="shared" si="2"/>
        <v>42093348662.407326</v>
      </c>
      <c r="E6" s="21">
        <f t="shared" si="3"/>
        <v>99820864.331490993</v>
      </c>
      <c r="F6" s="21">
        <f t="shared" si="4"/>
        <v>1037114.3228256106</v>
      </c>
      <c r="G6" s="74">
        <f t="shared" si="5"/>
        <v>-628362.36337972374</v>
      </c>
      <c r="H6" s="26">
        <f>F6+G6</f>
        <v>408751.9594458869</v>
      </c>
      <c r="I6" s="2"/>
      <c r="J6" s="2" t="s">
        <v>94</v>
      </c>
      <c r="K6" s="2"/>
      <c r="AB6" s="202"/>
      <c r="AC6" s="202"/>
      <c r="AD6" s="3"/>
      <c r="AG6" s="202"/>
      <c r="AH6" s="202"/>
      <c r="AI6" s="3"/>
      <c r="AY6" s="3"/>
      <c r="AZ6" s="3"/>
    </row>
    <row r="7" spans="1:82" x14ac:dyDescent="0.25">
      <c r="A7" t="s">
        <v>6</v>
      </c>
      <c r="B7" s="21">
        <f t="shared" si="0"/>
        <v>-106613.35005726748</v>
      </c>
      <c r="C7" s="21">
        <f t="shared" si="1"/>
        <v>41904708.729448698</v>
      </c>
      <c r="D7" s="53">
        <f t="shared" si="2"/>
        <v>17774964611.307655</v>
      </c>
      <c r="E7" s="21">
        <f t="shared" si="3"/>
        <v>42531482.551228687</v>
      </c>
      <c r="F7" s="21">
        <f>+B7-C7+E7</f>
        <v>520160.47172272205</v>
      </c>
      <c r="G7" s="74">
        <f t="shared" si="5"/>
        <v>-251200.97536437216</v>
      </c>
      <c r="H7" s="26">
        <f>F7+G7</f>
        <v>268959.49635834992</v>
      </c>
      <c r="I7" s="2"/>
      <c r="J7" s="2" t="s">
        <v>80</v>
      </c>
      <c r="K7" s="2"/>
      <c r="AB7" s="202"/>
      <c r="AC7" s="202"/>
      <c r="AD7" s="3"/>
      <c r="AG7" s="202"/>
      <c r="AH7" s="202"/>
      <c r="AI7" s="3"/>
      <c r="AV7" s="31"/>
      <c r="AW7" s="31"/>
      <c r="AX7" s="31"/>
      <c r="AY7" s="3"/>
      <c r="AZ7" s="3"/>
      <c r="BA7" s="31"/>
      <c r="BB7" s="31"/>
      <c r="BC7" s="31"/>
      <c r="BD7" s="31"/>
      <c r="BE7" s="31"/>
      <c r="BF7" s="31"/>
      <c r="BG7" s="31"/>
      <c r="BH7" s="31"/>
      <c r="BI7" s="31"/>
      <c r="BJ7" s="31"/>
      <c r="BK7" s="31"/>
      <c r="BL7" s="31"/>
      <c r="BM7" s="31"/>
      <c r="BN7" s="31"/>
      <c r="BO7" s="31"/>
      <c r="BP7" s="31"/>
      <c r="BQ7" s="31"/>
      <c r="BR7" s="31"/>
      <c r="BS7" s="31"/>
      <c r="BT7" s="31"/>
    </row>
    <row r="8" spans="1:82" ht="15.75" thickBot="1" x14ac:dyDescent="0.3">
      <c r="A8" t="s">
        <v>7</v>
      </c>
      <c r="B8" s="21">
        <f t="shared" si="0"/>
        <v>-18343.060498452676</v>
      </c>
      <c r="C8" s="21">
        <f t="shared" si="1"/>
        <v>15529093.226136444</v>
      </c>
      <c r="D8" s="53">
        <f t="shared" si="2"/>
        <v>6732656840.8109837</v>
      </c>
      <c r="E8" s="21">
        <f t="shared" si="3"/>
        <v>15884032.162045244</v>
      </c>
      <c r="F8" s="21">
        <f t="shared" si="4"/>
        <v>336595.87541034818</v>
      </c>
      <c r="G8" s="74">
        <f t="shared" si="5"/>
        <v>-54196.364696582081</v>
      </c>
      <c r="H8" s="26">
        <f>F8+G8</f>
        <v>282399.5107137661</v>
      </c>
      <c r="I8" s="2"/>
      <c r="J8" s="2" t="s">
        <v>108</v>
      </c>
      <c r="K8" s="2"/>
      <c r="AB8" s="202"/>
      <c r="AC8" s="202"/>
      <c r="AD8" s="3"/>
      <c r="AG8" s="202"/>
      <c r="AH8" s="202"/>
      <c r="AI8" s="3"/>
      <c r="AV8" s="249"/>
      <c r="AW8" s="249"/>
      <c r="AX8" s="249"/>
      <c r="AY8" s="3"/>
      <c r="AZ8" s="3"/>
      <c r="BA8" s="249"/>
      <c r="BB8" s="249"/>
      <c r="BC8" s="249"/>
      <c r="BD8" s="249"/>
      <c r="BE8" s="249"/>
      <c r="BF8" s="249"/>
      <c r="BG8" s="249"/>
      <c r="BH8" s="249"/>
      <c r="BI8" s="249"/>
      <c r="BJ8" s="249"/>
      <c r="BK8" s="249"/>
      <c r="BL8" s="249"/>
      <c r="BM8" s="249"/>
      <c r="BN8" s="249"/>
      <c r="BO8" s="249"/>
      <c r="BP8" s="249"/>
      <c r="BQ8" s="249"/>
      <c r="BR8" s="249"/>
      <c r="BS8" s="249"/>
      <c r="BT8" s="249"/>
    </row>
    <row r="9" spans="1:82" ht="16.5" thickTop="1" thickBot="1" x14ac:dyDescent="0.3">
      <c r="B9" s="54">
        <f t="shared" ref="B9:H9" si="6">SUM(B4:B8)</f>
        <v>-696083.9377521642</v>
      </c>
      <c r="C9" s="54">
        <f>SUM(C4:C8)</f>
        <v>415992790.50400698</v>
      </c>
      <c r="D9" s="122">
        <f t="shared" si="6"/>
        <v>165774506893.70306</v>
      </c>
      <c r="E9" s="54">
        <f>SUM(E4:E8)</f>
        <v>415766977.77682513</v>
      </c>
      <c r="F9" s="86">
        <f>SUM(F4:F8)</f>
        <v>-921896.66493410617</v>
      </c>
      <c r="G9" s="86">
        <f t="shared" si="6"/>
        <v>-1277987.6606004792</v>
      </c>
      <c r="H9" s="54">
        <f t="shared" si="6"/>
        <v>-2199884.3255345859</v>
      </c>
      <c r="I9" s="2"/>
      <c r="J9" s="2" t="s">
        <v>109</v>
      </c>
      <c r="K9" s="2"/>
      <c r="AB9" s="202"/>
      <c r="AC9" s="202"/>
      <c r="AD9" s="3"/>
      <c r="AG9" s="202"/>
      <c r="AH9" s="202"/>
      <c r="AI9" s="3"/>
      <c r="AV9" s="159"/>
      <c r="AW9" s="159"/>
      <c r="AX9" s="159"/>
      <c r="AY9" s="3"/>
      <c r="AZ9" s="3"/>
      <c r="BA9" s="159"/>
      <c r="BB9" s="159"/>
      <c r="BC9" s="159"/>
      <c r="BD9" s="159"/>
      <c r="BE9" s="159"/>
      <c r="BF9" s="159"/>
      <c r="BG9" s="159"/>
      <c r="BH9" s="159"/>
      <c r="BI9" s="159"/>
      <c r="BJ9" s="159"/>
      <c r="BK9" s="159"/>
      <c r="BL9" s="159"/>
      <c r="BM9" s="159"/>
      <c r="BN9" s="159"/>
      <c r="BO9" s="159"/>
      <c r="BP9" s="159"/>
      <c r="BQ9" s="159"/>
      <c r="BR9" s="159"/>
      <c r="BS9" s="159"/>
      <c r="BT9" s="159"/>
    </row>
    <row r="10" spans="1:82" ht="16.5" thickTop="1" thickBot="1" x14ac:dyDescent="0.3">
      <c r="E10" s="23"/>
      <c r="F10" s="23" t="s">
        <v>25</v>
      </c>
      <c r="G10" s="18">
        <f>G9-SUM(B51:BW51)</f>
        <v>-1.0600479319691658E-2</v>
      </c>
      <c r="I10" s="2"/>
      <c r="J10" s="2" t="s">
        <v>110</v>
      </c>
      <c r="K10" s="2"/>
      <c r="AC10" s="31"/>
      <c r="AG10" s="202"/>
      <c r="AH10" s="202"/>
      <c r="AI10" s="3"/>
      <c r="AV10" s="197"/>
      <c r="AW10" s="197"/>
      <c r="AX10" s="197"/>
      <c r="AY10" s="3"/>
      <c r="AZ10" s="3"/>
      <c r="BA10" s="159"/>
      <c r="BB10" s="197"/>
      <c r="BC10" s="197"/>
      <c r="BD10" s="197"/>
      <c r="BE10" s="197"/>
      <c r="BF10" s="197"/>
      <c r="BG10" s="197"/>
      <c r="BH10" s="197"/>
      <c r="BI10" s="197"/>
      <c r="BJ10" s="197"/>
      <c r="BK10" s="197"/>
      <c r="BL10" s="197"/>
      <c r="BM10" s="197"/>
      <c r="BN10" s="197"/>
      <c r="BO10" s="197"/>
      <c r="BP10" s="197"/>
      <c r="BQ10" s="197"/>
      <c r="BR10" s="197"/>
      <c r="BS10" s="197"/>
      <c r="BT10" s="197"/>
      <c r="BU10" s="3"/>
      <c r="BV10" s="3"/>
      <c r="BW10" s="3"/>
    </row>
    <row r="11" spans="1:82" ht="15.75" thickTop="1" x14ac:dyDescent="0.25">
      <c r="D11" s="3"/>
      <c r="F11" s="2"/>
      <c r="I11" s="2"/>
      <c r="J11" s="2" t="s">
        <v>111</v>
      </c>
      <c r="K11" s="2"/>
      <c r="AY11" s="274"/>
      <c r="BA11" s="274"/>
    </row>
    <row r="12" spans="1:82" ht="15.75" thickBot="1" x14ac:dyDescent="0.3">
      <c r="B12" s="34"/>
      <c r="C12" s="34"/>
      <c r="D12" s="34"/>
      <c r="E12" s="34"/>
      <c r="F12" s="34"/>
      <c r="G12" s="34"/>
      <c r="H12" s="34"/>
      <c r="I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1"/>
      <c r="BV12" s="31"/>
    </row>
    <row r="13" spans="1:82" ht="15.75" thickBot="1" x14ac:dyDescent="0.3">
      <c r="B13" s="110"/>
      <c r="C13" s="79"/>
      <c r="D13" s="226" t="s">
        <v>67</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323" t="s">
        <v>66</v>
      </c>
      <c r="BV13" s="324"/>
      <c r="BW13" s="325"/>
    </row>
    <row r="14" spans="1:82" x14ac:dyDescent="0.25">
      <c r="A14" t="s">
        <v>82</v>
      </c>
      <c r="B14" s="58">
        <v>43435</v>
      </c>
      <c r="C14" s="59">
        <f t="shared" ref="C14:J14" si="7">EDATE(B14,1)</f>
        <v>43466</v>
      </c>
      <c r="D14" s="59">
        <f t="shared" si="7"/>
        <v>43497</v>
      </c>
      <c r="E14" s="59">
        <f t="shared" si="7"/>
        <v>43525</v>
      </c>
      <c r="F14" s="59">
        <f t="shared" si="7"/>
        <v>43556</v>
      </c>
      <c r="G14" s="59">
        <f t="shared" si="7"/>
        <v>43586</v>
      </c>
      <c r="H14" s="59">
        <f t="shared" si="7"/>
        <v>43617</v>
      </c>
      <c r="I14" s="59">
        <f t="shared" si="7"/>
        <v>43647</v>
      </c>
      <c r="J14" s="59">
        <f t="shared" si="7"/>
        <v>43678</v>
      </c>
      <c r="K14" s="59">
        <f t="shared" ref="K14" si="8">EDATE(J14,1)</f>
        <v>43709</v>
      </c>
      <c r="L14" s="59">
        <f t="shared" ref="L14" si="9">EDATE(K14,1)</f>
        <v>43739</v>
      </c>
      <c r="M14" s="59">
        <f t="shared" ref="M14" si="10">EDATE(L14,1)</f>
        <v>43770</v>
      </c>
      <c r="N14" s="59">
        <f t="shared" ref="N14" si="11">EDATE(M14,1)</f>
        <v>43800</v>
      </c>
      <c r="O14" s="59">
        <f t="shared" ref="O14" si="12">EDATE(N14,1)</f>
        <v>43831</v>
      </c>
      <c r="P14" s="59">
        <f t="shared" ref="P14" si="13">EDATE(O14,1)</f>
        <v>43862</v>
      </c>
      <c r="Q14" s="59">
        <f t="shared" ref="Q14" si="14">EDATE(P14,1)</f>
        <v>43891</v>
      </c>
      <c r="R14" s="59">
        <f t="shared" ref="R14" si="15">EDATE(Q14,1)</f>
        <v>43922</v>
      </c>
      <c r="S14" s="59">
        <f t="shared" ref="S14" si="16">EDATE(R14,1)</f>
        <v>43952</v>
      </c>
      <c r="T14" s="59">
        <f t="shared" ref="T14" si="17">EDATE(S14,1)</f>
        <v>43983</v>
      </c>
      <c r="U14" s="59">
        <f t="shared" ref="U14" si="18">EDATE(T14,1)</f>
        <v>44013</v>
      </c>
      <c r="V14" s="59">
        <f t="shared" ref="V14" si="19">EDATE(U14,1)</f>
        <v>44044</v>
      </c>
      <c r="W14" s="59">
        <f t="shared" ref="W14" si="20">EDATE(V14,1)</f>
        <v>44075</v>
      </c>
      <c r="X14" s="59">
        <f t="shared" ref="X14" si="21">EDATE(W14,1)</f>
        <v>44105</v>
      </c>
      <c r="Y14" s="59">
        <f t="shared" ref="Y14" si="22">EDATE(X14,1)</f>
        <v>44136</v>
      </c>
      <c r="Z14" s="59">
        <f t="shared" ref="Z14" si="23">EDATE(Y14,1)</f>
        <v>44166</v>
      </c>
      <c r="AA14" s="59">
        <f t="shared" ref="AA14" si="24">EDATE(Z14,1)</f>
        <v>44197</v>
      </c>
      <c r="AB14" s="59">
        <f t="shared" ref="AB14" si="25">EDATE(AA14,1)</f>
        <v>44228</v>
      </c>
      <c r="AC14" s="59">
        <f t="shared" ref="AC14" si="26">EDATE(AB14,1)</f>
        <v>44256</v>
      </c>
      <c r="AD14" s="59">
        <f t="shared" ref="AD14" si="27">EDATE(AC14,1)</f>
        <v>44287</v>
      </c>
      <c r="AE14" s="59">
        <f t="shared" ref="AE14" si="28">EDATE(AD14,1)</f>
        <v>44317</v>
      </c>
      <c r="AF14" s="59">
        <f t="shared" ref="AF14" si="29">EDATE(AE14,1)</f>
        <v>44348</v>
      </c>
      <c r="AG14" s="59">
        <f t="shared" ref="AG14" si="30">EDATE(AF14,1)</f>
        <v>44378</v>
      </c>
      <c r="AH14" s="59">
        <f t="shared" ref="AH14" si="31">EDATE(AG14,1)</f>
        <v>44409</v>
      </c>
      <c r="AI14" s="59">
        <f t="shared" ref="AI14" si="32">EDATE(AH14,1)</f>
        <v>44440</v>
      </c>
      <c r="AJ14" s="59">
        <f t="shared" ref="AJ14" si="33">EDATE(AI14,1)</f>
        <v>44470</v>
      </c>
      <c r="AK14" s="59">
        <f t="shared" ref="AK14" si="34">EDATE(AJ14,1)</f>
        <v>44501</v>
      </c>
      <c r="AL14" s="59">
        <f t="shared" ref="AL14" si="35">EDATE(AK14,1)</f>
        <v>44531</v>
      </c>
      <c r="AM14" s="59">
        <f t="shared" ref="AM14" si="36">EDATE(AL14,1)</f>
        <v>44562</v>
      </c>
      <c r="AN14" s="59">
        <f t="shared" ref="AN14" si="37">EDATE(AM14,1)</f>
        <v>44593</v>
      </c>
      <c r="AO14" s="59">
        <f t="shared" ref="AO14" si="38">EDATE(AN14,1)</f>
        <v>44621</v>
      </c>
      <c r="AP14" s="59">
        <f t="shared" ref="AP14" si="39">EDATE(AO14,1)</f>
        <v>44652</v>
      </c>
      <c r="AQ14" s="59">
        <f t="shared" ref="AQ14" si="40">EDATE(AP14,1)</f>
        <v>44682</v>
      </c>
      <c r="AR14" s="59">
        <f t="shared" ref="AR14" si="41">EDATE(AQ14,1)</f>
        <v>44713</v>
      </c>
      <c r="AS14" s="59">
        <f t="shared" ref="AS14" si="42">EDATE(AR14,1)</f>
        <v>44743</v>
      </c>
      <c r="AT14" s="59">
        <f t="shared" ref="AT14" si="43">EDATE(AS14,1)</f>
        <v>44774</v>
      </c>
      <c r="AU14" s="59">
        <f t="shared" ref="AU14" si="44">EDATE(AT14,1)</f>
        <v>44805</v>
      </c>
      <c r="AV14" s="59">
        <f t="shared" ref="AV14" si="45">EDATE(AU14,1)</f>
        <v>44835</v>
      </c>
      <c r="AW14" s="59">
        <f t="shared" ref="AW14" si="46">EDATE(AV14,1)</f>
        <v>44866</v>
      </c>
      <c r="AX14" s="59">
        <f t="shared" ref="AX14" si="47">EDATE(AW14,1)</f>
        <v>44896</v>
      </c>
      <c r="AY14" s="59">
        <f t="shared" ref="AY14" si="48">EDATE(AX14,1)</f>
        <v>44927</v>
      </c>
      <c r="AZ14" s="59">
        <f t="shared" ref="AZ14" si="49">EDATE(AY14,1)</f>
        <v>44958</v>
      </c>
      <c r="BA14" s="59">
        <f t="shared" ref="BA14" si="50">EDATE(AZ14,1)</f>
        <v>44986</v>
      </c>
      <c r="BB14" s="59">
        <f t="shared" ref="BB14" si="51">EDATE(BA14,1)</f>
        <v>45017</v>
      </c>
      <c r="BC14" s="59">
        <f t="shared" ref="BC14" si="52">EDATE(BB14,1)</f>
        <v>45047</v>
      </c>
      <c r="BD14" s="59">
        <f t="shared" ref="BD14" si="53">EDATE(BC14,1)</f>
        <v>45078</v>
      </c>
      <c r="BE14" s="59">
        <f t="shared" ref="BE14" si="54">EDATE(BD14,1)</f>
        <v>45108</v>
      </c>
      <c r="BF14" s="59">
        <f t="shared" ref="BF14" si="55">EDATE(BE14,1)</f>
        <v>45139</v>
      </c>
      <c r="BG14" s="59">
        <f t="shared" ref="BG14" si="56">EDATE(BF14,1)</f>
        <v>45170</v>
      </c>
      <c r="BH14" s="59">
        <f t="shared" ref="BH14" si="57">EDATE(BG14,1)</f>
        <v>45200</v>
      </c>
      <c r="BI14" s="59">
        <f t="shared" ref="BI14" si="58">EDATE(BH14,1)</f>
        <v>45231</v>
      </c>
      <c r="BJ14" s="59">
        <f t="shared" ref="BJ14" si="59">EDATE(BI14,1)</f>
        <v>45261</v>
      </c>
      <c r="BK14" s="59">
        <f t="shared" ref="BK14" si="60">EDATE(BJ14,1)</f>
        <v>45292</v>
      </c>
      <c r="BL14" s="59">
        <f t="shared" ref="BL14" si="61">EDATE(BK14,1)</f>
        <v>45323</v>
      </c>
      <c r="BM14" s="59">
        <f t="shared" ref="BM14" si="62">EDATE(BL14,1)</f>
        <v>45352</v>
      </c>
      <c r="BN14" s="59">
        <f t="shared" ref="BN14" si="63">EDATE(BM14,1)</f>
        <v>45383</v>
      </c>
      <c r="BO14" s="59">
        <f t="shared" ref="BO14" si="64">EDATE(BN14,1)</f>
        <v>45413</v>
      </c>
      <c r="BP14" s="59">
        <f t="shared" ref="BP14" si="65">EDATE(BO14,1)</f>
        <v>45444</v>
      </c>
      <c r="BQ14" s="59">
        <f t="shared" ref="BQ14" si="66">EDATE(BP14,1)</f>
        <v>45474</v>
      </c>
      <c r="BR14" s="59">
        <f t="shared" ref="BR14" si="67">EDATE(BQ14,1)</f>
        <v>45505</v>
      </c>
      <c r="BS14" s="59">
        <f t="shared" ref="BS14" si="68">EDATE(BR14,1)</f>
        <v>45536</v>
      </c>
      <c r="BT14" s="59">
        <f t="shared" ref="BT14" si="69">EDATE(BS14,1)</f>
        <v>45566</v>
      </c>
      <c r="BU14" s="58">
        <f>EDATE(BT14,1)</f>
        <v>45597</v>
      </c>
      <c r="BV14" s="59">
        <f>EDATE(BU14,1)</f>
        <v>45627</v>
      </c>
      <c r="BW14" s="60">
        <f>EDATE(BV14,1)</f>
        <v>45658</v>
      </c>
      <c r="BX14" s="1"/>
      <c r="BY14" s="1"/>
      <c r="BZ14" s="1"/>
      <c r="CA14" s="1"/>
      <c r="CB14" s="1"/>
      <c r="CC14" s="1"/>
      <c r="CD14" s="1"/>
    </row>
    <row r="15" spans="1:82" x14ac:dyDescent="0.25">
      <c r="A15" t="s">
        <v>0</v>
      </c>
      <c r="B15" s="61">
        <v>173182</v>
      </c>
      <c r="C15" s="29">
        <v>0</v>
      </c>
      <c r="D15" s="29">
        <v>120000</v>
      </c>
      <c r="E15" s="29">
        <v>2283620.9400000004</v>
      </c>
      <c r="F15" s="29">
        <v>1173927.0200000003</v>
      </c>
      <c r="G15" s="29">
        <v>1824626.01</v>
      </c>
      <c r="H15" s="29">
        <v>2073546.5699999998</v>
      </c>
      <c r="I15" s="29">
        <v>2562392.2600000002</v>
      </c>
      <c r="J15" s="29">
        <v>3911693.53</v>
      </c>
      <c r="K15" s="29">
        <v>1341245.26</v>
      </c>
      <c r="L15" s="29">
        <v>2745753.6899999995</v>
      </c>
      <c r="M15" s="29">
        <v>5113350.63</v>
      </c>
      <c r="N15" s="29">
        <v>5712616.25</v>
      </c>
      <c r="O15" s="29">
        <v>77543.560000000041</v>
      </c>
      <c r="P15" s="29">
        <v>2293014.0900000003</v>
      </c>
      <c r="Q15" s="29">
        <v>3480839.73</v>
      </c>
      <c r="R15" s="29">
        <v>1340803.3000000003</v>
      </c>
      <c r="S15" s="29">
        <v>2046973.2399999998</v>
      </c>
      <c r="T15" s="29">
        <v>2691716.73</v>
      </c>
      <c r="U15" s="29">
        <v>3243279.2899999991</v>
      </c>
      <c r="V15" s="29">
        <v>2855009.42</v>
      </c>
      <c r="W15" s="29">
        <v>3964333.8900000015</v>
      </c>
      <c r="X15" s="29">
        <v>1940804.41</v>
      </c>
      <c r="Y15" s="29">
        <v>3643467.9000000008</v>
      </c>
      <c r="Z15" s="29">
        <v>5765877.3299999991</v>
      </c>
      <c r="AA15" s="29">
        <v>1389889.0000000005</v>
      </c>
      <c r="AB15" s="29">
        <v>2455616.4899999993</v>
      </c>
      <c r="AC15" s="183">
        <f>2909880.57-12982.62</f>
        <v>2896897.9499999997</v>
      </c>
      <c r="AD15" s="29">
        <v>1918592.3999999997</v>
      </c>
      <c r="AE15" s="29">
        <v>1987565.5600000005</v>
      </c>
      <c r="AF15" s="29">
        <v>3547044.4499999997</v>
      </c>
      <c r="AG15" s="29">
        <v>1844269.8800000001</v>
      </c>
      <c r="AH15" s="29">
        <v>3425289.2199999997</v>
      </c>
      <c r="AI15" s="29">
        <v>1989525.0900000003</v>
      </c>
      <c r="AJ15" s="29">
        <v>3215637.91</v>
      </c>
      <c r="AK15" s="183">
        <f>'[1]PCR.1 (M3)'!AP84+'[1]PCR1.B (M3)'!$B$10</f>
        <v>2359429.98</v>
      </c>
      <c r="AL15" s="29">
        <v>6569208.8500000006</v>
      </c>
      <c r="AM15" s="29">
        <v>1060967.52</v>
      </c>
      <c r="AN15" s="29">
        <v>2221021.2599999998</v>
      </c>
      <c r="AO15" s="29">
        <v>2799025.17</v>
      </c>
      <c r="AP15" s="29">
        <v>1466878.8699999996</v>
      </c>
      <c r="AQ15" s="29">
        <v>1739768.2499999998</v>
      </c>
      <c r="AR15" s="29">
        <v>2069034.8700000006</v>
      </c>
      <c r="AS15" s="29">
        <v>2253685.36</v>
      </c>
      <c r="AT15" s="29">
        <v>3297337.4599999995</v>
      </c>
      <c r="AU15" s="29">
        <v>2112031.12</v>
      </c>
      <c r="AV15" s="29">
        <v>1596026.1300000001</v>
      </c>
      <c r="AW15" s="29">
        <v>1635688.3000000005</v>
      </c>
      <c r="AX15" s="29">
        <v>3981235.5199999996</v>
      </c>
      <c r="AY15" s="29">
        <v>908700.0499999997</v>
      </c>
      <c r="AZ15" s="29">
        <v>2679356.8400000003</v>
      </c>
      <c r="BA15" s="29">
        <v>2395398.5600000005</v>
      </c>
      <c r="BB15" s="29">
        <v>1855242.3400000005</v>
      </c>
      <c r="BC15" s="29">
        <v>1596925.32</v>
      </c>
      <c r="BD15" s="29">
        <v>2275226.5700000008</v>
      </c>
      <c r="BE15" s="29">
        <v>3193926.1700000004</v>
      </c>
      <c r="BF15" s="29">
        <v>2259228.5699999998</v>
      </c>
      <c r="BG15" s="29">
        <v>2828882.0100000002</v>
      </c>
      <c r="BH15" s="29">
        <v>2373231.8499999996</v>
      </c>
      <c r="BI15" s="29">
        <f>'[1]PCR.1 (M3)'!BN84</f>
        <v>1774241.62</v>
      </c>
      <c r="BJ15" s="29">
        <f>'[1]PCR.1 (M3)'!BO84</f>
        <v>5703445.4899999993</v>
      </c>
      <c r="BK15" s="29">
        <f>'[1]PCR.1 (M3)'!BP84</f>
        <v>3980509.310000001</v>
      </c>
      <c r="BL15" s="29">
        <f>'[1]PCR.1 (M3)'!BQ84</f>
        <v>1229751.8400000005</v>
      </c>
      <c r="BM15" s="29">
        <f>'[1]PCR.1 (M3)'!BR84</f>
        <v>1560192.2500000002</v>
      </c>
      <c r="BN15" s="29">
        <f>'[1]PCR.1 (M3)'!BS84</f>
        <v>1237694.96</v>
      </c>
      <c r="BO15" s="29">
        <f>'[1]PCR.1 (M3)'!BT84</f>
        <v>1768567.6000000003</v>
      </c>
      <c r="BP15" s="29">
        <f>'[1]PCR.1 (M3)'!BU84</f>
        <v>2649432.73</v>
      </c>
      <c r="BQ15" s="29">
        <f>'[1]PCR.1 (M3)'!BV84</f>
        <v>2423210.7200000002</v>
      </c>
      <c r="BR15" s="29">
        <f>'[1]PCR.1 (M3)'!BW84</f>
        <v>3149556.2399999993</v>
      </c>
      <c r="BS15" s="29">
        <f>'[1]PCR.1 (M3)'!BX84</f>
        <v>229081.48000000007</v>
      </c>
      <c r="BT15" s="29">
        <f>'[1]PCR.1 (M3)'!BY84</f>
        <v>2209613.11</v>
      </c>
      <c r="BU15" s="93">
        <f>'[1]PPC.2, PCR.1F'!E28</f>
        <v>1540217.1530572069</v>
      </c>
      <c r="BV15" s="94">
        <f>'[1]PPC.2, PCR.1F'!F28</f>
        <v>3622699.7254595435</v>
      </c>
      <c r="BW15" s="95">
        <f>'[1]PPC.2, PCR.1F'!G28</f>
        <v>0</v>
      </c>
    </row>
    <row r="16" spans="1:82" x14ac:dyDescent="0.25">
      <c r="A16" t="s">
        <v>1</v>
      </c>
      <c r="B16" s="61">
        <v>0</v>
      </c>
      <c r="C16" s="29">
        <v>0</v>
      </c>
      <c r="D16" s="29">
        <v>118003.54</v>
      </c>
      <c r="E16" s="29">
        <v>325654.18</v>
      </c>
      <c r="F16" s="29">
        <v>324793.89999999997</v>
      </c>
      <c r="G16" s="29">
        <v>435080.67</v>
      </c>
      <c r="H16" s="29">
        <v>864617.95000000007</v>
      </c>
      <c r="I16" s="29">
        <v>823563.38</v>
      </c>
      <c r="J16" s="29">
        <v>1198141.9500000002</v>
      </c>
      <c r="K16" s="29">
        <v>2168634.0599999996</v>
      </c>
      <c r="L16" s="29">
        <v>1457645.93</v>
      </c>
      <c r="M16" s="29">
        <v>2644399.62</v>
      </c>
      <c r="N16" s="29">
        <v>5773379.71</v>
      </c>
      <c r="O16" s="29">
        <v>1868023.4500000002</v>
      </c>
      <c r="P16" s="29">
        <v>676401.27</v>
      </c>
      <c r="Q16" s="29">
        <v>571849.35000000009</v>
      </c>
      <c r="R16" s="29">
        <v>1291658.1399999999</v>
      </c>
      <c r="S16" s="29">
        <v>1204980.8700000003</v>
      </c>
      <c r="T16" s="29">
        <v>1282682.51</v>
      </c>
      <c r="U16" s="29">
        <v>751621.79999999993</v>
      </c>
      <c r="V16" s="29">
        <v>1567131.4100000001</v>
      </c>
      <c r="W16" s="29">
        <v>1668146.7100000002</v>
      </c>
      <c r="X16" s="29">
        <v>2452279.94</v>
      </c>
      <c r="Y16" s="29">
        <v>2405967.09</v>
      </c>
      <c r="Z16" s="29">
        <v>9828288.4500000011</v>
      </c>
      <c r="AA16" s="29">
        <v>1602172.6799999997</v>
      </c>
      <c r="AB16" s="29">
        <v>-57990.009999999755</v>
      </c>
      <c r="AC16" s="183">
        <f>3093751.8-3329</f>
        <v>3090422.8</v>
      </c>
      <c r="AD16" s="29">
        <v>955307.17</v>
      </c>
      <c r="AE16" s="29">
        <v>916367.04999999993</v>
      </c>
      <c r="AF16" s="29">
        <v>1494979.32</v>
      </c>
      <c r="AG16" s="29">
        <v>3137426.91</v>
      </c>
      <c r="AH16" s="29">
        <v>1333218.4600000002</v>
      </c>
      <c r="AI16" s="29">
        <v>1763933.4000000004</v>
      </c>
      <c r="AJ16" s="29">
        <v>1927184.2300000002</v>
      </c>
      <c r="AK16" s="29">
        <v>7730801.5699999994</v>
      </c>
      <c r="AL16" s="29">
        <v>13670067.5</v>
      </c>
      <c r="AM16" s="29">
        <v>-2916111.52</v>
      </c>
      <c r="AN16" s="29">
        <v>1342999.1600000001</v>
      </c>
      <c r="AO16" s="29">
        <v>566106.48</v>
      </c>
      <c r="AP16" s="29">
        <v>2331992.42</v>
      </c>
      <c r="AQ16" s="29">
        <v>880775.76</v>
      </c>
      <c r="AR16" s="29">
        <v>2933247.5599999996</v>
      </c>
      <c r="AS16" s="29">
        <v>245318.37000000005</v>
      </c>
      <c r="AT16" s="29">
        <v>1031346.94</v>
      </c>
      <c r="AU16" s="29">
        <v>2212706.12</v>
      </c>
      <c r="AV16" s="29">
        <v>1679933.45</v>
      </c>
      <c r="AW16" s="29">
        <v>2957433.5199999996</v>
      </c>
      <c r="AX16" s="29">
        <v>13286725.020000001</v>
      </c>
      <c r="AY16" s="29">
        <v>1273764.8300000003</v>
      </c>
      <c r="AZ16" s="29">
        <v>847713.1100000001</v>
      </c>
      <c r="BA16" s="29">
        <v>1089345.5899999999</v>
      </c>
      <c r="BB16" s="29">
        <v>560428.16999999993</v>
      </c>
      <c r="BC16" s="29">
        <v>2196833.06</v>
      </c>
      <c r="BD16" s="29">
        <v>1072852.73</v>
      </c>
      <c r="BE16" s="29">
        <v>1540782.3599999996</v>
      </c>
      <c r="BF16" s="29">
        <v>1220373.5</v>
      </c>
      <c r="BG16" s="29">
        <v>1503398.4700000002</v>
      </c>
      <c r="BH16" s="29">
        <v>2556820.79</v>
      </c>
      <c r="BI16" s="29">
        <f>'[1]PCR.1 (M3)'!BN85</f>
        <v>1087242.5900000001</v>
      </c>
      <c r="BJ16" s="29">
        <f>'[1]PCR.1 (M3)'!BO85</f>
        <v>15225471.890000002</v>
      </c>
      <c r="BK16" s="29">
        <f>'[1]PCR.1 (M3)'!BP85</f>
        <v>-1097258.5499999998</v>
      </c>
      <c r="BL16" s="29">
        <f>'[1]PCR.1 (M3)'!BQ85</f>
        <v>703520.42</v>
      </c>
      <c r="BM16" s="29">
        <f>'[1]PCR.1 (M3)'!BR85</f>
        <v>684035.7</v>
      </c>
      <c r="BN16" s="29">
        <f>'[1]PCR.1 (M3)'!BS85</f>
        <v>1084211.82</v>
      </c>
      <c r="BO16" s="29">
        <f>'[1]PCR.1 (M3)'!BT85</f>
        <v>1150201.71</v>
      </c>
      <c r="BP16" s="29">
        <f>'[1]PCR.1 (M3)'!BU85</f>
        <v>1390610.98</v>
      </c>
      <c r="BQ16" s="29">
        <f>'[1]PCR.1 (M3)'!BV85</f>
        <v>1102566.8</v>
      </c>
      <c r="BR16" s="29">
        <f>'[1]PCR.1 (M3)'!BW85</f>
        <v>1894343.3600000003</v>
      </c>
      <c r="BS16" s="29">
        <f>'[1]PCR.1 (M3)'!BX85</f>
        <v>2470610.5700000008</v>
      </c>
      <c r="BT16" s="29">
        <f>'[1]PCR.1 (M3)'!BY85</f>
        <v>2617622.7599999998</v>
      </c>
      <c r="BU16" s="93">
        <f>'[1]PPC.2, PCR.1F'!E29</f>
        <v>4599183.0698242383</v>
      </c>
      <c r="BV16" s="94">
        <f>'[1]PPC.2, PCR.1F'!F29</f>
        <v>14470003.882834464</v>
      </c>
      <c r="BW16" s="95">
        <f>'[1]PPC.2, PCR.1F'!G29</f>
        <v>0</v>
      </c>
    </row>
    <row r="17" spans="1:79" x14ac:dyDescent="0.25">
      <c r="A17" t="s">
        <v>2</v>
      </c>
      <c r="B17" s="61">
        <v>0</v>
      </c>
      <c r="C17" s="29">
        <v>0</v>
      </c>
      <c r="D17" s="29">
        <v>12500</v>
      </c>
      <c r="E17" s="29">
        <v>407849.73</v>
      </c>
      <c r="F17" s="29">
        <v>169743.63</v>
      </c>
      <c r="G17" s="29">
        <v>145713.57999999999</v>
      </c>
      <c r="H17" s="29">
        <v>136424.74</v>
      </c>
      <c r="I17" s="29">
        <v>113487.89</v>
      </c>
      <c r="J17" s="29">
        <v>261842.41999999998</v>
      </c>
      <c r="K17" s="29">
        <v>602635.35000000021</v>
      </c>
      <c r="L17" s="29">
        <v>314522.87</v>
      </c>
      <c r="M17" s="29">
        <v>750260.66000000015</v>
      </c>
      <c r="N17" s="29">
        <v>2774980.9800000009</v>
      </c>
      <c r="O17" s="29">
        <v>260906.33000000007</v>
      </c>
      <c r="P17" s="29">
        <v>242221.71999999988</v>
      </c>
      <c r="Q17" s="29">
        <v>465816.61999999988</v>
      </c>
      <c r="R17" s="29">
        <v>649726.6399999999</v>
      </c>
      <c r="S17" s="29">
        <v>223465.31</v>
      </c>
      <c r="T17" s="29">
        <v>473624.95999999996</v>
      </c>
      <c r="U17" s="29">
        <v>284775.25</v>
      </c>
      <c r="V17" s="29">
        <v>645341.55000000005</v>
      </c>
      <c r="W17" s="29">
        <v>1244018.73</v>
      </c>
      <c r="X17" s="29">
        <v>677493.60000000009</v>
      </c>
      <c r="Y17" s="29">
        <v>2169850.5999999996</v>
      </c>
      <c r="Z17" s="29">
        <v>1436003.53</v>
      </c>
      <c r="AA17" s="29">
        <v>392436.28</v>
      </c>
      <c r="AB17" s="29">
        <v>637285.61</v>
      </c>
      <c r="AC17" s="183">
        <f>743003.91-2597.82</f>
        <v>740406.09000000008</v>
      </c>
      <c r="AD17" s="29">
        <v>511672.93999999994</v>
      </c>
      <c r="AE17" s="29">
        <v>440573.41</v>
      </c>
      <c r="AF17" s="29">
        <v>1029198.4400000002</v>
      </c>
      <c r="AG17" s="29">
        <v>-91569.200000000012</v>
      </c>
      <c r="AH17" s="29">
        <v>1456158.5899999999</v>
      </c>
      <c r="AI17" s="29">
        <v>845213.95000000007</v>
      </c>
      <c r="AJ17" s="29">
        <v>654146.43999999994</v>
      </c>
      <c r="AK17" s="29">
        <v>942358.2200000002</v>
      </c>
      <c r="AL17" s="29">
        <v>1575397.8299999996</v>
      </c>
      <c r="AM17" s="29">
        <v>678363.97</v>
      </c>
      <c r="AN17" s="29">
        <v>-313066.22999999992</v>
      </c>
      <c r="AO17" s="29">
        <v>478466.84</v>
      </c>
      <c r="AP17" s="29">
        <v>646521.43999999983</v>
      </c>
      <c r="AQ17" s="29">
        <v>586153.91</v>
      </c>
      <c r="AR17" s="29">
        <v>1731599.8800000004</v>
      </c>
      <c r="AS17" s="29">
        <v>1002230.9299999999</v>
      </c>
      <c r="AT17" s="29">
        <v>1133214.31</v>
      </c>
      <c r="AU17" s="29">
        <v>1858763.39</v>
      </c>
      <c r="AV17" s="29">
        <v>1063098.32</v>
      </c>
      <c r="AW17" s="29">
        <v>1303951.45</v>
      </c>
      <c r="AX17" s="29">
        <v>3406959.4800000004</v>
      </c>
      <c r="AY17" s="29">
        <v>541903.12000000011</v>
      </c>
      <c r="AZ17" s="29">
        <v>1023823.07</v>
      </c>
      <c r="BA17" s="29">
        <v>923915.25999999989</v>
      </c>
      <c r="BB17" s="29">
        <v>1212127.42</v>
      </c>
      <c r="BC17" s="29">
        <v>1911779.5999999999</v>
      </c>
      <c r="BD17" s="29">
        <v>1487900.69</v>
      </c>
      <c r="BE17" s="29">
        <v>1406950.3299999998</v>
      </c>
      <c r="BF17" s="29">
        <v>1204663.21</v>
      </c>
      <c r="BG17" s="29">
        <v>447642.49</v>
      </c>
      <c r="BH17" s="29">
        <v>786997.18999999983</v>
      </c>
      <c r="BI17" s="29">
        <f>'[1]PCR.1 (M3)'!BN86</f>
        <v>540971.29</v>
      </c>
      <c r="BJ17" s="29">
        <f>'[1]PCR.1 (M3)'!BO86</f>
        <v>2107349.1199999996</v>
      </c>
      <c r="BK17" s="29">
        <f>'[1]PCR.1 (M3)'!BP86</f>
        <v>35595.000000000073</v>
      </c>
      <c r="BL17" s="29">
        <f>'[1]PCR.1 (M3)'!BQ86</f>
        <v>355463.42000000004</v>
      </c>
      <c r="BM17" s="29">
        <f>'[1]PCR.1 (M3)'!BR86</f>
        <v>1367481.26</v>
      </c>
      <c r="BN17" s="29">
        <f>'[1]PCR.1 (M3)'!BS86</f>
        <v>1881361.64</v>
      </c>
      <c r="BO17" s="29">
        <f>'[1]PCR.1 (M3)'!BT86</f>
        <v>1521678.75</v>
      </c>
      <c r="BP17" s="29">
        <f>'[1]PCR.1 (M3)'!BU86</f>
        <v>1672550.09</v>
      </c>
      <c r="BQ17" s="29">
        <f>'[1]PCR.1 (M3)'!BV86</f>
        <v>1431097.3900000001</v>
      </c>
      <c r="BR17" s="29">
        <f>'[1]PCR.1 (M3)'!BW86</f>
        <v>1262805.02</v>
      </c>
      <c r="BS17" s="29">
        <f>'[1]PCR.1 (M3)'!BX86</f>
        <v>1868674.73</v>
      </c>
      <c r="BT17" s="29">
        <f>'[1]PCR.1 (M3)'!BY86</f>
        <v>1430613.54</v>
      </c>
      <c r="BU17" s="93">
        <f>'[1]PPC.2, PCR.1F'!E30</f>
        <v>1011386.3594138328</v>
      </c>
      <c r="BV17" s="94">
        <f>'[1]PPC.2, PCR.1F'!F30</f>
        <v>1545713.0962357754</v>
      </c>
      <c r="BW17" s="95">
        <f>'[1]PPC.2, PCR.1F'!G30</f>
        <v>0</v>
      </c>
    </row>
    <row r="18" spans="1:79" x14ac:dyDescent="0.25">
      <c r="A18" t="s">
        <v>3</v>
      </c>
      <c r="B18" s="61">
        <v>299724.7</v>
      </c>
      <c r="C18" s="29">
        <v>121950.46</v>
      </c>
      <c r="D18" s="29">
        <v>55553.56</v>
      </c>
      <c r="E18" s="29">
        <v>237390.9</v>
      </c>
      <c r="F18" s="29">
        <v>-226777.68</v>
      </c>
      <c r="G18" s="29">
        <v>241390.14</v>
      </c>
      <c r="H18" s="29">
        <v>15423.059999999998</v>
      </c>
      <c r="I18" s="29">
        <v>307238.86</v>
      </c>
      <c r="J18" s="29">
        <v>295766.11000000004</v>
      </c>
      <c r="K18" s="29">
        <v>552526.09</v>
      </c>
      <c r="L18" s="29">
        <v>175843.66</v>
      </c>
      <c r="M18" s="29">
        <v>-526224.58000000007</v>
      </c>
      <c r="N18" s="29">
        <v>28431.279999999999</v>
      </c>
      <c r="O18" s="29">
        <v>93809</v>
      </c>
      <c r="P18" s="29">
        <v>54998.229999999996</v>
      </c>
      <c r="Q18" s="29">
        <v>149881.44</v>
      </c>
      <c r="R18" s="29">
        <v>72864.48000000001</v>
      </c>
      <c r="S18" s="29">
        <v>28617.46</v>
      </c>
      <c r="T18" s="29">
        <v>122525.88</v>
      </c>
      <c r="U18" s="29">
        <v>57874.9</v>
      </c>
      <c r="V18" s="29">
        <v>64575.22</v>
      </c>
      <c r="W18" s="29">
        <v>4505.8000000000029</v>
      </c>
      <c r="X18" s="29">
        <v>5348.88</v>
      </c>
      <c r="Y18" s="29">
        <v>7038</v>
      </c>
      <c r="Z18" s="29">
        <v>20817.36</v>
      </c>
      <c r="AA18" s="29">
        <v>6193.44</v>
      </c>
      <c r="AB18" s="29">
        <v>5630.4</v>
      </c>
      <c r="AC18" s="183">
        <f>29515.17-2581</f>
        <v>26934.17</v>
      </c>
      <c r="AD18" s="29">
        <v>207511.6</v>
      </c>
      <c r="AE18" s="29">
        <v>-94676.78</v>
      </c>
      <c r="AF18" s="29">
        <v>29916.21</v>
      </c>
      <c r="AG18" s="29">
        <v>183922.07</v>
      </c>
      <c r="AH18" s="29">
        <v>-63914.230000000025</v>
      </c>
      <c r="AI18" s="29">
        <v>-59786.26</v>
      </c>
      <c r="AJ18" s="29">
        <v>111100.94</v>
      </c>
      <c r="AK18" s="29">
        <v>4222.8</v>
      </c>
      <c r="AL18" s="29">
        <v>41823.06</v>
      </c>
      <c r="AM18" s="29">
        <v>-29225.040000000001</v>
      </c>
      <c r="AN18" s="29">
        <v>41048.879999999997</v>
      </c>
      <c r="AO18" s="29">
        <v>5348.88</v>
      </c>
      <c r="AP18" s="29">
        <v>6756.48</v>
      </c>
      <c r="AQ18" s="29">
        <v>103041.38</v>
      </c>
      <c r="AR18" s="29">
        <v>14032.92</v>
      </c>
      <c r="AS18" s="29">
        <v>33192.53</v>
      </c>
      <c r="AT18" s="29">
        <v>215236.5</v>
      </c>
      <c r="AU18" s="29">
        <v>57529.479999999996</v>
      </c>
      <c r="AV18" s="29">
        <v>-135105</v>
      </c>
      <c r="AW18" s="29">
        <v>133468.75</v>
      </c>
      <c r="AX18" s="29">
        <v>97391.5</v>
      </c>
      <c r="AY18" s="29">
        <v>93717.5</v>
      </c>
      <c r="AZ18" s="29">
        <v>0</v>
      </c>
      <c r="BA18" s="29">
        <v>54560</v>
      </c>
      <c r="BB18" s="29">
        <v>8157.5</v>
      </c>
      <c r="BC18" s="29">
        <v>234940.55</v>
      </c>
      <c r="BD18" s="29">
        <v>28975.11</v>
      </c>
      <c r="BE18" s="29">
        <v>34321.03</v>
      </c>
      <c r="BF18" s="29">
        <v>51823.62</v>
      </c>
      <c r="BG18" s="29">
        <v>36614.129999999997</v>
      </c>
      <c r="BH18" s="29">
        <v>82992.33</v>
      </c>
      <c r="BI18" s="29">
        <f>'[1]PCR.1 (M3)'!BN87</f>
        <v>32886.94</v>
      </c>
      <c r="BJ18" s="29">
        <f>'[1]PCR.1 (M3)'!BO87</f>
        <v>110198.73</v>
      </c>
      <c r="BK18" s="29">
        <f>'[1]PCR.1 (M3)'!BP87</f>
        <v>-477.84999999999854</v>
      </c>
      <c r="BL18" s="29">
        <f>'[1]PCR.1 (M3)'!BQ87</f>
        <v>36512.32</v>
      </c>
      <c r="BM18" s="29">
        <f>'[1]PCR.1 (M3)'!BR87</f>
        <v>136922.94</v>
      </c>
      <c r="BN18" s="29">
        <f>'[1]PCR.1 (M3)'!BS87</f>
        <v>54610.61</v>
      </c>
      <c r="BO18" s="29">
        <f>'[1]PCR.1 (M3)'!BT87</f>
        <v>97324.04</v>
      </c>
      <c r="BP18" s="29">
        <f>'[1]PCR.1 (M3)'!BU87</f>
        <v>148825.06</v>
      </c>
      <c r="BQ18" s="29">
        <f>'[1]PCR.1 (M3)'!BV87</f>
        <v>74106.570000000007</v>
      </c>
      <c r="BR18" s="29">
        <f>'[1]PCR.1 (M3)'!BW87</f>
        <v>66389.62</v>
      </c>
      <c r="BS18" s="29">
        <f>'[1]PCR.1 (M3)'!BX87</f>
        <v>31890.61</v>
      </c>
      <c r="BT18" s="29">
        <f>'[1]PCR.1 (M3)'!BY87</f>
        <v>113206.44</v>
      </c>
      <c r="BU18" s="93">
        <f>'[1]PPC.2, PCR.1F'!E31</f>
        <v>63000</v>
      </c>
      <c r="BV18" s="94">
        <f>'[1]PPC.2, PCR.1F'!F31</f>
        <v>100000</v>
      </c>
      <c r="BW18" s="95">
        <f>'[1]PPC.2, PCR.1F'!G31</f>
        <v>0</v>
      </c>
    </row>
    <row r="19" spans="1:79" x14ac:dyDescent="0.25">
      <c r="B19" s="66"/>
      <c r="BU19" s="168"/>
      <c r="BV19" s="152"/>
      <c r="BW19" s="169"/>
    </row>
    <row r="20" spans="1:79" x14ac:dyDescent="0.25">
      <c r="A20" t="s">
        <v>83</v>
      </c>
      <c r="B20" s="66"/>
      <c r="D20" s="68"/>
      <c r="BU20" s="65"/>
      <c r="BW20" s="67"/>
    </row>
    <row r="21" spans="1:79" x14ac:dyDescent="0.25">
      <c r="A21" t="s">
        <v>0</v>
      </c>
      <c r="B21" s="72">
        <f>B15+((B28/SUM(B$28:B$32))*B$17)+((B28/SUM(B$28:B$32))*B$18)</f>
        <v>317847.94516670017</v>
      </c>
      <c r="C21" s="21">
        <f t="shared" ref="C21" si="70">C15+((C28/SUM(C$28:C$32))*C$17)+((C28/SUM(C$28:C$32))*C$18)</f>
        <v>62937.088413765421</v>
      </c>
      <c r="D21" s="21">
        <f>D15+((D28/SUM(D$28:D$32))*D$17)+((D28/SUM(D$28:D$32))*D$18)</f>
        <v>155679.80049587399</v>
      </c>
      <c r="E21" s="21">
        <f t="shared" ref="E21:V21" si="71">E15+((E28/SUM(E$28:E$32))*E$17)+((E28/SUM(E$28:E$32))*E$18)</f>
        <v>2610951.7844937206</v>
      </c>
      <c r="F21" s="21">
        <f t="shared" si="71"/>
        <v>1148856.7617550408</v>
      </c>
      <c r="G21" s="21">
        <f t="shared" si="71"/>
        <v>1980399.5353145797</v>
      </c>
      <c r="H21" s="21">
        <f t="shared" si="71"/>
        <v>2140053.1620282945</v>
      </c>
      <c r="I21" s="21">
        <f t="shared" si="71"/>
        <v>2765436.5412281929</v>
      </c>
      <c r="J21" s="21">
        <f t="shared" si="71"/>
        <v>4183009.4029065161</v>
      </c>
      <c r="K21" s="21">
        <f t="shared" si="71"/>
        <v>1880861.105136506</v>
      </c>
      <c r="L21" s="21">
        <f t="shared" si="71"/>
        <v>2961387.6014090525</v>
      </c>
      <c r="M21" s="21">
        <f t="shared" si="71"/>
        <v>5212383.3974434612</v>
      </c>
      <c r="N21" s="21">
        <f t="shared" si="71"/>
        <v>7109725.5898972265</v>
      </c>
      <c r="O21" s="21">
        <f t="shared" si="71"/>
        <v>259428.14288541273</v>
      </c>
      <c r="P21" s="21">
        <f t="shared" si="71"/>
        <v>2444271.9457997507</v>
      </c>
      <c r="Q21" s="21">
        <f t="shared" si="71"/>
        <v>3785969.5223629209</v>
      </c>
      <c r="R21" s="21">
        <f t="shared" si="71"/>
        <v>1680491.6769496738</v>
      </c>
      <c r="S21" s="21">
        <f t="shared" si="71"/>
        <v>2162288.349807201</v>
      </c>
      <c r="T21" s="21">
        <f t="shared" si="71"/>
        <v>2981699.2901663557</v>
      </c>
      <c r="U21" s="21">
        <f t="shared" si="71"/>
        <v>3422649.6991572594</v>
      </c>
      <c r="V21" s="21">
        <f t="shared" si="71"/>
        <v>3214510.3077872684</v>
      </c>
      <c r="W21" s="21">
        <f>W15+((W28/SUM(W$28:W$32))*W$17)+((W28/SUM(W$28:W$32))*W$18)</f>
        <v>4591293.4036682406</v>
      </c>
      <c r="X21" s="21">
        <f t="shared" ref="X21:AH21" si="72">X15+((X28/SUM(X$28:X$32))*X$17)+((X28/SUM(X$28:X$32))*X$18)</f>
        <v>2231532.8664184134</v>
      </c>
      <c r="Y21" s="21">
        <f t="shared" si="72"/>
        <v>4615376.5271397438</v>
      </c>
      <c r="Z21" s="21">
        <f t="shared" si="72"/>
        <v>6491173.9064641595</v>
      </c>
      <c r="AA21" s="21">
        <f t="shared" si="72"/>
        <v>1608661.0190987005</v>
      </c>
      <c r="AB21" s="21">
        <f t="shared" si="72"/>
        <v>2806301.0957175996</v>
      </c>
      <c r="AC21" s="21">
        <f t="shared" si="72"/>
        <v>3300382.2974844603</v>
      </c>
      <c r="AD21" s="21">
        <f t="shared" si="72"/>
        <v>2240025.819278914</v>
      </c>
      <c r="AE21" s="21">
        <f t="shared" si="72"/>
        <v>2134967.0343930153</v>
      </c>
      <c r="AF21" s="21">
        <f t="shared" si="72"/>
        <v>4048540.4274563324</v>
      </c>
      <c r="AG21" s="21">
        <f t="shared" si="72"/>
        <v>1889890.7508415424</v>
      </c>
      <c r="AH21" s="21">
        <f t="shared" si="72"/>
        <v>4129452.8163782121</v>
      </c>
      <c r="AI21" s="21">
        <f>AI15+((AI28/SUM(AI$28:AI$32))*AI$17)+((AI28/SUM(AI$28:AI$32))*AI$18)</f>
        <v>2379217.0373304095</v>
      </c>
      <c r="AJ21" s="21">
        <f t="shared" ref="AJ21:AV21" si="73">AJ15+((AJ28/SUM(AJ$28:AJ$32))*AJ$17)+((AJ28/SUM(AJ$28:AJ$32))*AJ$18)</f>
        <v>3552188.0090167741</v>
      </c>
      <c r="AK21" s="21">
        <f>AK15+((AK28/SUM(AK$28:AK$32))*AK$17)+((AK28/SUM(AK$28:AK$32))*AK$18)</f>
        <v>2721482.1405940671</v>
      </c>
      <c r="AL21" s="21">
        <f t="shared" si="73"/>
        <v>7127795.3918257952</v>
      </c>
      <c r="AM21" s="21">
        <f t="shared" si="73"/>
        <v>1286710.8196171494</v>
      </c>
      <c r="AN21" s="21">
        <f t="shared" si="73"/>
        <v>2126053.2172410022</v>
      </c>
      <c r="AO21" s="21">
        <f t="shared" si="73"/>
        <v>2973029.5961974128</v>
      </c>
      <c r="AP21" s="21">
        <f t="shared" si="73"/>
        <v>1698556.0515105189</v>
      </c>
      <c r="AQ21" s="21">
        <f t="shared" si="73"/>
        <v>2037281.5795444003</v>
      </c>
      <c r="AR21" s="21">
        <f t="shared" si="73"/>
        <v>2895657.9130224497</v>
      </c>
      <c r="AS21" s="21">
        <f t="shared" si="73"/>
        <v>2794975.9982388122</v>
      </c>
      <c r="AT21" s="21">
        <f t="shared" si="73"/>
        <v>3988822.7349588289</v>
      </c>
      <c r="AU21" s="21">
        <f>AU15+((AU28/SUM(AU$28:AU$32))*AU$17)+((AU28/SUM(AU$28:AU$32))*AU$18)</f>
        <v>3030985.2549935617</v>
      </c>
      <c r="AV21" s="21">
        <f t="shared" si="73"/>
        <v>2001660.2225836015</v>
      </c>
      <c r="AW21" s="21">
        <f t="shared" ref="AW21:BH21" si="74">AW15+((AW28/SUM(AW$28:AW$32))*AW$17)+((AW28/SUM(AW$28:AW$32))*AW$18)</f>
        <v>2253463.9899363243</v>
      </c>
      <c r="AX21" s="21">
        <f t="shared" si="74"/>
        <v>5639554.9856678387</v>
      </c>
      <c r="AY21" s="21">
        <f t="shared" si="74"/>
        <v>1254816.9960129757</v>
      </c>
      <c r="AZ21" s="21">
        <f t="shared" si="74"/>
        <v>3222663.2252044026</v>
      </c>
      <c r="BA21" s="21">
        <f t="shared" si="74"/>
        <v>2885922.3527224702</v>
      </c>
      <c r="BB21" s="21">
        <f t="shared" si="74"/>
        <v>2429692.8487863448</v>
      </c>
      <c r="BC21" s="21">
        <f t="shared" si="74"/>
        <v>2531616.3832636396</v>
      </c>
      <c r="BD21" s="21">
        <f t="shared" si="74"/>
        <v>2983603.5040346691</v>
      </c>
      <c r="BE21" s="21">
        <f t="shared" si="74"/>
        <v>3938753.3560682866</v>
      </c>
      <c r="BF21" s="21">
        <f t="shared" si="74"/>
        <v>2901430.3437830657</v>
      </c>
      <c r="BG21" s="21">
        <f t="shared" si="74"/>
        <v>3067649.1322357678</v>
      </c>
      <c r="BH21" s="21">
        <f t="shared" si="74"/>
        <v>2761451.8193746149</v>
      </c>
      <c r="BI21" s="21">
        <f t="shared" ref="BI21:BT21" si="75">BI15+((BI28/SUM(BI$28:BI$32))*BI$17)+((BI28/SUM(BI$28:BI$32))*BI$18)</f>
        <v>2021825.0524327916</v>
      </c>
      <c r="BJ21" s="21">
        <f t="shared" si="75"/>
        <v>6801992.8431262113</v>
      </c>
      <c r="BK21" s="21">
        <f t="shared" si="75"/>
        <v>3999442.3501535016</v>
      </c>
      <c r="BL21" s="21">
        <f t="shared" si="75"/>
        <v>1442781.1632707652</v>
      </c>
      <c r="BM21" s="21">
        <f t="shared" si="75"/>
        <v>2281899.8000322059</v>
      </c>
      <c r="BN21" s="21">
        <f t="shared" si="75"/>
        <v>2133284.7519623148</v>
      </c>
      <c r="BO21" s="21">
        <f t="shared" si="75"/>
        <v>2471126.0991450427</v>
      </c>
      <c r="BP21" s="21">
        <f>BP15+((BP28/SUM(BP$28:BP$32))*BP$17)+((BP28/SUM(BP$28:BP$32))*BP$18)</f>
        <v>3521275.2936313204</v>
      </c>
      <c r="BQ21" s="21">
        <f t="shared" si="75"/>
        <v>3205044.3551909775</v>
      </c>
      <c r="BR21" s="21">
        <f t="shared" si="75"/>
        <v>3828769.3397476044</v>
      </c>
      <c r="BS21" s="21">
        <f t="shared" si="75"/>
        <v>1184338.1826538364</v>
      </c>
      <c r="BT21" s="21">
        <f t="shared" si="75"/>
        <v>2904034.4885520292</v>
      </c>
      <c r="BU21" s="72">
        <f>BU15+((BU28/SUM(BU$28:BU$32))*BU$17)+((BU28/SUM(BU$28:BU$32))*BU$18)</f>
        <v>2060909.1583242882</v>
      </c>
      <c r="BV21" s="73">
        <f>BV15+((BV28/SUM(BV$28:BV$32))*BV$17)+((BV28/SUM(BV$28:BV$32))*BV$18)</f>
        <v>4475117.3896866059</v>
      </c>
      <c r="BW21" s="75">
        <f>BW15+((BW28/SUM(BW$28:BW$32))*BW$17)+((BW28/SUM(BW$28:BW$32))*BW$18)</f>
        <v>0</v>
      </c>
    </row>
    <row r="22" spans="1:79" x14ac:dyDescent="0.25">
      <c r="A22" t="s">
        <v>4</v>
      </c>
      <c r="B22" s="72">
        <f t="shared" ref="B22:C22" si="76">((B29/SUM(B$29:B$32))*B$16)+((B29/SUM(B$28:B$32))*B$17)+((B29/SUM(B$28:B$32))*B$18)</f>
        <v>33385.711349135156</v>
      </c>
      <c r="C22" s="21">
        <f t="shared" si="76"/>
        <v>13887.647890998298</v>
      </c>
      <c r="D22" s="21">
        <f t="shared" ref="D22:J25" si="77">((D29/SUM(D$29:D$32))*D$16)+((D29/SUM(D$28:D$32))*D$17)+((D29/SUM(D$28:D$32))*D$18)</f>
        <v>36274.43793325447</v>
      </c>
      <c r="E22" s="21">
        <f t="shared" si="77"/>
        <v>151627.30805818431</v>
      </c>
      <c r="F22" s="21">
        <f t="shared" si="77"/>
        <v>61855.782634756295</v>
      </c>
      <c r="G22" s="21">
        <f t="shared" si="77"/>
        <v>134815.26461359835</v>
      </c>
      <c r="H22" s="21">
        <f t="shared" si="77"/>
        <v>195657.14238592016</v>
      </c>
      <c r="I22" s="21">
        <f t="shared" si="77"/>
        <v>231093.36120904284</v>
      </c>
      <c r="J22" s="21">
        <f t="shared" si="77"/>
        <v>326643.83244593668</v>
      </c>
      <c r="K22" s="21">
        <f t="shared" ref="K22:BV25" si="78">((K29/SUM(K$29:K$32))*K$16)+((K29/SUM(K$28:K$32))*K$17)+((K29/SUM(K$28:K$32))*K$18)</f>
        <v>593095.03885828401</v>
      </c>
      <c r="L22" s="21">
        <f t="shared" si="78"/>
        <v>362306.07562952751</v>
      </c>
      <c r="M22" s="21">
        <f t="shared" si="78"/>
        <v>579948.61375456466</v>
      </c>
      <c r="N22" s="21">
        <f t="shared" si="78"/>
        <v>1644656.6162915369</v>
      </c>
      <c r="O22" s="21">
        <f t="shared" si="78"/>
        <v>478191.42075922922</v>
      </c>
      <c r="P22" s="21">
        <f t="shared" si="78"/>
        <v>190324.34405980565</v>
      </c>
      <c r="Q22" s="21">
        <f t="shared" si="78"/>
        <v>204536.01142143455</v>
      </c>
      <c r="R22" s="21">
        <f t="shared" si="78"/>
        <v>340999.94018713571</v>
      </c>
      <c r="S22" s="21">
        <f t="shared" si="78"/>
        <v>264264.07629370497</v>
      </c>
      <c r="T22" s="21">
        <f t="shared" si="78"/>
        <v>334259.56944584794</v>
      </c>
      <c r="U22" s="21">
        <f t="shared" si="78"/>
        <v>207498.16986042447</v>
      </c>
      <c r="V22" s="21">
        <f t="shared" si="78"/>
        <v>422337.15665531013</v>
      </c>
      <c r="W22" s="21">
        <f t="shared" si="78"/>
        <v>487415.19141766964</v>
      </c>
      <c r="X22" s="21">
        <f t="shared" si="78"/>
        <v>574674.47091512289</v>
      </c>
      <c r="Y22" s="21">
        <f t="shared" ref="Y22:AJ22" si="79">((Y29/SUM(Y$29:Y$32))*Y$16)+((Y29/SUM(Y$28:Y$32))*Y$17)+((Y29/SUM(Y$28:Y$32))*Y$18)</f>
        <v>741143.71722323762</v>
      </c>
      <c r="Z22" s="21">
        <f t="shared" si="79"/>
        <v>2317663.8802469498</v>
      </c>
      <c r="AA22" s="21">
        <f t="shared" si="79"/>
        <v>439259.65781740332</v>
      </c>
      <c r="AB22" s="21">
        <f t="shared" si="79"/>
        <v>56623.494159185706</v>
      </c>
      <c r="AC22" s="21">
        <f t="shared" si="79"/>
        <v>851873.87958928756</v>
      </c>
      <c r="AD22" s="21">
        <f t="shared" si="79"/>
        <v>287251.73569662898</v>
      </c>
      <c r="AE22" s="21">
        <f t="shared" si="79"/>
        <v>226425.26490620113</v>
      </c>
      <c r="AF22" s="21">
        <f t="shared" si="79"/>
        <v>460026.04186408187</v>
      </c>
      <c r="AG22" s="21">
        <f t="shared" si="79"/>
        <v>698095.73166300473</v>
      </c>
      <c r="AH22" s="21">
        <f t="shared" si="79"/>
        <v>454727.28310199472</v>
      </c>
      <c r="AI22" s="21">
        <f t="shared" si="79"/>
        <v>480711.89843905822</v>
      </c>
      <c r="AJ22" s="21">
        <f t="shared" si="79"/>
        <v>503226.09129035793</v>
      </c>
      <c r="AK22" s="21">
        <f t="shared" ref="AK22:AV22" si="80">((AK29/SUM(AK$29:AK$32))*AK$16)+((AK29/SUM(AK$28:AK$32))*AK$17)+((AK29/SUM(AK$28:AK$32))*AK$18)</f>
        <v>1834567.7751021215</v>
      </c>
      <c r="AL22" s="21">
        <f t="shared" si="80"/>
        <v>3135247.0004780851</v>
      </c>
      <c r="AM22" s="21">
        <f t="shared" si="80"/>
        <v>-597618.79438017111</v>
      </c>
      <c r="AN22" s="21">
        <f t="shared" si="80"/>
        <v>291348.70233338169</v>
      </c>
      <c r="AO22" s="21">
        <f t="shared" si="80"/>
        <v>208495.57787519018</v>
      </c>
      <c r="AP22" s="21">
        <f t="shared" si="80"/>
        <v>605569.83392209304</v>
      </c>
      <c r="AQ22" s="21">
        <f t="shared" si="80"/>
        <v>274766.19024564076</v>
      </c>
      <c r="AR22" s="21">
        <f t="shared" si="80"/>
        <v>852009.41060147085</v>
      </c>
      <c r="AS22" s="21">
        <f t="shared" si="80"/>
        <v>173597.8196402218</v>
      </c>
      <c r="AT22" s="21">
        <f t="shared" si="80"/>
        <v>390210.14559230045</v>
      </c>
      <c r="AU22" s="21">
        <f t="shared" si="80"/>
        <v>713985.11768491869</v>
      </c>
      <c r="AV22" s="21">
        <f t="shared" si="80"/>
        <v>470204.94387151313</v>
      </c>
      <c r="AW22" s="21">
        <f t="shared" ref="AW22:BH22" si="81">((AW29/SUM(AW$29:AW$32))*AW$16)+((AW29/SUM(AW$28:AW$32))*AW$17)+((AW29/SUM(AW$28:AW$32))*AW$18)</f>
        <v>785251.21873655089</v>
      </c>
      <c r="AX22" s="21">
        <f t="shared" si="81"/>
        <v>3530469.3860338749</v>
      </c>
      <c r="AY22" s="21">
        <f t="shared" si="81"/>
        <v>400377.9539753077</v>
      </c>
      <c r="AZ22" s="21">
        <f t="shared" si="81"/>
        <v>329946.87860464351</v>
      </c>
      <c r="BA22" s="21">
        <f t="shared" si="81"/>
        <v>377599.031836359</v>
      </c>
      <c r="BB22" s="21">
        <f t="shared" si="81"/>
        <v>272886.04030476953</v>
      </c>
      <c r="BC22" s="21">
        <f t="shared" si="81"/>
        <v>724692.08508854755</v>
      </c>
      <c r="BD22" s="21">
        <f t="shared" si="81"/>
        <v>423952.61508683232</v>
      </c>
      <c r="BE22" s="21">
        <f t="shared" si="81"/>
        <v>545534.96293371113</v>
      </c>
      <c r="BF22" s="21">
        <f t="shared" si="81"/>
        <v>433114.47441027907</v>
      </c>
      <c r="BG22" s="21">
        <f t="shared" si="81"/>
        <v>405287.63263850729</v>
      </c>
      <c r="BH22" s="21">
        <f t="shared" si="81"/>
        <v>673840.43238067394</v>
      </c>
      <c r="BI22" s="21">
        <f t="shared" ref="BI22:BT22" si="82">((BI29/SUM(BI$29:BI$32))*BI$16)+((BI29/SUM(BI$28:BI$32))*BI$17)+((BI29/SUM(BI$28:BI$32))*BI$18)</f>
        <v>309350.87818688649</v>
      </c>
      <c r="BJ22" s="21">
        <f t="shared" si="82"/>
        <v>3810905.5163024724</v>
      </c>
      <c r="BK22" s="21">
        <f t="shared" si="82"/>
        <v>-276862.04917634226</v>
      </c>
      <c r="BL22" s="21">
        <f t="shared" si="82"/>
        <v>229867.72598987605</v>
      </c>
      <c r="BM22" s="21">
        <f t="shared" si="82"/>
        <v>344442.95654203312</v>
      </c>
      <c r="BN22" s="21">
        <f t="shared" si="82"/>
        <v>493554.74534801673</v>
      </c>
      <c r="BO22" s="21">
        <f t="shared" si="82"/>
        <v>450787.19120787346</v>
      </c>
      <c r="BP22" s="21">
        <f t="shared" si="82"/>
        <v>549689.70115725719</v>
      </c>
      <c r="BQ22" s="21">
        <f t="shared" si="82"/>
        <v>451835.21675726585</v>
      </c>
      <c r="BR22" s="21">
        <f t="shared" si="82"/>
        <v>626839.11712738173</v>
      </c>
      <c r="BS22" s="21">
        <f t="shared" si="82"/>
        <v>834691.20331084216</v>
      </c>
      <c r="BT22" s="21">
        <f t="shared" si="82"/>
        <v>790502.57369746862</v>
      </c>
      <c r="BU22" s="72">
        <f>((BU29/SUM(BU$29:BU$32))*BU$16)+((BU29/SUM(BU$28:BU$32))*BU$17)+((BU29/SUM(BU$28:BU$32))*BU$18)</f>
        <v>1161684.9434915215</v>
      </c>
      <c r="BV22" s="73">
        <f t="shared" si="78"/>
        <v>3725884.9304341841</v>
      </c>
      <c r="BW22" s="75">
        <f t="shared" ref="BV22:BW25" si="83">((BW29/SUM(BW$29:BW$32))*BW$16)+((BW29/SUM(BW$28:BW$32))*BW$17)+((BW29/SUM(BW$28:BW$32))*BW$18)</f>
        <v>0</v>
      </c>
    </row>
    <row r="23" spans="1:79" x14ac:dyDescent="0.25">
      <c r="A23" t="s">
        <v>5</v>
      </c>
      <c r="B23" s="72">
        <f t="shared" ref="B23:C25" si="84">((B30/SUM(B$29:B$32))*B$16)+((B30/SUM(B$28:B$32))*B$17)+((B30/SUM(B$28:B$32))*B$18)</f>
        <v>72690.254284489041</v>
      </c>
      <c r="C23" s="21">
        <f t="shared" si="84"/>
        <v>29119.872157604295</v>
      </c>
      <c r="D23" s="21">
        <f t="shared" si="77"/>
        <v>73504.970610067088</v>
      </c>
      <c r="E23" s="21">
        <f t="shared" si="77"/>
        <v>313330.74775433698</v>
      </c>
      <c r="F23" s="21">
        <f t="shared" si="77"/>
        <v>143775.80981087088</v>
      </c>
      <c r="G23" s="21">
        <f t="shared" si="77"/>
        <v>333600.03017572546</v>
      </c>
      <c r="H23" s="21">
        <f t="shared" si="77"/>
        <v>460989.01640803815</v>
      </c>
      <c r="I23" s="21">
        <f t="shared" si="77"/>
        <v>512830.53413618542</v>
      </c>
      <c r="J23" s="21">
        <f>((J30/SUM(J$29:J$32))*J$16)+((J30/SUM(J$28:J$32))*J$17)+((J30/SUM(J$28:J$32))*J$18)</f>
        <v>721515.33340395277</v>
      </c>
      <c r="K23" s="21">
        <f t="shared" si="78"/>
        <v>1370292.2245446704</v>
      </c>
      <c r="L23" s="21">
        <f t="shared" si="78"/>
        <v>851992.89414610213</v>
      </c>
      <c r="M23" s="21">
        <f t="shared" si="78"/>
        <v>1344071.987358633</v>
      </c>
      <c r="N23" s="21">
        <f t="shared" si="78"/>
        <v>3521259.3811405059</v>
      </c>
      <c r="O23" s="21">
        <f t="shared" si="78"/>
        <v>993120.46207226918</v>
      </c>
      <c r="P23" s="21">
        <f t="shared" si="78"/>
        <v>392200.43779670808</v>
      </c>
      <c r="Q23" s="21">
        <f t="shared" si="78"/>
        <v>437263.97018771758</v>
      </c>
      <c r="R23" s="21">
        <f t="shared" si="78"/>
        <v>810668.66968840675</v>
      </c>
      <c r="S23" s="21">
        <f t="shared" si="78"/>
        <v>647102.85444873013</v>
      </c>
      <c r="T23" s="21">
        <f t="shared" si="78"/>
        <v>772776.78494239703</v>
      </c>
      <c r="U23" s="21">
        <f t="shared" si="78"/>
        <v>449172.8580624453</v>
      </c>
      <c r="V23" s="21">
        <f t="shared" si="78"/>
        <v>933386.91358129226</v>
      </c>
      <c r="W23" s="21">
        <f t="shared" si="78"/>
        <v>1121404.1838522851</v>
      </c>
      <c r="X23" s="21">
        <f t="shared" si="78"/>
        <v>1391697.4383229041</v>
      </c>
      <c r="Y23" s="21">
        <f t="shared" ref="Y23:AJ23" si="85">((Y30/SUM(Y$29:Y$32))*Y$16)+((Y30/SUM(Y$28:Y$32))*Y$17)+((Y30/SUM(Y$28:Y$32))*Y$18)</f>
        <v>1749117.6449477291</v>
      </c>
      <c r="Z23" s="21">
        <f t="shared" si="85"/>
        <v>5089455.9306194521</v>
      </c>
      <c r="AA23" s="21">
        <f t="shared" si="85"/>
        <v>866780.95746109821</v>
      </c>
      <c r="AB23" s="21">
        <f t="shared" si="85"/>
        <v>109247.35690773571</v>
      </c>
      <c r="AC23" s="21">
        <f t="shared" si="85"/>
        <v>1745234.7749013088</v>
      </c>
      <c r="AD23" s="21">
        <f t="shared" si="85"/>
        <v>657591.77678303269</v>
      </c>
      <c r="AE23" s="21">
        <f t="shared" si="85"/>
        <v>541229.23299625039</v>
      </c>
      <c r="AF23" s="21">
        <f t="shared" si="85"/>
        <v>1020270.8373476466</v>
      </c>
      <c r="AG23" s="21">
        <f t="shared" si="85"/>
        <v>1533994.546702272</v>
      </c>
      <c r="AH23" s="21">
        <f t="shared" si="85"/>
        <v>990518.034926872</v>
      </c>
      <c r="AI23" s="21">
        <f t="shared" si="85"/>
        <v>1056576.245250212</v>
      </c>
      <c r="AJ23" s="21">
        <f t="shared" si="85"/>
        <v>1165657.3142704917</v>
      </c>
      <c r="AK23" s="21">
        <f t="shared" ref="AK23:AV23" si="86">((AK30/SUM(AK$29:AK$32))*AK$16)+((AK30/SUM(AK$28:AK$32))*AK$17)+((AK30/SUM(AK$28:AK$32))*AK$18)</f>
        <v>4221243.3965257928</v>
      </c>
      <c r="AL23" s="21">
        <f t="shared" si="86"/>
        <v>6911582.2720264224</v>
      </c>
      <c r="AM23" s="21">
        <f t="shared" si="86"/>
        <v>-1195303.6415827237</v>
      </c>
      <c r="AN23" s="21">
        <f t="shared" si="86"/>
        <v>563450.40359851334</v>
      </c>
      <c r="AO23" s="21">
        <f t="shared" si="86"/>
        <v>426538.02492107876</v>
      </c>
      <c r="AP23" s="21">
        <f t="shared" si="86"/>
        <v>1327981.5707279705</v>
      </c>
      <c r="AQ23" s="21">
        <f t="shared" si="86"/>
        <v>632951.87296822795</v>
      </c>
      <c r="AR23" s="21">
        <f t="shared" si="86"/>
        <v>1895403.574078917</v>
      </c>
      <c r="AS23" s="21">
        <f t="shared" si="86"/>
        <v>361708.56239513826</v>
      </c>
      <c r="AT23" s="21">
        <f t="shared" si="86"/>
        <v>824402.93495578179</v>
      </c>
      <c r="AU23" s="21">
        <f t="shared" si="86"/>
        <v>1574899.667419957</v>
      </c>
      <c r="AV23" s="21">
        <f t="shared" si="86"/>
        <v>1083315.5827114165</v>
      </c>
      <c r="AW23" s="21">
        <f t="shared" ref="AW23:BH23" si="87">((AW30/SUM(AW$29:AW$32))*AW$16)+((AW30/SUM(AW$28:AW$32))*AW$17)+((AW30/SUM(AW$28:AW$32))*AW$18)</f>
        <v>1847535.0163128397</v>
      </c>
      <c r="AX23" s="21">
        <f t="shared" si="87"/>
        <v>7379962.328712943</v>
      </c>
      <c r="AY23" s="21">
        <f t="shared" si="87"/>
        <v>769272.90458907478</v>
      </c>
      <c r="AZ23" s="21">
        <f t="shared" si="87"/>
        <v>642760.84198267956</v>
      </c>
      <c r="BA23" s="21">
        <f t="shared" si="87"/>
        <v>786609.19649746851</v>
      </c>
      <c r="BB23" s="21">
        <f t="shared" si="87"/>
        <v>590917.98953607876</v>
      </c>
      <c r="BC23" s="21">
        <f t="shared" si="87"/>
        <v>1689346.7939842611</v>
      </c>
      <c r="BD23" s="21">
        <f t="shared" si="87"/>
        <v>927928.23520418082</v>
      </c>
      <c r="BE23" s="21">
        <f t="shared" si="87"/>
        <v>1108860.9068590419</v>
      </c>
      <c r="BF23" s="21">
        <f t="shared" si="87"/>
        <v>892931.91226437234</v>
      </c>
      <c r="BG23" s="21">
        <f t="shared" si="87"/>
        <v>856367.32321890409</v>
      </c>
      <c r="BH23" s="21">
        <f t="shared" si="87"/>
        <v>1490580.3266269816</v>
      </c>
      <c r="BI23" s="21">
        <f t="shared" ref="BI23:BT23" si="88">((BI30/SUM(BI$29:BI$32))*BI$16)+((BI30/SUM(BI$28:BI$32))*BI$17)+((BI30/SUM(BI$28:BI$32))*BI$18)</f>
        <v>683725.62562587624</v>
      </c>
      <c r="BJ23" s="21">
        <f t="shared" si="88"/>
        <v>7882653.1543010324</v>
      </c>
      <c r="BK23" s="21">
        <f t="shared" si="88"/>
        <v>-520291.54948960547</v>
      </c>
      <c r="BL23" s="21">
        <f t="shared" si="88"/>
        <v>416619.46568953688</v>
      </c>
      <c r="BM23" s="21">
        <f t="shared" si="88"/>
        <v>720003.04802658083</v>
      </c>
      <c r="BN23" s="21">
        <f t="shared" si="88"/>
        <v>1060456.2303283289</v>
      </c>
      <c r="BO23" s="21">
        <f t="shared" si="88"/>
        <v>1022314.4568171016</v>
      </c>
      <c r="BP23" s="21">
        <f t="shared" si="88"/>
        <v>1155562.3089511544</v>
      </c>
      <c r="BQ23" s="21">
        <f t="shared" si="88"/>
        <v>897267.53246659075</v>
      </c>
      <c r="BR23" s="21">
        <f t="shared" si="88"/>
        <v>1244556.6292022066</v>
      </c>
      <c r="BS23" s="21">
        <f t="shared" si="88"/>
        <v>1702928.5495736147</v>
      </c>
      <c r="BT23" s="21">
        <f t="shared" si="88"/>
        <v>1705007.7324623209</v>
      </c>
      <c r="BU23" s="72">
        <f>((BU30/SUM(BU$29:BU$32))*BU$16)+((BU30/SUM(BU$28:BU$32))*BU$17)+((BU30/SUM(BU$28:BU$32))*BU$18)</f>
        <v>2536451.6695155283</v>
      </c>
      <c r="BV23" s="73">
        <f t="shared" si="83"/>
        <v>7478919.1994849527</v>
      </c>
      <c r="BW23" s="75">
        <f t="shared" si="83"/>
        <v>0</v>
      </c>
    </row>
    <row r="24" spans="1:79" x14ac:dyDescent="0.25">
      <c r="A24" t="s">
        <v>6</v>
      </c>
      <c r="B24" s="72">
        <f t="shared" si="84"/>
        <v>33417.905035113341</v>
      </c>
      <c r="C24" s="21">
        <f t="shared" si="84"/>
        <v>11408.01611653602</v>
      </c>
      <c r="D24" s="21">
        <f t="shared" si="77"/>
        <v>29285.213310280094</v>
      </c>
      <c r="E24" s="21">
        <f t="shared" si="77"/>
        <v>126713.46256441454</v>
      </c>
      <c r="F24" s="21">
        <f t="shared" si="77"/>
        <v>61183.192042766401</v>
      </c>
      <c r="G24" s="21">
        <f t="shared" si="77"/>
        <v>139345.20524448043</v>
      </c>
      <c r="H24" s="21">
        <f t="shared" si="77"/>
        <v>201414.40882270786</v>
      </c>
      <c r="I24" s="21">
        <f t="shared" si="77"/>
        <v>208996.49354949215</v>
      </c>
      <c r="J24" s="21">
        <f t="shared" si="77"/>
        <v>301760.02417282655</v>
      </c>
      <c r="K24" s="21">
        <f t="shared" si="78"/>
        <v>564309.39637831028</v>
      </c>
      <c r="L24" s="21">
        <f t="shared" si="78"/>
        <v>354192.11584248586</v>
      </c>
      <c r="M24" s="21">
        <f t="shared" si="78"/>
        <v>585302.32754364726</v>
      </c>
      <c r="N24" s="21">
        <f t="shared" si="78"/>
        <v>1422983.4466879484</v>
      </c>
      <c r="O24" s="21">
        <f t="shared" si="78"/>
        <v>399065.59842960391</v>
      </c>
      <c r="P24" s="21">
        <f t="shared" si="78"/>
        <v>167091.41798192603</v>
      </c>
      <c r="Q24" s="21">
        <f t="shared" si="78"/>
        <v>173715.76090543382</v>
      </c>
      <c r="R24" s="21">
        <f t="shared" si="78"/>
        <v>368571.85556808428</v>
      </c>
      <c r="S24" s="21">
        <f t="shared" si="78"/>
        <v>296495.97748790361</v>
      </c>
      <c r="T24" s="21">
        <f t="shared" si="78"/>
        <v>348620.30969897739</v>
      </c>
      <c r="U24" s="21">
        <f t="shared" si="78"/>
        <v>182612.11497631978</v>
      </c>
      <c r="V24" s="21">
        <f t="shared" si="78"/>
        <v>399327.10323625791</v>
      </c>
      <c r="W24" s="21">
        <f t="shared" si="78"/>
        <v>482010.14848845941</v>
      </c>
      <c r="X24" s="21">
        <f t="shared" si="78"/>
        <v>623293.18063074409</v>
      </c>
      <c r="Y24" s="21">
        <f t="shared" ref="Y24:AJ24" si="89">((Y31/SUM(Y$29:Y$32))*Y$16)+((Y31/SUM(Y$28:Y$32))*Y$17)+((Y31/SUM(Y$28:Y$32))*Y$18)</f>
        <v>798266.67953010893</v>
      </c>
      <c r="Z24" s="21">
        <f t="shared" si="89"/>
        <v>2261318.1017212584</v>
      </c>
      <c r="AA24" s="21">
        <f t="shared" si="89"/>
        <v>352814.16178300395</v>
      </c>
      <c r="AB24" s="21">
        <f t="shared" si="89"/>
        <v>47415.597648067909</v>
      </c>
      <c r="AC24" s="21">
        <f t="shared" si="89"/>
        <v>694083.83658849646</v>
      </c>
      <c r="AD24" s="21">
        <f t="shared" si="89"/>
        <v>292298.17208362644</v>
      </c>
      <c r="AE24" s="21">
        <f t="shared" si="89"/>
        <v>243561.61463143458</v>
      </c>
      <c r="AF24" s="21">
        <f t="shared" si="89"/>
        <v>404192.65513118246</v>
      </c>
      <c r="AG24" s="21">
        <f t="shared" si="89"/>
        <v>685564.67507223401</v>
      </c>
      <c r="AH24" s="21">
        <f t="shared" si="89"/>
        <v>410569.75676199573</v>
      </c>
      <c r="AI24" s="21">
        <f t="shared" si="89"/>
        <v>435119.73531437048</v>
      </c>
      <c r="AJ24" s="21">
        <f t="shared" si="89"/>
        <v>471572.02038160991</v>
      </c>
      <c r="AK24" s="21">
        <f t="shared" ref="AK24:AV24" si="90">((AK31/SUM(AK$29:AK$32))*AK$16)+((AK31/SUM(AK$28:AK$32))*AK$17)+((AK31/SUM(AK$28:AK$32))*AK$18)</f>
        <v>1676599.3547623428</v>
      </c>
      <c r="AL24" s="21">
        <f t="shared" si="90"/>
        <v>3301374.1188172679</v>
      </c>
      <c r="AM24" s="21">
        <f t="shared" si="90"/>
        <v>-515376.74911432504</v>
      </c>
      <c r="AN24" s="21">
        <f t="shared" si="90"/>
        <v>228966.59833741645</v>
      </c>
      <c r="AO24" s="21">
        <f t="shared" si="90"/>
        <v>176183.51659146888</v>
      </c>
      <c r="AP24" s="21">
        <f t="shared" si="90"/>
        <v>595259.55546869244</v>
      </c>
      <c r="AQ24" s="21">
        <f t="shared" si="90"/>
        <v>277218.26728690701</v>
      </c>
      <c r="AR24" s="21">
        <f t="shared" si="90"/>
        <v>820581.55650830548</v>
      </c>
      <c r="AS24" s="21">
        <f t="shared" si="90"/>
        <v>148683.48135078256</v>
      </c>
      <c r="AT24" s="21">
        <f t="shared" si="90"/>
        <v>347615.22238435585</v>
      </c>
      <c r="AU24" s="21">
        <f t="shared" si="90"/>
        <v>658810.60875986505</v>
      </c>
      <c r="AV24" s="21">
        <f t="shared" si="90"/>
        <v>468234.20510467322</v>
      </c>
      <c r="AW24" s="21">
        <f t="shared" ref="AW24:BH24" si="91">((AW31/SUM(AW$29:AW$32))*AW$16)+((AW31/SUM(AW$28:AW$32))*AW$17)+((AW31/SUM(AW$28:AW$32))*AW$18)</f>
        <v>828375.62191850913</v>
      </c>
      <c r="AX24" s="21">
        <f t="shared" si="91"/>
        <v>3106991.4796699374</v>
      </c>
      <c r="AY24" s="21">
        <f t="shared" si="91"/>
        <v>295214.0846565484</v>
      </c>
      <c r="AZ24" s="21">
        <f t="shared" si="91"/>
        <v>265873.11240793695</v>
      </c>
      <c r="BA24" s="21">
        <f t="shared" si="91"/>
        <v>314203.89408457064</v>
      </c>
      <c r="BB24" s="21">
        <f t="shared" si="91"/>
        <v>264515.6585712735</v>
      </c>
      <c r="BC24" s="21">
        <f t="shared" si="91"/>
        <v>760306.35185172583</v>
      </c>
      <c r="BD24" s="21">
        <f t="shared" si="91"/>
        <v>392252.95410127693</v>
      </c>
      <c r="BE24" s="21">
        <f t="shared" si="91"/>
        <v>440187.82259080844</v>
      </c>
      <c r="BF24" s="21">
        <f t="shared" si="91"/>
        <v>381538.78855028504</v>
      </c>
      <c r="BG24" s="21">
        <f t="shared" si="91"/>
        <v>354403.99545733217</v>
      </c>
      <c r="BH24" s="21">
        <f t="shared" si="91"/>
        <v>609037.97307047003</v>
      </c>
      <c r="BI24" s="21">
        <f t="shared" ref="BI24:BT24" si="92">((BI31/SUM(BI$29:BI$32))*BI$16)+((BI31/SUM(BI$28:BI$32))*BI$17)+((BI31/SUM(BI$28:BI$32))*BI$18)</f>
        <v>302400.72635017079</v>
      </c>
      <c r="BJ24" s="21">
        <f t="shared" si="92"/>
        <v>3226863.678320935</v>
      </c>
      <c r="BK24" s="21">
        <f t="shared" si="92"/>
        <v>-206792.96799297721</v>
      </c>
      <c r="BL24" s="21">
        <f t="shared" si="92"/>
        <v>175101.76026642695</v>
      </c>
      <c r="BM24" s="21">
        <f t="shared" si="92"/>
        <v>316091.2640832882</v>
      </c>
      <c r="BN24" s="21">
        <f t="shared" si="92"/>
        <v>447324.97010455781</v>
      </c>
      <c r="BO24" s="21">
        <f t="shared" si="92"/>
        <v>449738.54599415598</v>
      </c>
      <c r="BP24" s="21">
        <f t="shared" si="92"/>
        <v>489365.29252426798</v>
      </c>
      <c r="BQ24" s="21">
        <f t="shared" si="92"/>
        <v>361349.97804156999</v>
      </c>
      <c r="BR24" s="21">
        <f t="shared" si="92"/>
        <v>504737.84436419298</v>
      </c>
      <c r="BS24" s="21">
        <f t="shared" si="92"/>
        <v>677325.33152352669</v>
      </c>
      <c r="BT24" s="21">
        <f t="shared" si="92"/>
        <v>746177.13276111824</v>
      </c>
      <c r="BU24" s="72">
        <f>((BU31/SUM(BU$29:BU$32))*BU$16)+((BU31/SUM(BU$28:BU$32))*BU$17)+((BU31/SUM(BU$28:BU$32))*BU$18)</f>
        <v>1113195.017559018</v>
      </c>
      <c r="BV24" s="73">
        <f t="shared" si="83"/>
        <v>3153660.8227779004</v>
      </c>
      <c r="BW24" s="75">
        <f t="shared" si="83"/>
        <v>0</v>
      </c>
    </row>
    <row r="25" spans="1:79" x14ac:dyDescent="0.25">
      <c r="A25" t="s">
        <v>7</v>
      </c>
      <c r="B25" s="72">
        <f t="shared" si="84"/>
        <v>15564.884164562347</v>
      </c>
      <c r="C25" s="21">
        <f t="shared" si="84"/>
        <v>4597.8354210959724</v>
      </c>
      <c r="D25" s="21">
        <f t="shared" si="77"/>
        <v>11312.677650524363</v>
      </c>
      <c r="E25" s="21">
        <f t="shared" si="77"/>
        <v>51892.447129343942</v>
      </c>
      <c r="F25" s="21">
        <f t="shared" si="77"/>
        <v>26015.323756565842</v>
      </c>
      <c r="G25" s="21">
        <f t="shared" si="77"/>
        <v>58650.364651615819</v>
      </c>
      <c r="H25" s="21">
        <f t="shared" si="77"/>
        <v>91898.590355038876</v>
      </c>
      <c r="I25" s="21">
        <f t="shared" si="77"/>
        <v>88325.459877087022</v>
      </c>
      <c r="J25" s="21">
        <f t="shared" si="77"/>
        <v>134515.41707076808</v>
      </c>
      <c r="K25" s="21">
        <f t="shared" si="78"/>
        <v>256482.99508222897</v>
      </c>
      <c r="L25" s="21">
        <f t="shared" si="78"/>
        <v>163887.46297283188</v>
      </c>
      <c r="M25" s="21">
        <f t="shared" si="78"/>
        <v>260080.0038996934</v>
      </c>
      <c r="N25" s="21">
        <f t="shared" si="78"/>
        <v>590783.18598278286</v>
      </c>
      <c r="O25" s="21">
        <f t="shared" si="78"/>
        <v>170476.71585348537</v>
      </c>
      <c r="P25" s="21">
        <f t="shared" si="78"/>
        <v>72747.164361809366</v>
      </c>
      <c r="Q25" s="21">
        <f t="shared" si="78"/>
        <v>66901.875122493031</v>
      </c>
      <c r="R25" s="21">
        <f t="shared" si="78"/>
        <v>154320.41760669943</v>
      </c>
      <c r="S25" s="21">
        <f t="shared" si="78"/>
        <v>133885.62196246081</v>
      </c>
      <c r="T25" s="21">
        <f t="shared" si="78"/>
        <v>133194.12574642192</v>
      </c>
      <c r="U25" s="21">
        <f t="shared" si="78"/>
        <v>75618.397943549877</v>
      </c>
      <c r="V25" s="21">
        <f t="shared" si="78"/>
        <v>162496.11873987119</v>
      </c>
      <c r="W25" s="21">
        <f t="shared" si="78"/>
        <v>198882.20257334653</v>
      </c>
      <c r="X25" s="21">
        <f t="shared" si="78"/>
        <v>254728.87371281514</v>
      </c>
      <c r="Y25" s="21">
        <f t="shared" ref="Y25:AJ25" si="93">((Y32/SUM(Y$29:Y$32))*Y$16)+((Y32/SUM(Y$28:Y$32))*Y$17)+((Y32/SUM(Y$28:Y$32))*Y$18)</f>
        <v>322419.0211591816</v>
      </c>
      <c r="Z25" s="21">
        <f t="shared" si="93"/>
        <v>891374.85094818077</v>
      </c>
      <c r="AA25" s="21">
        <f t="shared" si="93"/>
        <v>123175.60383979429</v>
      </c>
      <c r="AB25" s="21">
        <f t="shared" si="93"/>
        <v>20954.945567410432</v>
      </c>
      <c r="AC25" s="21">
        <f t="shared" si="93"/>
        <v>163086.22143644659</v>
      </c>
      <c r="AD25" s="21">
        <f t="shared" si="93"/>
        <v>115916.60615779724</v>
      </c>
      <c r="AE25" s="21">
        <f t="shared" si="93"/>
        <v>103646.09307309898</v>
      </c>
      <c r="AF25" s="21">
        <f t="shared" si="93"/>
        <v>168108.45820075666</v>
      </c>
      <c r="AG25" s="21">
        <f t="shared" si="93"/>
        <v>266503.95572094701</v>
      </c>
      <c r="AH25" s="21">
        <f t="shared" si="93"/>
        <v>165484.14883092506</v>
      </c>
      <c r="AI25" s="21">
        <f t="shared" si="93"/>
        <v>187261.26366595068</v>
      </c>
      <c r="AJ25" s="21">
        <f t="shared" si="93"/>
        <v>215426.08504076643</v>
      </c>
      <c r="AK25" s="21">
        <f t="shared" ref="AK25:AV25" si="94">((AK32/SUM(AK$29:AK$32))*AK$16)+((AK32/SUM(AK$28:AK$32))*AK$17)+((AK32/SUM(AK$28:AK$32))*AK$18)</f>
        <v>582919.90301567467</v>
      </c>
      <c r="AL25" s="21">
        <f t="shared" si="94"/>
        <v>1380498.4568524291</v>
      </c>
      <c r="AM25" s="21">
        <f t="shared" si="94"/>
        <v>-184416.7045399296</v>
      </c>
      <c r="AN25" s="21">
        <f t="shared" si="94"/>
        <v>82184.148489686515</v>
      </c>
      <c r="AO25" s="21">
        <f t="shared" si="94"/>
        <v>64700.654414848985</v>
      </c>
      <c r="AP25" s="21">
        <f t="shared" si="94"/>
        <v>224782.1983707246</v>
      </c>
      <c r="AQ25" s="21">
        <f t="shared" si="94"/>
        <v>87521.389954823753</v>
      </c>
      <c r="AR25" s="21">
        <f t="shared" si="94"/>
        <v>284262.77578885772</v>
      </c>
      <c r="AS25" s="21">
        <f t="shared" si="94"/>
        <v>55461.328375044977</v>
      </c>
      <c r="AT25" s="21">
        <f t="shared" si="94"/>
        <v>126084.17210873279</v>
      </c>
      <c r="AU25" s="21">
        <f t="shared" si="94"/>
        <v>262349.4611416976</v>
      </c>
      <c r="AV25" s="21">
        <f t="shared" si="94"/>
        <v>180537.94572879572</v>
      </c>
      <c r="AW25" s="21">
        <f t="shared" ref="AW25:BH25" si="95">((AW32/SUM(AW$29:AW$32))*AW$16)+((AW32/SUM(AW$28:AW$32))*AW$17)+((AW32/SUM(AW$28:AW$32))*AW$18)</f>
        <v>315916.17309577554</v>
      </c>
      <c r="AX25" s="21">
        <f t="shared" si="95"/>
        <v>1115333.3399154083</v>
      </c>
      <c r="AY25" s="21">
        <f t="shared" si="95"/>
        <v>98403.560766093506</v>
      </c>
      <c r="AZ25" s="21">
        <f t="shared" si="95"/>
        <v>89648.961800338016</v>
      </c>
      <c r="BA25" s="21">
        <f t="shared" si="95"/>
        <v>98884.934859131608</v>
      </c>
      <c r="BB25" s="21">
        <f t="shared" si="95"/>
        <v>77942.892801534079</v>
      </c>
      <c r="BC25" s="21">
        <f t="shared" si="95"/>
        <v>234516.91581182615</v>
      </c>
      <c r="BD25" s="21">
        <f t="shared" si="95"/>
        <v>137217.79157304121</v>
      </c>
      <c r="BE25" s="21">
        <f t="shared" si="95"/>
        <v>142642.84154815212</v>
      </c>
      <c r="BF25" s="21">
        <f t="shared" si="95"/>
        <v>127073.38099199753</v>
      </c>
      <c r="BG25" s="21">
        <f t="shared" si="95"/>
        <v>132829.01644948946</v>
      </c>
      <c r="BH25" s="21">
        <f t="shared" si="95"/>
        <v>265131.60854725895</v>
      </c>
      <c r="BI25" s="21">
        <f t="shared" ref="BI25:BT25" si="96">((BI32/SUM(BI$29:BI$32))*BI$16)+((BI32/SUM(BI$28:BI$32))*BI$17)+((BI32/SUM(BI$28:BI$32))*BI$18)</f>
        <v>118040.15740427529</v>
      </c>
      <c r="BJ25" s="21">
        <f t="shared" si="96"/>
        <v>1424050.0379493504</v>
      </c>
      <c r="BK25" s="21">
        <f t="shared" si="96"/>
        <v>-77127.873494575353</v>
      </c>
      <c r="BL25" s="21">
        <f t="shared" si="96"/>
        <v>60877.88478339553</v>
      </c>
      <c r="BM25" s="21">
        <f t="shared" si="96"/>
        <v>86195.081315892297</v>
      </c>
      <c r="BN25" s="21">
        <f t="shared" si="96"/>
        <v>123258.33225678201</v>
      </c>
      <c r="BO25" s="21">
        <f t="shared" si="96"/>
        <v>143805.80683582689</v>
      </c>
      <c r="BP25" s="21">
        <f t="shared" si="96"/>
        <v>145526.26373600043</v>
      </c>
      <c r="BQ25" s="21">
        <f t="shared" si="96"/>
        <v>115484.39754359612</v>
      </c>
      <c r="BR25" s="21">
        <f t="shared" si="96"/>
        <v>168191.30955861325</v>
      </c>
      <c r="BS25" s="21">
        <f t="shared" si="96"/>
        <v>200974.12293818081</v>
      </c>
      <c r="BT25" s="21">
        <f t="shared" si="96"/>
        <v>225333.92252706242</v>
      </c>
      <c r="BU25" s="72">
        <f>((BU32/SUM(BU$29:BU$32))*BU$16)+((BU32/SUM(BU$28:BU$32))*BU$17)+((BU32/SUM(BU$28:BU$32))*BU$18)</f>
        <v>341545.79340492276</v>
      </c>
      <c r="BV25" s="73">
        <f t="shared" si="83"/>
        <v>904834.36214613996</v>
      </c>
      <c r="BW25" s="75">
        <f t="shared" si="83"/>
        <v>0</v>
      </c>
    </row>
    <row r="26" spans="1:79" x14ac:dyDescent="0.25">
      <c r="B26" s="66"/>
      <c r="BU26" s="65"/>
      <c r="BW26" s="67"/>
    </row>
    <row r="27" spans="1:79" x14ac:dyDescent="0.25">
      <c r="A27" t="s">
        <v>84</v>
      </c>
      <c r="B27" s="66"/>
      <c r="D27" s="227" t="s">
        <v>85</v>
      </c>
      <c r="BU27" s="65"/>
      <c r="BW27" s="67"/>
    </row>
    <row r="28" spans="1:79" x14ac:dyDescent="0.25">
      <c r="A28" t="s">
        <v>0</v>
      </c>
      <c r="B28" s="121">
        <f>'[1]PPC.3, PCR.2'!AJ30</f>
        <v>1263779046</v>
      </c>
      <c r="C28" s="121">
        <f>'[1]PPC.3, PCR.2'!AK30</f>
        <v>1395672993</v>
      </c>
      <c r="D28" s="121">
        <f>'[1]PPC.3, PCR.2'!AL30</f>
        <v>1407530571</v>
      </c>
      <c r="E28" s="121">
        <f>'[1]PPC.3, PCR.2'!AM30</f>
        <v>1268128455</v>
      </c>
      <c r="F28" s="121">
        <f>'[1]PPC.3, PCR.2'!AN30</f>
        <v>872933544</v>
      </c>
      <c r="G28" s="121">
        <f>'[1]PPC.3, PCR.2'!AO30</f>
        <v>738196558</v>
      </c>
      <c r="H28" s="121">
        <f>'[1]PPC.3, PCR.2'!AP30</f>
        <v>978975302</v>
      </c>
      <c r="I28" s="121">
        <f>'[1]PPC.3, PCR.2'!AQ30</f>
        <v>1243909773</v>
      </c>
      <c r="J28" s="121">
        <f>'[1]PPC.3, PCR.2'!AR30</f>
        <v>1310015315</v>
      </c>
      <c r="K28" s="121">
        <f>'[1]PPC.3, PCR.2'!AS30</f>
        <v>1208033233</v>
      </c>
      <c r="L28" s="121">
        <f>'[1]PPC.3, PCR.2'!AT30</f>
        <v>993546162</v>
      </c>
      <c r="M28" s="121">
        <f>'[1]PPC.3, PCR.2'!AU30</f>
        <v>897156231</v>
      </c>
      <c r="N28" s="121">
        <f>'[1]PPC.3, PCR.2'!AV30</f>
        <v>1208147189</v>
      </c>
      <c r="O28" s="121">
        <f>'[1]PPC.3, PCR.2'!AW30</f>
        <v>1334184680</v>
      </c>
      <c r="P28" s="121">
        <f>'[1]PPC.3, PCR.2'!AX30</f>
        <v>1302694951</v>
      </c>
      <c r="Q28" s="121">
        <f>'[1]PPC.3, PCR.2'!AY30</f>
        <v>1123586700</v>
      </c>
      <c r="R28" s="121">
        <f>'[1]PPC.3, PCR.2'!AZ30</f>
        <v>886578697</v>
      </c>
      <c r="S28" s="121">
        <f>'[1]PPC.3, PCR.2'!BA30</f>
        <v>790098101</v>
      </c>
      <c r="T28" s="121">
        <f>'[1]PPC.3, PCR.2'!BB30</f>
        <v>1041013964</v>
      </c>
      <c r="U28" s="121">
        <f>'[1]PPC.3, PCR.2'!BC30</f>
        <v>1397050553</v>
      </c>
      <c r="V28" s="121">
        <f>'[1]PPC.3, PCR.2'!BD30</f>
        <v>1310723723</v>
      </c>
      <c r="W28" s="121">
        <f>'[1]PPC.3, PCR.2'!BE30</f>
        <v>1275164339</v>
      </c>
      <c r="X28" s="121">
        <f>'[1]PPC.3, PCR.2'!BF30</f>
        <v>800796996</v>
      </c>
      <c r="Y28" s="121">
        <f>'[1]PPC.3, PCR.2'!BG30</f>
        <v>856955103</v>
      </c>
      <c r="Z28" s="121">
        <f>'[1]PPC.3, PCR.2'!BH30</f>
        <v>1137867523</v>
      </c>
      <c r="AA28" s="121">
        <f>'[1]PPC.3, PCR.2'!BI30</f>
        <v>1482496943</v>
      </c>
      <c r="AB28" s="121">
        <f>'[1]PPC.3, PCR.2'!BJ30</f>
        <v>1507047480</v>
      </c>
      <c r="AC28" s="121">
        <f>'[1]PPC.3, PCR.2'!BK30</f>
        <v>1193201650</v>
      </c>
      <c r="AD28" s="121">
        <f>'[1]PPC.3, PCR.2'!BL30</f>
        <v>803567941</v>
      </c>
      <c r="AE28" s="121">
        <f>'[1]PPC.3, PCR.2'!BM30</f>
        <v>753161249</v>
      </c>
      <c r="AF28" s="121">
        <f>'[1]PPC.3, PCR.2'!BN30</f>
        <v>1061485022</v>
      </c>
      <c r="AG28" s="121">
        <f>'[1]PPC.3, PCR.2'!BO30</f>
        <v>1299384453</v>
      </c>
      <c r="AH28" s="121">
        <f>'[1]PPC.3, PCR.2'!BP30</f>
        <v>1325635096</v>
      </c>
      <c r="AI28" s="121">
        <f>'[1]PPC.3, PCR.2'!BQ30</f>
        <v>1302322503</v>
      </c>
      <c r="AJ28" s="121">
        <f>'[1]PPC.3, PCR.2'!BR30</f>
        <v>902367562</v>
      </c>
      <c r="AK28" s="121">
        <f>'[1]PPC.3, PCR.2'!BS30</f>
        <v>616534565.60039997</v>
      </c>
      <c r="AL28" s="121">
        <f>'[1]PPC.3, PCR.2'!BT30</f>
        <v>621003419.78059995</v>
      </c>
      <c r="AM28" s="121">
        <f>'[1]PPC.3, PCR.2'!BU30</f>
        <v>656971283.38569999</v>
      </c>
      <c r="AN28" s="121">
        <f>'[1]PPC.3, PCR.2'!BV30</f>
        <v>646272651.48329997</v>
      </c>
      <c r="AO28" s="121">
        <f>'[1]PPC.3, PCR.2'!BW30</f>
        <v>615981334.59430003</v>
      </c>
      <c r="AP28" s="121">
        <f>'[1]PPC.3, PCR.2'!BX30</f>
        <v>577077250.67460001</v>
      </c>
      <c r="AQ28" s="121">
        <f>'[1]PPC.3, PCR.2'!BY30</f>
        <v>787949883.91209996</v>
      </c>
      <c r="AR28" s="121">
        <f>'[1]PPC.3, PCR.2'!BZ30</f>
        <v>1060197293</v>
      </c>
      <c r="AS28" s="121">
        <f>'[1]PPC.3, PCR.2'!CA30</f>
        <v>1457350528</v>
      </c>
      <c r="AT28" s="121">
        <f>'[1]PPC.3, PCR.2'!CB30</f>
        <v>1390553772</v>
      </c>
      <c r="AU28" s="121">
        <f>'[1]PPC.3, PCR.2'!CC30</f>
        <v>1159635260</v>
      </c>
      <c r="AV28" s="121">
        <f>'[1]PPC.3, PCR.2'!CD30</f>
        <v>837049627</v>
      </c>
      <c r="AW28" s="121">
        <v>795371527</v>
      </c>
      <c r="AX28" s="121">
        <v>1056098740.4689</v>
      </c>
      <c r="AY28" s="121">
        <v>1465026007</v>
      </c>
      <c r="AZ28" s="121">
        <v>1251994199</v>
      </c>
      <c r="BA28" s="121">
        <v>1034539781</v>
      </c>
      <c r="BB28" s="121">
        <v>890081676</v>
      </c>
      <c r="BC28" s="121">
        <v>758154085</v>
      </c>
      <c r="BD28" s="121">
        <v>977251664</v>
      </c>
      <c r="BE28" s="121">
        <v>1278057997</v>
      </c>
      <c r="BF28" s="121">
        <v>1318572650</v>
      </c>
      <c r="BG28" s="121">
        <v>1220075915</v>
      </c>
      <c r="BH28" s="121">
        <v>887307993</v>
      </c>
      <c r="BI28" s="121">
        <f>'[1]PPC.3, PCR.2'!CQ30</f>
        <v>778350513.42400002</v>
      </c>
      <c r="BJ28" s="121">
        <f>'[1]PPC.3, PCR.2'!CR30</f>
        <v>1086671129</v>
      </c>
      <c r="BK28" s="121">
        <f>'[1]PPC.3, PCR.2'!CS30</f>
        <v>1422169141</v>
      </c>
      <c r="BL28" s="121">
        <f>'[1]PPC.3, PCR.2'!CT30</f>
        <v>1336981468</v>
      </c>
      <c r="BM28" s="121">
        <f>'[1]PPC.3, PCR.2'!CU30</f>
        <v>926412440</v>
      </c>
      <c r="BN28" s="121">
        <f>'[1]PPC.3, PCR.2'!CV30</f>
        <v>848897331</v>
      </c>
      <c r="BO28" s="121">
        <f>'[1]PPC.3, PCR.2'!CW30</f>
        <v>766903433</v>
      </c>
      <c r="BP28" s="121">
        <f>'[1]PPC.3, PCR.2'!CX30</f>
        <v>1042127801</v>
      </c>
      <c r="BQ28" s="121">
        <f>'[1]PPC.3, PCR.2'!CY30</f>
        <v>1392030781</v>
      </c>
      <c r="BR28" s="121">
        <f>'[1]PPC.3, PCR.2'!CZ30</f>
        <v>1268811473</v>
      </c>
      <c r="BS28" s="121">
        <f>'[1]PPC.3, PCR.2'!DA30</f>
        <v>1204491382</v>
      </c>
      <c r="BT28" s="121">
        <f>'[1]PPC.3, PCR.2'!DB30</f>
        <v>881094739</v>
      </c>
      <c r="BU28" s="142">
        <f>'[2]M3 Allocations - TD'!BT23</f>
        <v>961721412.71587527</v>
      </c>
      <c r="BV28" s="143">
        <f>'[2]M3 Allocations - TD'!BU23</f>
        <v>1214824095.0295494</v>
      </c>
      <c r="BW28" s="144">
        <f>'[2]M3 Allocations - TD'!BV23</f>
        <v>1429524901.4319398</v>
      </c>
      <c r="BY28" s="34"/>
      <c r="CA28" s="34"/>
    </row>
    <row r="29" spans="1:79" x14ac:dyDescent="0.25">
      <c r="A29" t="s">
        <v>4</v>
      </c>
      <c r="B29" s="121">
        <f>'[1]PPC.3, PCR.2'!AJ31</f>
        <v>291652347</v>
      </c>
      <c r="C29" s="121">
        <f>'[1]PPC.3, PCR.2'!AK31</f>
        <v>307968093</v>
      </c>
      <c r="D29" s="121">
        <f>'[1]PPC.3, PCR.2'!AL31</f>
        <v>308068267</v>
      </c>
      <c r="E29" s="121">
        <f>'[1]PPC.3, PCR.2'!AM31</f>
        <v>290178959</v>
      </c>
      <c r="F29" s="121">
        <f>'[1]PPC.3, PCR.2'!AN31</f>
        <v>235096003</v>
      </c>
      <c r="G29" s="121">
        <f>'[1]PPC.3, PCR.2'!AO31</f>
        <v>221772499</v>
      </c>
      <c r="H29" s="121">
        <f>'[1]PPC.3, PCR.2'!AP31</f>
        <v>258735845</v>
      </c>
      <c r="I29" s="121">
        <f>'[1]PPC.3, PCR.2'!AQ31</f>
        <v>295975497</v>
      </c>
      <c r="J29" s="121">
        <f>'[1]PPC.3, PCR.2'!AR31</f>
        <v>304175879</v>
      </c>
      <c r="K29" s="121">
        <f>'[1]PPC.3, PCR.2'!AS31</f>
        <v>293549572</v>
      </c>
      <c r="L29" s="121">
        <f>'[1]PPC.3, PCR.2'!AT31</f>
        <v>264736629</v>
      </c>
      <c r="M29" s="121">
        <f>'[1]PPC.3, PCR.2'!AU31</f>
        <v>237145043</v>
      </c>
      <c r="N29" s="121">
        <f>'[1]PPC.3, PCR.2'!AV31</f>
        <v>278572550</v>
      </c>
      <c r="O29" s="121">
        <f>'[1]PPC.3, PCR.2'!AW31</f>
        <v>297050898</v>
      </c>
      <c r="P29" s="121">
        <f>'[1]PPC.3, PCR.2'!AX31</f>
        <v>290934660</v>
      </c>
      <c r="Q29" s="121">
        <f>'[1]PPC.3, PCR.2'!AY31</f>
        <v>265078600</v>
      </c>
      <c r="R29" s="121">
        <f>'[1]PPC.3, PCR.2'!AZ31</f>
        <v>203506574</v>
      </c>
      <c r="S29" s="121">
        <f>'[1]PPC.3, PCR.2'!BA31</f>
        <v>184563246</v>
      </c>
      <c r="T29" s="121">
        <f>'[1]PPC.3, PCR.2'!BB31</f>
        <v>231230759</v>
      </c>
      <c r="U29" s="121">
        <f>'[1]PPC.3, PCR.2'!BC31</f>
        <v>288425422</v>
      </c>
      <c r="V29" s="121">
        <f>'[1]PPC.3, PCR.2'!BD31</f>
        <v>281389691</v>
      </c>
      <c r="W29" s="121">
        <f>'[1]PPC.3, PCR.2'!BE31</f>
        <v>269111017</v>
      </c>
      <c r="X29" s="121">
        <f>'[1]PPC.3, PCR.2'!BF31</f>
        <v>218212399</v>
      </c>
      <c r="Y29" s="121">
        <f>'[1]PPC.3, PCR.2'!BG31</f>
        <v>218068919</v>
      </c>
      <c r="Z29" s="121">
        <f>'[1]PPC.3, PCR.2'!BH31</f>
        <v>251883126</v>
      </c>
      <c r="AA29" s="121">
        <f>'[1]PPC.3, PCR.2'!BI31</f>
        <v>300425840</v>
      </c>
      <c r="AB29" s="121">
        <f>'[1]PPC.3, PCR.2'!BJ31</f>
        <v>303577891</v>
      </c>
      <c r="AC29" s="121">
        <f>'[1]PPC.3, PCR.2'!BK31</f>
        <v>265359424</v>
      </c>
      <c r="AD29" s="121">
        <f>'[1]PPC.3, PCR.2'!BL31</f>
        <v>211100441</v>
      </c>
      <c r="AE29" s="121">
        <f>'[1]PPC.3, PCR.2'!BM31</f>
        <v>205986967</v>
      </c>
      <c r="AF29" s="121">
        <f>'[1]PPC.3, PCR.2'!BN31</f>
        <v>264522271</v>
      </c>
      <c r="AG29" s="121">
        <f>'[1]PPC.3, PCR.2'!BO31</f>
        <v>291815734</v>
      </c>
      <c r="AH29" s="121">
        <f>'[1]PPC.3, PCR.2'!BP31</f>
        <v>291413887</v>
      </c>
      <c r="AI29" s="121">
        <f>'[1]PPC.3, PCR.2'!BQ31</f>
        <v>294374400</v>
      </c>
      <c r="AJ29" s="121">
        <f>'[1]PPC.3, PCR.2'!BR31</f>
        <v>245524134</v>
      </c>
      <c r="AK29" s="121">
        <f>'[1]PPC.3, PCR.2'!BS31</f>
        <v>219607159</v>
      </c>
      <c r="AL29" s="121">
        <f>'[1]PPC.3, PCR.2'!BT31</f>
        <v>250528302</v>
      </c>
      <c r="AM29" s="121">
        <f>'[1]PPC.3, PCR.2'!BU31</f>
        <v>295412831</v>
      </c>
      <c r="AN29" s="121">
        <f>'[1]PPC.3, PCR.2'!BV31</f>
        <v>301068791</v>
      </c>
      <c r="AO29" s="121">
        <f>'[1]PPC.3, PCR.2'!BW31</f>
        <v>261058604</v>
      </c>
      <c r="AP29" s="121">
        <f>'[1]PPC.3, PCR.2'!BX31</f>
        <v>230949228</v>
      </c>
      <c r="AQ29" s="121">
        <f>'[1]PPC.3, PCR.2'!BY31</f>
        <v>223998788</v>
      </c>
      <c r="AR29" s="121">
        <f>'[1]PPC.3, PCR.2'!BZ31</f>
        <v>260692423</v>
      </c>
      <c r="AS29" s="121">
        <f>'[1]PPC.3, PCR.2'!CA31</f>
        <v>312328749</v>
      </c>
      <c r="AT29" s="121">
        <f>'[1]PPC.3, PCR.2'!CB31</f>
        <v>305346654</v>
      </c>
      <c r="AU29" s="121">
        <f>'[1]PPC.3, PCR.2'!CC31</f>
        <v>279929276</v>
      </c>
      <c r="AV29" s="121">
        <f>'[1]PPC.3, PCR.2'!CD31</f>
        <v>230143220</v>
      </c>
      <c r="AW29" s="121">
        <v>219390300</v>
      </c>
      <c r="AX29" s="121">
        <v>274277285</v>
      </c>
      <c r="AY29" s="121">
        <v>313843493</v>
      </c>
      <c r="AZ29" s="121">
        <v>275065920</v>
      </c>
      <c r="BA29" s="121">
        <v>246366200</v>
      </c>
      <c r="BB29" s="121">
        <v>226379912</v>
      </c>
      <c r="BC29" s="121">
        <v>209000108</v>
      </c>
      <c r="BD29" s="121">
        <v>251344146</v>
      </c>
      <c r="BE29" s="121">
        <v>291402974</v>
      </c>
      <c r="BF29" s="121">
        <v>297748759</v>
      </c>
      <c r="BG29" s="121">
        <v>290701055</v>
      </c>
      <c r="BH29" s="121">
        <v>244186013</v>
      </c>
      <c r="BI29" s="121">
        <f>'[1]PPC.3, PCR.2'!CQ31</f>
        <v>224485019</v>
      </c>
      <c r="BJ29" s="121">
        <f>'[1]PPC.3, PCR.2'!CR31</f>
        <v>258087459</v>
      </c>
      <c r="BK29" s="121">
        <f>'[1]PPC.3, PCR.2'!CS31</f>
        <v>311334710</v>
      </c>
      <c r="BL29" s="121">
        <f>'[1]PPC.3, PCR.2'!CT31</f>
        <v>292542260</v>
      </c>
      <c r="BM29" s="121">
        <f>'[1]PPC.3, PCR.2'!CU31</f>
        <v>235940797</v>
      </c>
      <c r="BN29" s="121">
        <f>'[1]PPC.3, PCR.2'!CV31</f>
        <v>229085910</v>
      </c>
      <c r="BO29" s="121">
        <f>'[1]PPC.3, PCR.2'!CW31</f>
        <v>218207531</v>
      </c>
      <c r="BP29" s="121">
        <f>'[1]PPC.3, PCR.2'!CX31</f>
        <v>266604752</v>
      </c>
      <c r="BQ29" s="121">
        <f>'[1]PPC.3, PCR.2'!CY31</f>
        <v>318705410</v>
      </c>
      <c r="BR29" s="121">
        <f>'[1]PPC.3, PCR.2'!CZ31</f>
        <v>299140757</v>
      </c>
      <c r="BS29" s="121">
        <f>'[1]PPC.3, PCR.2'!DA31</f>
        <v>291256399</v>
      </c>
      <c r="BT29" s="121">
        <f>'[1]PPC.3, PCR.2'!DB31</f>
        <v>245729806</v>
      </c>
      <c r="BU29" s="142">
        <f>'[2]M3 Allocations - TD'!BT24</f>
        <v>230556313.97548485</v>
      </c>
      <c r="BV29" s="143">
        <f>'[2]M3 Allocations - TD'!BU24</f>
        <v>275979565.87286288</v>
      </c>
      <c r="BW29" s="144">
        <f>'[2]M3 Allocations - TD'!BV24</f>
        <v>310395670.82745898</v>
      </c>
      <c r="BX29" s="34"/>
      <c r="BY29" s="34"/>
      <c r="CA29" s="34"/>
    </row>
    <row r="30" spans="1:79" x14ac:dyDescent="0.25">
      <c r="A30" t="s">
        <v>5</v>
      </c>
      <c r="B30" s="121">
        <f>'[1]PPC.3, PCR.2'!AJ32</f>
        <v>635010680</v>
      </c>
      <c r="C30" s="121">
        <f>'[1]PPC.3, PCR.2'!AK32</f>
        <v>645753087</v>
      </c>
      <c r="D30" s="121">
        <f>'[1]PPC.3, PCR.2'!AL32</f>
        <v>624256369</v>
      </c>
      <c r="E30" s="121">
        <f>'[1]PPC.3, PCR.2'!AM32</f>
        <v>599641261</v>
      </c>
      <c r="F30" s="121">
        <f>'[1]PPC.3, PCR.2'!AN32</f>
        <v>546450417</v>
      </c>
      <c r="G30" s="121">
        <f>'[1]PPC.3, PCR.2'!AO32</f>
        <v>548775486</v>
      </c>
      <c r="H30" s="121">
        <f>'[1]PPC.3, PCR.2'!AP32</f>
        <v>609609142</v>
      </c>
      <c r="I30" s="121">
        <f>'[1]PPC.3, PCR.2'!AQ32</f>
        <v>656813642</v>
      </c>
      <c r="J30" s="121">
        <f>'[1]PPC.3, PCR.2'!AR32</f>
        <v>671886437</v>
      </c>
      <c r="K30" s="121">
        <f>'[1]PPC.3, PCR.2'!AS32</f>
        <v>678219627</v>
      </c>
      <c r="L30" s="121">
        <f>'[1]PPC.3, PCR.2'!AT32</f>
        <v>622550219</v>
      </c>
      <c r="M30" s="121">
        <f>'[1]PPC.3, PCR.2'!AU32</f>
        <v>549600433</v>
      </c>
      <c r="N30" s="121">
        <f>'[1]PPC.3, PCR.2'!AV32</f>
        <v>596432225</v>
      </c>
      <c r="O30" s="121">
        <f>'[1]PPC.3, PCR.2'!AW32</f>
        <v>616923082</v>
      </c>
      <c r="P30" s="121">
        <f>'[1]PPC.3, PCR.2'!AX32</f>
        <v>599527620</v>
      </c>
      <c r="Q30" s="121">
        <f>'[1]PPC.3, PCR.2'!AY32</f>
        <v>566693954</v>
      </c>
      <c r="R30" s="121">
        <f>'[1]PPC.3, PCR.2'!AZ32</f>
        <v>483801855</v>
      </c>
      <c r="S30" s="121">
        <f>'[1]PPC.3, PCR.2'!BA32</f>
        <v>451939609</v>
      </c>
      <c r="T30" s="121">
        <f>'[1]PPC.3, PCR.2'!BB32</f>
        <v>534583835</v>
      </c>
      <c r="U30" s="121">
        <f>'[1]PPC.3, PCR.2'!BC32</f>
        <v>624356693</v>
      </c>
      <c r="V30" s="121">
        <f>'[1]PPC.3, PCR.2'!BD32</f>
        <v>621885740</v>
      </c>
      <c r="W30" s="121">
        <f>'[1]PPC.3, PCR.2'!BE32</f>
        <v>619148163</v>
      </c>
      <c r="X30" s="121">
        <f>'[1]PPC.3, PCR.2'!BF32</f>
        <v>528448107.69999999</v>
      </c>
      <c r="Y30" s="121">
        <f>'[1]PPC.3, PCR.2'!BG32</f>
        <v>514648084</v>
      </c>
      <c r="Z30" s="121">
        <f>'[1]PPC.3, PCR.2'!BH32</f>
        <v>553120787</v>
      </c>
      <c r="AA30" s="121">
        <f>'[1]PPC.3, PCR.2'!BI32</f>
        <v>592823385</v>
      </c>
      <c r="AB30" s="121">
        <f>'[1]PPC.3, PCR.2'!BJ32</f>
        <v>585712392</v>
      </c>
      <c r="AC30" s="121">
        <f>'[1]PPC.3, PCR.2'!BK32</f>
        <v>543642088</v>
      </c>
      <c r="AD30" s="121">
        <f>'[1]PPC.3, PCR.2'!BL32</f>
        <v>483262229</v>
      </c>
      <c r="AE30" s="121">
        <f>'[1]PPC.3, PCR.2'!BM32</f>
        <v>492375125.19999999</v>
      </c>
      <c r="AF30" s="121">
        <f>'[1]PPC.3, PCR.2'!BN32</f>
        <v>586671915</v>
      </c>
      <c r="AG30" s="121">
        <f>'[1]PPC.3, PCR.2'!BO32</f>
        <v>641235470</v>
      </c>
      <c r="AH30" s="121">
        <f>'[1]PPC.3, PCR.2'!BP32</f>
        <v>634777638</v>
      </c>
      <c r="AI30" s="121">
        <f>'[1]PPC.3, PCR.2'!BQ32</f>
        <v>647017474</v>
      </c>
      <c r="AJ30" s="121">
        <f>'[1]PPC.3, PCR.2'!BR32</f>
        <v>568724491</v>
      </c>
      <c r="AK30" s="121">
        <f>'[1]PPC.3, PCR.2'!BS32</f>
        <v>505304455</v>
      </c>
      <c r="AL30" s="121">
        <f>'[1]PPC.3, PCR.2'!BT32</f>
        <v>552284069</v>
      </c>
      <c r="AM30" s="121">
        <f>'[1]PPC.3, PCR.2'!BU32</f>
        <v>590858313</v>
      </c>
      <c r="AN30" s="121">
        <f>'[1]PPC.3, PCR.2'!BV32</f>
        <v>582248455</v>
      </c>
      <c r="AO30" s="121">
        <f>'[1]PPC.3, PCR.2'!BW32</f>
        <v>534070902</v>
      </c>
      <c r="AP30" s="121">
        <f>'[1]PPC.3, PCR.2'!BX32</f>
        <v>506459043</v>
      </c>
      <c r="AQ30" s="121">
        <f>'[1]PPC.3, PCR.2'!BY32</f>
        <v>516003997</v>
      </c>
      <c r="AR30" s="121">
        <f>'[1]PPC.3, PCR.2'!BZ32</f>
        <v>579943536</v>
      </c>
      <c r="AS30" s="121">
        <f>'[1]PPC.3, PCR.2'!CA32</f>
        <v>650768443</v>
      </c>
      <c r="AT30" s="121">
        <f>'[1]PPC.3, PCR.2'!CB32</f>
        <v>645110540</v>
      </c>
      <c r="AU30" s="121">
        <f>'[1]PPC.3, PCR.2'!CC32</f>
        <v>617464584</v>
      </c>
      <c r="AV30" s="121">
        <f>'[1]PPC.3, PCR.2'!CD32</f>
        <v>530232061</v>
      </c>
      <c r="AW30" s="121">
        <v>516180366</v>
      </c>
      <c r="AX30" s="121">
        <v>573339069</v>
      </c>
      <c r="AY30" s="121">
        <v>603008465</v>
      </c>
      <c r="AZ30" s="121">
        <v>535848689</v>
      </c>
      <c r="BA30" s="121">
        <v>513226736</v>
      </c>
      <c r="BB30" s="121">
        <v>490211820</v>
      </c>
      <c r="BC30" s="121">
        <v>487205076</v>
      </c>
      <c r="BD30" s="121">
        <v>550130655</v>
      </c>
      <c r="BE30" s="121">
        <v>592309179</v>
      </c>
      <c r="BF30" s="121">
        <v>613854730</v>
      </c>
      <c r="BG30" s="121">
        <v>614247424</v>
      </c>
      <c r="BH30" s="121">
        <v>540155873</v>
      </c>
      <c r="BI30" s="121">
        <f>'[1]PPC.3, PCR.2'!CQ32</f>
        <v>496155566</v>
      </c>
      <c r="BJ30" s="121">
        <f>'[1]PPC.3, PCR.2'!CR32</f>
        <v>533840032</v>
      </c>
      <c r="BK30" s="121">
        <f>'[1]PPC.3, PCR.2'!CS32</f>
        <v>585074116</v>
      </c>
      <c r="BL30" s="121">
        <f>'[1]PPC.3, PCR.2'!CT32</f>
        <v>530212754</v>
      </c>
      <c r="BM30" s="121">
        <f>'[1]PPC.3, PCR.2'!CU32</f>
        <v>493196594</v>
      </c>
      <c r="BN30" s="121">
        <f>'[1]PPC.3, PCR.2'!CV32</f>
        <v>492216077</v>
      </c>
      <c r="BO30" s="121">
        <f>'[1]PPC.3, PCR.2'!CW32</f>
        <v>494860364</v>
      </c>
      <c r="BP30" s="121">
        <f>'[1]PPC.3, PCR.2'!CX32</f>
        <v>560458750</v>
      </c>
      <c r="BQ30" s="121">
        <f>'[1]PPC.3, PCR.2'!CY32</f>
        <v>632894485</v>
      </c>
      <c r="BR30" s="121">
        <f>'[1]PPC.3, PCR.2'!CZ32</f>
        <v>593928493</v>
      </c>
      <c r="BS30" s="121">
        <f>'[1]PPC.3, PCR.2'!DA32</f>
        <v>594218359</v>
      </c>
      <c r="BT30" s="121">
        <f>'[1]PPC.3, PCR.2'!DB32</f>
        <v>530006142</v>
      </c>
      <c r="BU30" s="142">
        <f>'[2]M3 Allocations - TD'!BT25</f>
        <v>503402364.62291127</v>
      </c>
      <c r="BV30" s="143">
        <f>'[2]M3 Allocations - TD'!BU25</f>
        <v>553970107.07777035</v>
      </c>
      <c r="BW30" s="144">
        <f>'[2]M3 Allocations - TD'!BV25</f>
        <v>582129216.80663931</v>
      </c>
      <c r="BX30" s="34"/>
      <c r="BY30" s="34"/>
      <c r="CA30" s="34"/>
    </row>
    <row r="31" spans="1:79" x14ac:dyDescent="0.25">
      <c r="A31" t="s">
        <v>6</v>
      </c>
      <c r="B31" s="121">
        <f>'[1]PPC.3, PCR.2'!AJ33</f>
        <v>291933586</v>
      </c>
      <c r="C31" s="121">
        <f>'[1]PPC.3, PCR.2'!AK33</f>
        <v>252980562</v>
      </c>
      <c r="D31" s="121">
        <f>'[1]PPC.3, PCR.2'!AL33</f>
        <v>248710812</v>
      </c>
      <c r="E31" s="121">
        <f>'[1]PPC.3, PCR.2'!AM33</f>
        <v>242499726</v>
      </c>
      <c r="F31" s="121">
        <f>'[1]PPC.3, PCR.2'!AN33</f>
        <v>232539680</v>
      </c>
      <c r="G31" s="121">
        <f>'[1]PPC.3, PCR.2'!AO33</f>
        <v>229224298</v>
      </c>
      <c r="H31" s="121">
        <f>'[1]PPC.3, PCR.2'!AP33</f>
        <v>266349220</v>
      </c>
      <c r="I31" s="121">
        <f>'[1]PPC.3, PCR.2'!AQ33</f>
        <v>267674678</v>
      </c>
      <c r="J31" s="121">
        <f>'[1]PPC.3, PCR.2'!AR33</f>
        <v>281003685</v>
      </c>
      <c r="K31" s="121">
        <f>'[1]PPC.3, PCR.2'!AS33</f>
        <v>279302255</v>
      </c>
      <c r="L31" s="121">
        <f>'[1]PPC.3, PCR.2'!AT33</f>
        <v>258807768</v>
      </c>
      <c r="M31" s="121">
        <f>'[1]PPC.3, PCR.2'!AU33</f>
        <v>239334214</v>
      </c>
      <c r="N31" s="121">
        <f>'[1]PPC.3, PCR.2'!AV33</f>
        <v>241025466</v>
      </c>
      <c r="O31" s="121">
        <f>'[1]PPC.3, PCR.2'!AW33</f>
        <v>247898204</v>
      </c>
      <c r="P31" s="121">
        <f>'[1]PPC.3, PCR.2'!AX33</f>
        <v>255420215</v>
      </c>
      <c r="Q31" s="121">
        <f>'[1]PPC.3, PCR.2'!AY33</f>
        <v>225135566</v>
      </c>
      <c r="R31" s="121">
        <f>'[1]PPC.3, PCR.2'!AZ33</f>
        <v>219961316</v>
      </c>
      <c r="S31" s="121">
        <f>'[1]PPC.3, PCR.2'!BA33</f>
        <v>207074154</v>
      </c>
      <c r="T31" s="121">
        <f>'[1]PPC.3, PCR.2'!BB33</f>
        <v>241165089</v>
      </c>
      <c r="U31" s="121">
        <f>'[1]PPC.3, PCR.2'!BC33</f>
        <v>253833450</v>
      </c>
      <c r="V31" s="121">
        <f>'[1]PPC.3, PCR.2'!BD33</f>
        <v>266058831</v>
      </c>
      <c r="W31" s="121">
        <f>'[1]PPC.3, PCR.2'!BE33</f>
        <v>266126792</v>
      </c>
      <c r="X31" s="121">
        <f>'[1]PPC.3, PCR.2'!BF33</f>
        <v>236673642.40000001</v>
      </c>
      <c r="Y31" s="121">
        <f>'[1]PPC.3, PCR.2'!BG33</f>
        <v>234876378</v>
      </c>
      <c r="Z31" s="121">
        <f>'[1]PPC.3, PCR.2'!BH33</f>
        <v>245759481</v>
      </c>
      <c r="AA31" s="121">
        <f>'[1]PPC.3, PCR.2'!BI33</f>
        <v>241302585</v>
      </c>
      <c r="AB31" s="121">
        <f>'[1]PPC.3, PCR.2'!BJ33</f>
        <v>254211213</v>
      </c>
      <c r="AC31" s="121">
        <f>'[1]PPC.3, PCR.2'!BK33</f>
        <v>216207694</v>
      </c>
      <c r="AD31" s="121">
        <f>'[1]PPC.3, PCR.2'!BL33</f>
        <v>214809052</v>
      </c>
      <c r="AE31" s="121">
        <f>'[1]PPC.3, PCR.2'!BM33</f>
        <v>221576502.5</v>
      </c>
      <c r="AF31" s="121">
        <f>'[1]PPC.3, PCR.2'!BN33</f>
        <v>232417188</v>
      </c>
      <c r="AG31" s="121">
        <f>'[1]PPC.3, PCR.2'!BO33</f>
        <v>286577542</v>
      </c>
      <c r="AH31" s="121">
        <f>'[1]PPC.3, PCR.2'!BP33</f>
        <v>263115351</v>
      </c>
      <c r="AI31" s="121">
        <f>'[1]PPC.3, PCR.2'!BQ33</f>
        <v>266455046</v>
      </c>
      <c r="AJ31" s="121">
        <f>'[1]PPC.3, PCR.2'!BR33</f>
        <v>230080105</v>
      </c>
      <c r="AK31" s="121">
        <f>'[1]PPC.3, PCR.2'!BS33</f>
        <v>200697530</v>
      </c>
      <c r="AL31" s="121">
        <f>'[1]PPC.3, PCR.2'!BT33</f>
        <v>263803028</v>
      </c>
      <c r="AM31" s="121">
        <f>'[1]PPC.3, PCR.2'!BU33</f>
        <v>254759231</v>
      </c>
      <c r="AN31" s="121">
        <f>'[1]PPC.3, PCR.2'!BV33</f>
        <v>236605471</v>
      </c>
      <c r="AO31" s="121">
        <f>'[1]PPC.3, PCR.2'!BW33</f>
        <v>220600472</v>
      </c>
      <c r="AP31" s="121">
        <f>'[1]PPC.3, PCR.2'!BX33</f>
        <v>227017145</v>
      </c>
      <c r="AQ31" s="121">
        <f>'[1]PPC.3, PCR.2'!BY33</f>
        <v>225997805</v>
      </c>
      <c r="AR31" s="121">
        <f>'[1]PPC.3, PCR.2'!BZ33</f>
        <v>251076328</v>
      </c>
      <c r="AS31" s="121">
        <f>'[1]PPC.3, PCR.2'!CA33</f>
        <v>267504084</v>
      </c>
      <c r="AT31" s="121">
        <f>'[1]PPC.3, PCR.2'!CB33</f>
        <v>272015339</v>
      </c>
      <c r="AU31" s="121">
        <f>'[1]PPC.3, PCR.2'!CC33</f>
        <v>258297228</v>
      </c>
      <c r="AV31" s="121">
        <f>'[1]PPC.3, PCR.2'!CD33</f>
        <v>229178636</v>
      </c>
      <c r="AW31" s="121">
        <v>231438770</v>
      </c>
      <c r="AX31" s="121">
        <v>241377872</v>
      </c>
      <c r="AY31" s="121">
        <v>231408894</v>
      </c>
      <c r="AZ31" s="121">
        <v>221649717</v>
      </c>
      <c r="BA31" s="121">
        <v>205003755</v>
      </c>
      <c r="BB31" s="121">
        <v>219436038</v>
      </c>
      <c r="BC31" s="121">
        <v>219271209</v>
      </c>
      <c r="BD31" s="121">
        <v>232550715</v>
      </c>
      <c r="BE31" s="121">
        <v>235130742</v>
      </c>
      <c r="BF31" s="121">
        <v>262292552</v>
      </c>
      <c r="BG31" s="121">
        <v>254203699</v>
      </c>
      <c r="BH31" s="121">
        <v>220702925</v>
      </c>
      <c r="BI31" s="121">
        <f>'[1]PPC.3, PCR.2'!CQ33</f>
        <v>219441539</v>
      </c>
      <c r="BJ31" s="121">
        <f>'[1]PPC.3, PCR.2'!CR33</f>
        <v>218534163</v>
      </c>
      <c r="BK31" s="121">
        <f>'[1]PPC.3, PCR.2'!CS33</f>
        <v>232541184</v>
      </c>
      <c r="BL31" s="121">
        <f>'[1]PPC.3, PCR.2'!CT33</f>
        <v>222844092</v>
      </c>
      <c r="BM31" s="121">
        <f>'[1]PPC.3, PCR.2'!CU33</f>
        <v>216520104</v>
      </c>
      <c r="BN31" s="121">
        <f>'[1]PPC.3, PCR.2'!CV33</f>
        <v>207628128</v>
      </c>
      <c r="BO31" s="121">
        <f>'[1]PPC.3, PCR.2'!CW33</f>
        <v>217699925</v>
      </c>
      <c r="BP31" s="121">
        <f>'[1]PPC.3, PCR.2'!CX33</f>
        <v>237346838</v>
      </c>
      <c r="BQ31" s="121">
        <f>'[1]PPC.3, PCR.2'!CY33</f>
        <v>254880958</v>
      </c>
      <c r="BR31" s="121">
        <f>'[1]PPC.3, PCR.2'!CZ33</f>
        <v>240871472</v>
      </c>
      <c r="BS31" s="121">
        <f>'[1]PPC.3, PCR.2'!DA33</f>
        <v>236345293</v>
      </c>
      <c r="BT31" s="121">
        <f>'[1]PPC.3, PCR.2'!DB33</f>
        <v>231951126</v>
      </c>
      <c r="BU31" s="142">
        <f>'[2]M3 Allocations - TD'!BT26</f>
        <v>220932655.9857884</v>
      </c>
      <c r="BV31" s="143">
        <f>'[2]M3 Allocations - TD'!BU26</f>
        <v>233594424.1517618</v>
      </c>
      <c r="BW31" s="144">
        <f>'[2]M3 Allocations - TD'!BV26</f>
        <v>243692177.27010703</v>
      </c>
      <c r="BX31" s="34"/>
      <c r="BY31" s="34"/>
      <c r="CA31" s="34"/>
    </row>
    <row r="32" spans="1:79" x14ac:dyDescent="0.25">
      <c r="A32" t="s">
        <v>7</v>
      </c>
      <c r="B32" s="121">
        <f>'[1]PPC.3, PCR.2'!AJ34</f>
        <v>135972391</v>
      </c>
      <c r="C32" s="121">
        <f>'[1]PPC.3, PCR.2'!AK34</f>
        <v>101960146</v>
      </c>
      <c r="D32" s="121">
        <f>'[1]PPC.3, PCR.2'!AL34</f>
        <v>96075286</v>
      </c>
      <c r="E32" s="121">
        <f>'[1]PPC.3, PCR.2'!AM34</f>
        <v>99309923</v>
      </c>
      <c r="F32" s="121">
        <f>'[1]PPC.3, PCR.2'!AN34</f>
        <v>98876748</v>
      </c>
      <c r="G32" s="121">
        <f>'[1]PPC.3, PCR.2'!AO34</f>
        <v>96480454</v>
      </c>
      <c r="H32" s="121">
        <f>'[1]PPC.3, PCR.2'!AP34</f>
        <v>121526151</v>
      </c>
      <c r="I32" s="121">
        <f>'[1]PPC.3, PCR.2'!AQ34</f>
        <v>113123855</v>
      </c>
      <c r="J32" s="121">
        <f>'[1]PPC.3, PCR.2'!AR34</f>
        <v>125262874</v>
      </c>
      <c r="K32" s="121">
        <f>'[1]PPC.3, PCR.2'!AS34</f>
        <v>126945040</v>
      </c>
      <c r="L32" s="121">
        <f>'[1]PPC.3, PCR.2'!AT34</f>
        <v>119752379</v>
      </c>
      <c r="M32" s="121">
        <f>'[1]PPC.3, PCR.2'!AU34</f>
        <v>106348532</v>
      </c>
      <c r="N32" s="121">
        <f>'[1]PPC.3, PCR.2'!AV34</f>
        <v>100067076</v>
      </c>
      <c r="O32" s="121">
        <f>'[1]PPC.3, PCR.2'!AW34</f>
        <v>105899561</v>
      </c>
      <c r="P32" s="121">
        <f>'[1]PPC.3, PCR.2'!AX34</f>
        <v>111203176</v>
      </c>
      <c r="Q32" s="121">
        <f>'[1]PPC.3, PCR.2'!AY34</f>
        <v>86704807</v>
      </c>
      <c r="R32" s="121">
        <f>'[1]PPC.3, PCR.2'!AZ34</f>
        <v>92097434</v>
      </c>
      <c r="S32" s="121">
        <f>'[1]PPC.3, PCR.2'!BA34</f>
        <v>93506334</v>
      </c>
      <c r="T32" s="121">
        <f>'[1]PPC.3, PCR.2'!BB34</f>
        <v>92139707</v>
      </c>
      <c r="U32" s="121">
        <f>'[1]PPC.3, PCR.2'!BC34</f>
        <v>105110654</v>
      </c>
      <c r="V32" s="121">
        <f>'[1]PPC.3, PCR.2'!BD34</f>
        <v>108265948</v>
      </c>
      <c r="W32" s="121">
        <f>'[1]PPC.3, PCR.2'!BE34</f>
        <v>109806573</v>
      </c>
      <c r="X32" s="121">
        <f>'[1]PPC.3, PCR.2'!BF34</f>
        <v>96724322.099999994</v>
      </c>
      <c r="Y32" s="121">
        <f>'[1]PPC.3, PCR.2'!BG34</f>
        <v>94866307</v>
      </c>
      <c r="Z32" s="121">
        <f>'[1]PPC.3, PCR.2'!BH34</f>
        <v>96874394</v>
      </c>
      <c r="AA32" s="121">
        <f>'[1]PPC.3, PCR.2'!BI34</f>
        <v>84244327</v>
      </c>
      <c r="AB32" s="121">
        <f>'[1]PPC.3, PCR.2'!BJ34</f>
        <v>112346620</v>
      </c>
      <c r="AC32" s="121">
        <f>'[1]PPC.3, PCR.2'!BK34</f>
        <v>50801494</v>
      </c>
      <c r="AD32" s="121">
        <f>'[1]PPC.3, PCR.2'!BL34</f>
        <v>85186767</v>
      </c>
      <c r="AE32" s="121">
        <f>'[1]PPC.3, PCR.2'!BM34</f>
        <v>94290468.700000003</v>
      </c>
      <c r="AF32" s="121">
        <f>'[1]PPC.3, PCR.2'!BN34</f>
        <v>96665030</v>
      </c>
      <c r="AG32" s="121">
        <f>'[1]PPC.3, PCR.2'!BO34</f>
        <v>111403127</v>
      </c>
      <c r="AH32" s="121">
        <f>'[1]PPC.3, PCR.2'!BP34</f>
        <v>106051211</v>
      </c>
      <c r="AI32" s="121">
        <f>'[1]PPC.3, PCR.2'!BQ34</f>
        <v>114673513</v>
      </c>
      <c r="AJ32" s="121">
        <f>'[1]PPC.3, PCR.2'!BR34</f>
        <v>105106440</v>
      </c>
      <c r="AK32" s="121">
        <f>'[1]PPC.3, PCR.2'!BS34</f>
        <v>69778498</v>
      </c>
      <c r="AL32" s="121">
        <f>'[1]PPC.3, PCR.2'!BT34</f>
        <v>110311543</v>
      </c>
      <c r="AM32" s="121">
        <f>'[1]PPC.3, PCR.2'!BU34</f>
        <v>91160220</v>
      </c>
      <c r="AN32" s="121">
        <f>'[1]PPC.3, PCR.2'!BV34</f>
        <v>84926008</v>
      </c>
      <c r="AO32" s="121">
        <f>'[1]PPC.3, PCR.2'!BW34</f>
        <v>81012090</v>
      </c>
      <c r="AP32" s="121">
        <f>'[1]PPC.3, PCR.2'!BX34</f>
        <v>85726323</v>
      </c>
      <c r="AQ32" s="121">
        <f>'[1]PPC.3, PCR.2'!BY34</f>
        <v>71350428</v>
      </c>
      <c r="AR32" s="121">
        <f>'[1]PPC.3, PCR.2'!BZ34</f>
        <v>86976917</v>
      </c>
      <c r="AS32" s="121">
        <f>'[1]PPC.3, PCR.2'!CA34</f>
        <v>99783323</v>
      </c>
      <c r="AT32" s="121">
        <f>'[1]PPC.3, PCR.2'!CB34</f>
        <v>98663196</v>
      </c>
      <c r="AU32" s="121">
        <f>'[1]PPC.3, PCR.2'!CC34</f>
        <v>102858299</v>
      </c>
      <c r="AV32" s="121">
        <f>'[1]PPC.3, PCR.2'!CD34</f>
        <v>88364839</v>
      </c>
      <c r="AW32" s="121">
        <v>88263402</v>
      </c>
      <c r="AX32" s="121">
        <v>86648705</v>
      </c>
      <c r="AY32" s="121">
        <v>77135409</v>
      </c>
      <c r="AZ32" s="121">
        <v>74737407</v>
      </c>
      <c r="BA32" s="121">
        <v>64517924</v>
      </c>
      <c r="BB32" s="121">
        <v>64659611</v>
      </c>
      <c r="BC32" s="121">
        <v>67634326</v>
      </c>
      <c r="BD32" s="121">
        <v>81350810</v>
      </c>
      <c r="BE32" s="121">
        <v>76194105</v>
      </c>
      <c r="BF32" s="121">
        <v>87357832</v>
      </c>
      <c r="BG32" s="121">
        <v>95274398</v>
      </c>
      <c r="BH32" s="121">
        <v>96078281</v>
      </c>
      <c r="BI32" s="121">
        <f>'[1]PPC.3, PCR.2'!CQ34</f>
        <v>85657578</v>
      </c>
      <c r="BJ32" s="121">
        <f>'[1]PPC.3, PCR.2'!CR34</f>
        <v>96441503</v>
      </c>
      <c r="BK32" s="121">
        <f>'[1]PPC.3, PCR.2'!CS34</f>
        <v>86731223</v>
      </c>
      <c r="BL32" s="121">
        <f>'[1]PPC.3, PCR.2'!CT34</f>
        <v>77476531</v>
      </c>
      <c r="BM32" s="121">
        <f>'[1]PPC.3, PCR.2'!CU34</f>
        <v>59042973</v>
      </c>
      <c r="BN32" s="121">
        <f>'[1]PPC.3, PCR.2'!CV34</f>
        <v>57210973</v>
      </c>
      <c r="BO32" s="121">
        <f>'[1]PPC.3, PCR.2'!CW34</f>
        <v>69610474</v>
      </c>
      <c r="BP32" s="121">
        <f>'[1]PPC.3, PCR.2'!CX34</f>
        <v>70581627</v>
      </c>
      <c r="BQ32" s="121">
        <f>'[1]PPC.3, PCR.2'!CY34</f>
        <v>81457799</v>
      </c>
      <c r="BR32" s="121">
        <f>'[1]PPC.3, PCR.2'!CZ34</f>
        <v>80264416</v>
      </c>
      <c r="BS32" s="121">
        <f>'[1]PPC.3, PCR.2'!DA34</f>
        <v>70127730</v>
      </c>
      <c r="BT32" s="121">
        <f>'[1]PPC.3, PCR.2'!DB34</f>
        <v>70045643</v>
      </c>
      <c r="BU32" s="142">
        <f>'[2]M3 Allocations - TD'!BT27</f>
        <v>67785624.340276375</v>
      </c>
      <c r="BV32" s="143">
        <f>'[2]M3 Allocations - TD'!BU27</f>
        <v>67021875.10198836</v>
      </c>
      <c r="BW32" s="144">
        <f>'[2]M3 Allocations - TD'!BV27</f>
        <v>66767907.568719082</v>
      </c>
      <c r="BX32" s="34"/>
      <c r="BY32" s="34"/>
      <c r="CA32" s="34"/>
    </row>
    <row r="33" spans="1:76" x14ac:dyDescent="0.25">
      <c r="B33" s="66"/>
      <c r="BU33" s="65"/>
      <c r="BW33" s="67"/>
    </row>
    <row r="34" spans="1:76" x14ac:dyDescent="0.25">
      <c r="A34" t="s">
        <v>86</v>
      </c>
      <c r="B34" s="66"/>
      <c r="D34" s="227" t="s">
        <v>67</v>
      </c>
      <c r="BU34" s="65"/>
      <c r="BW34" s="67"/>
      <c r="BX34" t="s">
        <v>102</v>
      </c>
    </row>
    <row r="35" spans="1:76" x14ac:dyDescent="0.25">
      <c r="A35" t="str">
        <f>A28</f>
        <v>RES</v>
      </c>
      <c r="B35" s="61">
        <v>0</v>
      </c>
      <c r="C35" s="62">
        <v>0</v>
      </c>
      <c r="D35" s="62">
        <v>0</v>
      </c>
      <c r="E35" s="62">
        <v>0</v>
      </c>
      <c r="F35" s="62">
        <v>0</v>
      </c>
      <c r="G35" s="62">
        <v>289499.78000000003</v>
      </c>
      <c r="H35" s="62">
        <v>3493862.36</v>
      </c>
      <c r="I35" s="62">
        <v>4445139.01</v>
      </c>
      <c r="J35" s="62">
        <v>4681976.07</v>
      </c>
      <c r="K35" s="62">
        <v>4319414.5</v>
      </c>
      <c r="L35" s="62">
        <v>3549657.98</v>
      </c>
      <c r="M35" s="62">
        <v>3184566.3699999996</v>
      </c>
      <c r="N35" s="62">
        <v>4285013.4600000009</v>
      </c>
      <c r="O35" s="62">
        <v>4732019.1900000004</v>
      </c>
      <c r="P35" s="62">
        <v>3962656.08</v>
      </c>
      <c r="Q35" s="62">
        <v>2713714.5100000002</v>
      </c>
      <c r="R35" s="62">
        <v>2142098.6700000004</v>
      </c>
      <c r="S35" s="62">
        <v>1914072.4000000001</v>
      </c>
      <c r="T35" s="62">
        <v>2533457.85</v>
      </c>
      <c r="U35" s="62">
        <v>3403481.3100000005</v>
      </c>
      <c r="V35" s="62">
        <v>3194801.5599999996</v>
      </c>
      <c r="W35" s="62">
        <v>2879273.7199999997</v>
      </c>
      <c r="X35" s="62">
        <v>1945915.5300000005</v>
      </c>
      <c r="Y35" s="62">
        <v>2075721.03</v>
      </c>
      <c r="Z35" s="62">
        <v>2752162.1899999995</v>
      </c>
      <c r="AA35" s="62">
        <v>3581438.58</v>
      </c>
      <c r="AB35" s="62">
        <v>4120369.0400000005</v>
      </c>
      <c r="AC35" s="62">
        <v>3681981.6699999995</v>
      </c>
      <c r="AD35" s="62">
        <v>2483183.1200000006</v>
      </c>
      <c r="AE35" s="62">
        <v>2333035.0699999998</v>
      </c>
      <c r="AF35" s="62">
        <v>3060037.7600000007</v>
      </c>
      <c r="AG35" s="62">
        <v>4042080.04</v>
      </c>
      <c r="AH35" s="62">
        <v>4123881.9000000008</v>
      </c>
      <c r="AI35" s="62">
        <v>4050875.1900000004</v>
      </c>
      <c r="AJ35" s="62">
        <v>2805209.88</v>
      </c>
      <c r="AK35" s="62">
        <v>2628666.67</v>
      </c>
      <c r="AL35" s="62">
        <v>3289045.31</v>
      </c>
      <c r="AM35" s="62">
        <v>4251296.5199999996</v>
      </c>
      <c r="AN35" s="62">
        <v>4196769.0699999994</v>
      </c>
      <c r="AO35" s="62">
        <v>3126840.580000001</v>
      </c>
      <c r="AP35" s="62">
        <v>2431223.08</v>
      </c>
      <c r="AQ35" s="62">
        <v>2268707.2800000003</v>
      </c>
      <c r="AR35" s="62">
        <v>2883132.9099999997</v>
      </c>
      <c r="AS35" s="62">
        <v>3964874.7000000007</v>
      </c>
      <c r="AT35" s="62">
        <v>3778841.4499999993</v>
      </c>
      <c r="AU35" s="62">
        <v>3146752.9300000011</v>
      </c>
      <c r="AV35" s="62">
        <v>2264494.1800000011</v>
      </c>
      <c r="AW35" s="62">
        <v>2143212.9600000009</v>
      </c>
      <c r="AX35" s="62">
        <v>3278097.4599999995</v>
      </c>
      <c r="AY35" s="62">
        <v>3936103.9199999995</v>
      </c>
      <c r="AZ35" s="62">
        <v>3153564.7300000004</v>
      </c>
      <c r="BA35" s="62">
        <v>2361187.0299999998</v>
      </c>
      <c r="BB35" s="62">
        <v>2030415.5</v>
      </c>
      <c r="BC35" s="62">
        <v>1735929.1500000004</v>
      </c>
      <c r="BD35" s="62">
        <v>2244949.6999999993</v>
      </c>
      <c r="BE35" s="62">
        <v>2937727.35</v>
      </c>
      <c r="BF35" s="62">
        <v>3027960.2100000042</v>
      </c>
      <c r="BG35" s="62">
        <v>2800716.6799999992</v>
      </c>
      <c r="BH35" s="62">
        <v>2030684.810000001</v>
      </c>
      <c r="BI35" s="62">
        <f>-'[1]PCR.3 (M3)'!BD6</f>
        <v>1775315.6199999985</v>
      </c>
      <c r="BJ35" s="62">
        <f>-'[1]PCR.3 (M3)'!BE6</f>
        <v>2472791.1100000008</v>
      </c>
      <c r="BK35" s="62">
        <f>-'[1]PCR.3 (M3)'!BF6</f>
        <v>3236653.750000007</v>
      </c>
      <c r="BL35" s="62">
        <f>-'[1]PCR.3 (M3)'!BG6</f>
        <v>3255785.8</v>
      </c>
      <c r="BM35" s="62">
        <f>-'[1]PCR.3 (M3)'!BH6</f>
        <v>2554668.2700000065</v>
      </c>
      <c r="BN35" s="62">
        <f>-'[1]PCR.3 (M3)'!BI6</f>
        <v>2349888.0700000064</v>
      </c>
      <c r="BO35" s="62">
        <f>-'[1]PCR.3 (M3)'!BJ6</f>
        <v>2131590.8300000052</v>
      </c>
      <c r="BP35" s="62">
        <f>-'[1]PCR.3 (M3)'!BK6</f>
        <v>2908421.5700000059</v>
      </c>
      <c r="BQ35" s="62">
        <f>-'[1]PCR.3 (M3)'!BL6</f>
        <v>3886063.9200000106</v>
      </c>
      <c r="BR35" s="62">
        <f>-'[1]PCR.3 (M3)'!BM6</f>
        <v>3542001.860000005</v>
      </c>
      <c r="BS35" s="62">
        <f>-'[1]PCR.3 (M3)'!BN6</f>
        <v>3363674.4300000076</v>
      </c>
      <c r="BT35" s="62">
        <f>-'[1]PCR.3 (M3)'!BO6</f>
        <v>2456888.8400000036</v>
      </c>
      <c r="BU35" s="72">
        <f>BU28*$BX35+BU49</f>
        <v>2672527.8263291107</v>
      </c>
      <c r="BV35" s="73">
        <f>BV28*$BX35+BV49</f>
        <v>3375874.9208807731</v>
      </c>
      <c r="BW35" s="75">
        <f>BW28*$BX35+BW49</f>
        <v>3972507.0347746601</v>
      </c>
      <c r="BX35" s="70">
        <v>2.898E-3</v>
      </c>
    </row>
    <row r="36" spans="1:76" x14ac:dyDescent="0.25">
      <c r="A36" t="str">
        <f>A29</f>
        <v>SGS</v>
      </c>
      <c r="B36" s="61">
        <v>0</v>
      </c>
      <c r="C36" s="62">
        <v>0</v>
      </c>
      <c r="D36" s="62">
        <v>0</v>
      </c>
      <c r="E36" s="62">
        <v>0</v>
      </c>
      <c r="F36" s="62">
        <v>0</v>
      </c>
      <c r="G36" s="62">
        <v>44896.13</v>
      </c>
      <c r="H36" s="62">
        <v>580328.65</v>
      </c>
      <c r="I36" s="62">
        <v>664135.86</v>
      </c>
      <c r="J36" s="62">
        <v>682667.24</v>
      </c>
      <c r="K36" s="62">
        <v>659188.43000000005</v>
      </c>
      <c r="L36" s="62">
        <v>593334.67000000004</v>
      </c>
      <c r="M36" s="62">
        <v>532142.30000000005</v>
      </c>
      <c r="N36" s="62">
        <v>625476.50000000012</v>
      </c>
      <c r="O36" s="62">
        <v>667032.46</v>
      </c>
      <c r="P36" s="62">
        <v>650318.64000000025</v>
      </c>
      <c r="Q36" s="62">
        <v>589395.70000000007</v>
      </c>
      <c r="R36" s="62">
        <v>452489.25000000012</v>
      </c>
      <c r="S36" s="62">
        <v>410293.00999999995</v>
      </c>
      <c r="T36" s="62">
        <v>515073.51000000007</v>
      </c>
      <c r="U36" s="62">
        <v>641353.99000000011</v>
      </c>
      <c r="V36" s="62">
        <v>625207.79</v>
      </c>
      <c r="W36" s="62">
        <v>598408.66</v>
      </c>
      <c r="X36" s="62">
        <v>485076.41000000003</v>
      </c>
      <c r="Y36" s="62">
        <v>484810.97</v>
      </c>
      <c r="Z36" s="62">
        <v>560043.37</v>
      </c>
      <c r="AA36" s="62">
        <v>668052.92000000004</v>
      </c>
      <c r="AB36" s="62">
        <v>850118.94</v>
      </c>
      <c r="AC36" s="62">
        <v>921710.26999999979</v>
      </c>
      <c r="AD36" s="62">
        <v>733127.93</v>
      </c>
      <c r="AE36" s="62">
        <v>716125.91000000027</v>
      </c>
      <c r="AF36" s="62">
        <v>854713.03</v>
      </c>
      <c r="AG36" s="62">
        <v>1012263.43</v>
      </c>
      <c r="AH36" s="62">
        <v>1012205.1899999997</v>
      </c>
      <c r="AI36" s="62">
        <v>1022703.67</v>
      </c>
      <c r="AJ36" s="62">
        <v>852955.02000000014</v>
      </c>
      <c r="AK36" s="62">
        <v>762775.54</v>
      </c>
      <c r="AL36" s="62">
        <v>868803.86000000022</v>
      </c>
      <c r="AM36" s="62">
        <v>1026220.3300000001</v>
      </c>
      <c r="AN36" s="62">
        <v>934878.45000000054</v>
      </c>
      <c r="AO36" s="62">
        <v>621346.98999999987</v>
      </c>
      <c r="AP36" s="62">
        <v>549418.24999999988</v>
      </c>
      <c r="AQ36" s="62">
        <v>532588.47</v>
      </c>
      <c r="AR36" s="62">
        <v>619619.60999999987</v>
      </c>
      <c r="AS36" s="62">
        <v>742032.6799999997</v>
      </c>
      <c r="AT36" s="62">
        <v>726215.22999999975</v>
      </c>
      <c r="AU36" s="62">
        <v>665863.32999999973</v>
      </c>
      <c r="AV36" s="62">
        <v>547486.95999999973</v>
      </c>
      <c r="AW36" s="62">
        <v>521905.97000000015</v>
      </c>
      <c r="AX36" s="62">
        <v>652202.53</v>
      </c>
      <c r="AY36" s="62">
        <v>746262.61999999988</v>
      </c>
      <c r="AZ36" s="62">
        <v>666234.9</v>
      </c>
      <c r="BA36" s="62">
        <v>611934.22999999986</v>
      </c>
      <c r="BB36" s="62">
        <v>562443.02000000025</v>
      </c>
      <c r="BC36" s="62">
        <v>519228.71</v>
      </c>
      <c r="BD36" s="62">
        <v>624436.69999999995</v>
      </c>
      <c r="BE36" s="62">
        <v>724122.80999999971</v>
      </c>
      <c r="BF36" s="62">
        <v>739823.55999999773</v>
      </c>
      <c r="BG36" s="62">
        <v>718392.87999999907</v>
      </c>
      <c r="BH36" s="62">
        <v>606671.46999999927</v>
      </c>
      <c r="BI36" s="62">
        <f>-'[1]PCR.3 (M3)'!BD7</f>
        <v>557705.97000000079</v>
      </c>
      <c r="BJ36" s="62">
        <f>-'[1]PCR.3 (M3)'!BE7</f>
        <v>641233.05000000086</v>
      </c>
      <c r="BK36" s="62">
        <f>-'[1]PCR.3 (M3)'!BF7</f>
        <v>773207.86</v>
      </c>
      <c r="BL36" s="62">
        <f>-'[1]PCR.3 (M3)'!BG7</f>
        <v>743074.0600000011</v>
      </c>
      <c r="BM36" s="62">
        <f>-'[1]PCR.3 (M3)'!BH7</f>
        <v>621155.89999999932</v>
      </c>
      <c r="BN36" s="62">
        <f>-'[1]PCR.3 (M3)'!BI7</f>
        <v>603356.46999999974</v>
      </c>
      <c r="BO36" s="62">
        <f>-'[1]PCR.3 (M3)'!BJ7</f>
        <v>574697.34999999881</v>
      </c>
      <c r="BP36" s="62">
        <f>-'[1]PCR.3 (M3)'!BK7</f>
        <v>702201.80999999971</v>
      </c>
      <c r="BQ36" s="62">
        <f>-'[1]PCR.3 (M3)'!BL7</f>
        <v>835049.03</v>
      </c>
      <c r="BR36" s="62">
        <f>-'[1]PCR.3 (M3)'!BM7</f>
        <v>787932.16000000027</v>
      </c>
      <c r="BS36" s="62">
        <f>-'[1]PCR.3 (M3)'!BN7</f>
        <v>767128.09000000078</v>
      </c>
      <c r="BT36" s="62">
        <f>-'[1]PCR.3 (M3)'!BO7</f>
        <v>647225.3800000021</v>
      </c>
      <c r="BU36" s="72">
        <f>BU29*$BX36</f>
        <v>607515.88732540258</v>
      </c>
      <c r="BV36" s="73">
        <f>BV29*$BX36</f>
        <v>727206.15607499378</v>
      </c>
      <c r="BW36" s="75">
        <f>BW29*$BX36</f>
        <v>817892.59263035445</v>
      </c>
      <c r="BX36" s="70">
        <v>2.6350000000000002E-3</v>
      </c>
    </row>
    <row r="37" spans="1:76" x14ac:dyDescent="0.25">
      <c r="A37" t="str">
        <f>A30</f>
        <v>LGS</v>
      </c>
      <c r="B37" s="61">
        <v>0</v>
      </c>
      <c r="C37" s="62">
        <v>0</v>
      </c>
      <c r="D37" s="62">
        <v>0</v>
      </c>
      <c r="E37" s="62">
        <v>0</v>
      </c>
      <c r="F37" s="62">
        <v>0</v>
      </c>
      <c r="G37" s="62">
        <v>87272.5</v>
      </c>
      <c r="H37" s="62">
        <v>1364606.7</v>
      </c>
      <c r="I37" s="62">
        <v>1475091.82</v>
      </c>
      <c r="J37" s="62">
        <v>1510112.96</v>
      </c>
      <c r="K37" s="62">
        <v>1524107.45</v>
      </c>
      <c r="L37" s="62">
        <v>1400188.8</v>
      </c>
      <c r="M37" s="62">
        <v>1236190.8299999998</v>
      </c>
      <c r="N37" s="62">
        <v>1340183.3500000001</v>
      </c>
      <c r="O37" s="62">
        <v>1386306.3800000001</v>
      </c>
      <c r="P37" s="62">
        <v>1341932.4499999995</v>
      </c>
      <c r="Q37" s="62">
        <v>1260285.4200000002</v>
      </c>
      <c r="R37" s="62">
        <v>1076944.29</v>
      </c>
      <c r="S37" s="62">
        <v>1004472.6400000001</v>
      </c>
      <c r="T37" s="62">
        <v>1190333.8399999999</v>
      </c>
      <c r="U37" s="62">
        <v>1389824.6600000001</v>
      </c>
      <c r="V37" s="62">
        <v>1384740.8900000004</v>
      </c>
      <c r="W37" s="62">
        <v>1378224.84</v>
      </c>
      <c r="X37" s="62">
        <v>1175985.6699999997</v>
      </c>
      <c r="Y37" s="62">
        <v>1145606</v>
      </c>
      <c r="Z37" s="62">
        <v>1231246.9999999998</v>
      </c>
      <c r="AA37" s="62">
        <v>1319566.6199999999</v>
      </c>
      <c r="AB37" s="62">
        <v>1620119.9200000002</v>
      </c>
      <c r="AC37" s="62">
        <v>1885329.1900000004</v>
      </c>
      <c r="AD37" s="62">
        <v>1677239.7999999996</v>
      </c>
      <c r="AE37" s="62">
        <v>1708432.7700000003</v>
      </c>
      <c r="AF37" s="62">
        <v>1897264.7500000002</v>
      </c>
      <c r="AG37" s="62">
        <v>2224559.94</v>
      </c>
      <c r="AH37" s="62">
        <v>2203336.77</v>
      </c>
      <c r="AI37" s="62">
        <v>2245698.7100000004</v>
      </c>
      <c r="AJ37" s="62">
        <v>1974018.7300000002</v>
      </c>
      <c r="AK37" s="62">
        <v>1753913.2399999998</v>
      </c>
      <c r="AL37" s="62">
        <v>1916970.44</v>
      </c>
      <c r="AM37" s="62">
        <v>2049473.14</v>
      </c>
      <c r="AN37" s="62">
        <v>1830623.0800000003</v>
      </c>
      <c r="AO37" s="62">
        <v>1288681.0599999998</v>
      </c>
      <c r="AP37" s="62">
        <v>1201746.5399999998</v>
      </c>
      <c r="AQ37" s="62">
        <v>1241409.1100000001</v>
      </c>
      <c r="AR37" s="62">
        <v>1394006.3199999998</v>
      </c>
      <c r="AS37" s="62">
        <v>1563827.1800000002</v>
      </c>
      <c r="AT37" s="62">
        <v>1551482.7699999998</v>
      </c>
      <c r="AU37" s="62">
        <v>1484337.6899999995</v>
      </c>
      <c r="AV37" s="62">
        <v>1275132.44</v>
      </c>
      <c r="AW37" s="62">
        <v>1241810.77</v>
      </c>
      <c r="AX37" s="62">
        <v>1380732.0599999994</v>
      </c>
      <c r="AY37" s="62">
        <v>1434788.66</v>
      </c>
      <c r="AZ37" s="62">
        <v>1329873.0099999998</v>
      </c>
      <c r="BA37" s="62">
        <v>1338667.4799999997</v>
      </c>
      <c r="BB37" s="62">
        <v>1279476.8700000001</v>
      </c>
      <c r="BC37" s="62">
        <v>1271280.5899999999</v>
      </c>
      <c r="BD37" s="62">
        <v>1435768.9400000002</v>
      </c>
      <c r="BE37" s="62">
        <v>1545869.7100000002</v>
      </c>
      <c r="BF37" s="62">
        <v>1601971.8099999989</v>
      </c>
      <c r="BG37" s="62">
        <v>1602321.54</v>
      </c>
      <c r="BH37" s="62">
        <v>1409722.8100000003</v>
      </c>
      <c r="BI37" s="62">
        <f>-'[1]PCR.3 (M3)'!BD8</f>
        <v>1299465.7799999998</v>
      </c>
      <c r="BJ37" s="62">
        <f>-'[1]PCR.3 (M3)'!BE8</f>
        <v>1392319.5499999996</v>
      </c>
      <c r="BK37" s="62">
        <f>-'[1]PCR.3 (M3)'!BF8</f>
        <v>1525019.3300000008</v>
      </c>
      <c r="BL37" s="62">
        <f>-'[1]PCR.3 (M3)'!BG8</f>
        <v>1384336.6000000006</v>
      </c>
      <c r="BM37" s="62">
        <f>-'[1]PCR.3 (M3)'!BH8</f>
        <v>1286125.1900000004</v>
      </c>
      <c r="BN37" s="62">
        <f>-'[1]PCR.3 (M3)'!BI8</f>
        <v>1283547.9199999995</v>
      </c>
      <c r="BO37" s="62">
        <f>-'[1]PCR.3 (M3)'!BJ8</f>
        <v>1290454.3900000008</v>
      </c>
      <c r="BP37" s="62">
        <f>-'[1]PCR.3 (M3)'!BK8</f>
        <v>1461538.29</v>
      </c>
      <c r="BQ37" s="62">
        <f>-'[1]PCR.3 (M3)'!BL8</f>
        <v>1639959.0799999998</v>
      </c>
      <c r="BR37" s="62">
        <f>-'[1]PCR.3 (M3)'!BM8</f>
        <v>1548876.7199999993</v>
      </c>
      <c r="BS37" s="62">
        <f>-'[1]PCR.3 (M3)'!BN8</f>
        <v>1549629.8099999998</v>
      </c>
      <c r="BT37" s="62">
        <f>-'[1]PCR.3 (M3)'!BO8</f>
        <v>1382179.4899999995</v>
      </c>
      <c r="BU37" s="72">
        <f>BU30*$BX37</f>
        <v>1312873.3669365526</v>
      </c>
      <c r="BV37" s="73">
        <f t="shared" ref="BU37:BW39" si="97">BV30*$BX37</f>
        <v>1444754.0392588251</v>
      </c>
      <c r="BW37" s="75">
        <f t="shared" si="97"/>
        <v>1518192.9974317155</v>
      </c>
      <c r="BX37" s="70">
        <v>2.6080000000000001E-3</v>
      </c>
    </row>
    <row r="38" spans="1:76" x14ac:dyDescent="0.25">
      <c r="A38" t="str">
        <f>A31</f>
        <v>SPS</v>
      </c>
      <c r="B38" s="61">
        <v>0</v>
      </c>
      <c r="C38" s="62">
        <v>0</v>
      </c>
      <c r="D38" s="62">
        <v>0</v>
      </c>
      <c r="E38" s="62">
        <v>0</v>
      </c>
      <c r="F38" s="62">
        <v>0</v>
      </c>
      <c r="G38" s="62">
        <v>31340.22</v>
      </c>
      <c r="H38" s="62">
        <v>530881.18000000005</v>
      </c>
      <c r="I38" s="62">
        <v>601464.24</v>
      </c>
      <c r="J38" s="62">
        <v>631415.18999999994</v>
      </c>
      <c r="K38" s="62">
        <v>627574.68000000005</v>
      </c>
      <c r="L38" s="62">
        <v>581541.01</v>
      </c>
      <c r="M38" s="62">
        <v>537784.03</v>
      </c>
      <c r="N38" s="62">
        <v>541470.15999999992</v>
      </c>
      <c r="O38" s="62">
        <v>557029.80999999994</v>
      </c>
      <c r="P38" s="62">
        <v>574111.24000000011</v>
      </c>
      <c r="Q38" s="62">
        <v>506325.93000000017</v>
      </c>
      <c r="R38" s="62">
        <v>494693.01000000007</v>
      </c>
      <c r="S38" s="62">
        <v>465711.4599999999</v>
      </c>
      <c r="T38" s="62">
        <v>542380.22999999986</v>
      </c>
      <c r="U38" s="62">
        <v>570871.37000000011</v>
      </c>
      <c r="V38" s="62">
        <v>598366.41000000015</v>
      </c>
      <c r="W38" s="62">
        <v>598519.19000000006</v>
      </c>
      <c r="X38" s="62">
        <v>532005.64</v>
      </c>
      <c r="Y38" s="62">
        <v>528237.05000000005</v>
      </c>
      <c r="Z38" s="62">
        <v>552713.16999999993</v>
      </c>
      <c r="AA38" s="62">
        <v>542689.47999999986</v>
      </c>
      <c r="AB38" s="62">
        <v>689883.81</v>
      </c>
      <c r="AC38" s="62">
        <v>744416.25999999989</v>
      </c>
      <c r="AD38" s="62">
        <v>742809.61</v>
      </c>
      <c r="AE38" s="62">
        <v>767210.2200000002</v>
      </c>
      <c r="AF38" s="62">
        <v>743628.47</v>
      </c>
      <c r="AG38" s="62">
        <v>990985.02999999968</v>
      </c>
      <c r="AH38" s="62">
        <v>909853.00999999989</v>
      </c>
      <c r="AI38" s="62">
        <v>921401.66000000027</v>
      </c>
      <c r="AJ38" s="62">
        <v>795617.01</v>
      </c>
      <c r="AK38" s="62">
        <v>694011.96</v>
      </c>
      <c r="AL38" s="62">
        <v>912230.87999999989</v>
      </c>
      <c r="AM38" s="62">
        <v>880957.4499999996</v>
      </c>
      <c r="AN38" s="62">
        <v>748810.13000000012</v>
      </c>
      <c r="AO38" s="62">
        <v>555970.34</v>
      </c>
      <c r="AP38" s="62">
        <v>508143.06999999995</v>
      </c>
      <c r="AQ38" s="62">
        <v>564316.22000000009</v>
      </c>
      <c r="AR38" s="62">
        <v>643193.48</v>
      </c>
      <c r="AS38" s="62">
        <v>667957.50999999978</v>
      </c>
      <c r="AT38" s="62">
        <v>662599.42000000051</v>
      </c>
      <c r="AU38" s="62">
        <v>645137.72999999963</v>
      </c>
      <c r="AV38" s="62">
        <v>572258.87999999977</v>
      </c>
      <c r="AW38" s="62">
        <v>577902.64000000013</v>
      </c>
      <c r="AX38" s="62">
        <v>599876.81000000017</v>
      </c>
      <c r="AY38" s="62">
        <v>571092.97000000009</v>
      </c>
      <c r="AZ38" s="62">
        <v>565280.07000000007</v>
      </c>
      <c r="BA38" s="62">
        <v>572160.29000000015</v>
      </c>
      <c r="BB38" s="62">
        <v>586771.94999999995</v>
      </c>
      <c r="BC38" s="62">
        <v>586331.28</v>
      </c>
      <c r="BD38" s="62">
        <v>613095.43999999994</v>
      </c>
      <c r="BE38" s="62">
        <v>628742.46999999986</v>
      </c>
      <c r="BF38" s="62">
        <v>711335.38999999978</v>
      </c>
      <c r="BG38" s="62">
        <v>679740.75999999978</v>
      </c>
      <c r="BH38" s="62">
        <v>590159.6999999996</v>
      </c>
      <c r="BI38" s="62">
        <f>-'[1]PCR.3 (M3)'!BD9</f>
        <v>594352.00999999978</v>
      </c>
      <c r="BJ38" s="62">
        <f>-'[1]PCR.3 (M3)'!BE9</f>
        <v>584360.65000000014</v>
      </c>
      <c r="BK38" s="62">
        <f>-'[1]PCR.3 (M3)'!BF9</f>
        <v>613448.77000000014</v>
      </c>
      <c r="BL38" s="62">
        <f>-'[1]PCR.3 (M3)'!BG9</f>
        <v>593027.7699999999</v>
      </c>
      <c r="BM38" s="62">
        <f>-'[1]PCR.3 (M3)'!BH9</f>
        <v>569780.88</v>
      </c>
      <c r="BN38" s="62">
        <f>-'[1]PCR.3 (M3)'!BI9</f>
        <v>546060.61</v>
      </c>
      <c r="BO38" s="62">
        <f>-'[1]PCR.3 (M3)'!BJ9</f>
        <v>572550.80999999971</v>
      </c>
      <c r="BP38" s="62">
        <f>-'[1]PCR.3 (M3)'!BK9</f>
        <v>624222.3600000001</v>
      </c>
      <c r="BQ38" s="62">
        <f>-'[1]PCR.3 (M3)'!BL9</f>
        <v>521677.19000000006</v>
      </c>
      <c r="BR38" s="62">
        <f>-'[1]PCR.3 (M3)'!BM9</f>
        <v>633492.18000000017</v>
      </c>
      <c r="BS38" s="62">
        <f>-'[1]PCR.3 (M3)'!BN9</f>
        <v>621588.12999999977</v>
      </c>
      <c r="BT38" s="62">
        <f>-'[1]PCR.3 (M3)'!BO9</f>
        <v>610031.38</v>
      </c>
      <c r="BU38" s="72">
        <f>BU31*$BX38</f>
        <v>581052.88524262351</v>
      </c>
      <c r="BV38" s="73">
        <f t="shared" si="97"/>
        <v>614353.33551913348</v>
      </c>
      <c r="BW38" s="75">
        <f t="shared" si="97"/>
        <v>640910.42622038152</v>
      </c>
      <c r="BX38" s="70">
        <v>2.63E-3</v>
      </c>
    </row>
    <row r="39" spans="1:76" x14ac:dyDescent="0.25">
      <c r="A39" t="str">
        <f>A32</f>
        <v>LPS</v>
      </c>
      <c r="B39" s="61">
        <v>0</v>
      </c>
      <c r="C39" s="62">
        <v>0</v>
      </c>
      <c r="D39" s="62">
        <v>0</v>
      </c>
      <c r="E39" s="62">
        <v>0</v>
      </c>
      <c r="F39" s="62">
        <v>0</v>
      </c>
      <c r="G39" s="62">
        <v>0</v>
      </c>
      <c r="H39" s="62">
        <v>161719.88</v>
      </c>
      <c r="I39" s="62">
        <v>254189.3</v>
      </c>
      <c r="J39" s="62">
        <v>281465.65999999997</v>
      </c>
      <c r="K39" s="62">
        <v>285245.49</v>
      </c>
      <c r="L39" s="62">
        <v>269083.57</v>
      </c>
      <c r="M39" s="62">
        <v>238965.13999999998</v>
      </c>
      <c r="N39" s="62">
        <v>224850.72999999998</v>
      </c>
      <c r="O39" s="62">
        <v>237956.31</v>
      </c>
      <c r="P39" s="62">
        <v>251565.01000000004</v>
      </c>
      <c r="Q39" s="62">
        <v>189097.33</v>
      </c>
      <c r="R39" s="62">
        <v>213113.47</v>
      </c>
      <c r="S39" s="62">
        <v>216373.66000000003</v>
      </c>
      <c r="T39" s="62">
        <v>116492.81999999998</v>
      </c>
      <c r="U39" s="62">
        <v>243226.06999999998</v>
      </c>
      <c r="V39" s="62">
        <v>250527.38000000003</v>
      </c>
      <c r="W39" s="62">
        <v>254092.40000000002</v>
      </c>
      <c r="X39" s="62">
        <v>223814.44</v>
      </c>
      <c r="Y39" s="62">
        <v>219520.64000000001</v>
      </c>
      <c r="Z39" s="62">
        <v>224167.32000000004</v>
      </c>
      <c r="AA39" s="62">
        <v>205011.66999999995</v>
      </c>
      <c r="AB39" s="62">
        <v>303400.70000000007</v>
      </c>
      <c r="AC39" s="62">
        <v>185126.5</v>
      </c>
      <c r="AD39" s="62">
        <v>316940.88999999996</v>
      </c>
      <c r="AE39" s="62">
        <v>321997.71999999997</v>
      </c>
      <c r="AF39" s="62">
        <v>310765.08999999997</v>
      </c>
      <c r="AG39" s="62">
        <v>396595.14</v>
      </c>
      <c r="AH39" s="62">
        <v>377542.32</v>
      </c>
      <c r="AI39" s="62">
        <v>408237.68999999994</v>
      </c>
      <c r="AJ39" s="62">
        <v>374178.91</v>
      </c>
      <c r="AK39" s="62">
        <v>248411.44000000003</v>
      </c>
      <c r="AL39" s="62">
        <v>348292.93999999994</v>
      </c>
      <c r="AM39" s="62">
        <v>324530.38000000006</v>
      </c>
      <c r="AN39" s="62">
        <v>298549.52000000008</v>
      </c>
      <c r="AO39" s="62">
        <v>198760.71999999997</v>
      </c>
      <c r="AP39" s="62">
        <v>-43186.020000000011</v>
      </c>
      <c r="AQ39" s="62">
        <v>173024.77</v>
      </c>
      <c r="AR39" s="62">
        <v>210919.00000000003</v>
      </c>
      <c r="AS39" s="62">
        <v>241974.49000000005</v>
      </c>
      <c r="AT39" s="62">
        <v>239258.22999999998</v>
      </c>
      <c r="AU39" s="62">
        <v>249431.44999999998</v>
      </c>
      <c r="AV39" s="62">
        <v>214284.72999999998</v>
      </c>
      <c r="AW39" s="62">
        <v>214038.8</v>
      </c>
      <c r="AX39" s="62">
        <v>210123.15999999997</v>
      </c>
      <c r="AY39" s="62">
        <v>177380.74</v>
      </c>
      <c r="AZ39" s="62">
        <v>175214.68999999997</v>
      </c>
      <c r="BA39" s="62">
        <v>187659.03</v>
      </c>
      <c r="BB39" s="62">
        <v>188224.09999999998</v>
      </c>
      <c r="BC39" s="62">
        <v>196883.49000000002</v>
      </c>
      <c r="BD39" s="62">
        <v>236812.23999999996</v>
      </c>
      <c r="BE39" s="62">
        <v>221801.02</v>
      </c>
      <c r="BF39" s="62">
        <v>254298.65</v>
      </c>
      <c r="BG39" s="62">
        <v>277343.81000000006</v>
      </c>
      <c r="BH39" s="62">
        <v>279683.82</v>
      </c>
      <c r="BI39" s="62">
        <f>-'[1]PCR.3 (M3)'!BD10</f>
        <v>249349.24000000008</v>
      </c>
      <c r="BJ39" s="62">
        <f>-'[1]PCR.3 (M3)'!BE10</f>
        <v>280741.27000000008</v>
      </c>
      <c r="BK39" s="62">
        <f>-'[1]PCR.3 (M3)'!BF10</f>
        <v>202295.83</v>
      </c>
      <c r="BL39" s="62">
        <f>-'[1]PCR.3 (M3)'!BG10</f>
        <v>181674.2</v>
      </c>
      <c r="BM39" s="62">
        <f>-'[1]PCR.3 (M3)'!BH10</f>
        <v>158223.86000000002</v>
      </c>
      <c r="BN39" s="62">
        <f>-'[1]PCR.3 (M3)'!BI10</f>
        <v>153268.18</v>
      </c>
      <c r="BO39" s="62">
        <f>-'[1]PCR.3 (M3)'!BJ10</f>
        <v>186486.40000000002</v>
      </c>
      <c r="BP39" s="62">
        <f>-'[1]PCR.3 (M3)'!BK10</f>
        <v>189088.19</v>
      </c>
      <c r="BQ39" s="62">
        <f>-'[1]PCR.3 (M3)'!BL10</f>
        <v>218225.40999999995</v>
      </c>
      <c r="BR39" s="62">
        <f>-'[1]PCR.3 (M3)'!BM10</f>
        <v>215028.41</v>
      </c>
      <c r="BS39" s="62">
        <f>-'[1]PCR.3 (M3)'!BN10</f>
        <v>187872.19999999998</v>
      </c>
      <c r="BT39" s="62">
        <f>-'[1]PCR.3 (M3)'!BO10</f>
        <v>187652.27000000005</v>
      </c>
      <c r="BU39" s="72">
        <f t="shared" si="97"/>
        <v>181597.68760760041</v>
      </c>
      <c r="BV39" s="73">
        <f t="shared" si="97"/>
        <v>179551.60339822681</v>
      </c>
      <c r="BW39" s="75">
        <f t="shared" si="97"/>
        <v>178871.22437659843</v>
      </c>
      <c r="BX39" s="70">
        <v>2.679E-3</v>
      </c>
    </row>
    <row r="40" spans="1:76" x14ac:dyDescent="0.25">
      <c r="B40" s="66"/>
      <c r="C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65"/>
      <c r="BW40" s="67"/>
    </row>
    <row r="41" spans="1:76" x14ac:dyDescent="0.25">
      <c r="A41" t="s">
        <v>100</v>
      </c>
      <c r="B41" s="66"/>
      <c r="D41" s="68"/>
      <c r="BU41" s="65"/>
      <c r="BW41" s="67"/>
    </row>
    <row r="42" spans="1:76" x14ac:dyDescent="0.25">
      <c r="A42" t="s">
        <v>0</v>
      </c>
      <c r="B42" s="72">
        <v>0</v>
      </c>
      <c r="C42" s="21">
        <v>0</v>
      </c>
      <c r="D42" s="21">
        <v>0</v>
      </c>
      <c r="E42" s="21">
        <v>0</v>
      </c>
      <c r="F42" s="21">
        <v>0</v>
      </c>
      <c r="G42" s="21">
        <f>+(G35-G49)+((G49*G28)/SUM(G28:G32))</f>
        <v>295190.29272840382</v>
      </c>
      <c r="H42" s="21">
        <f t="shared" ref="H42:BW42" si="98">+(H35-H49)+((H49*H28)/SUM(H28:H32))</f>
        <v>3552699.5318844966</v>
      </c>
      <c r="I42" s="21">
        <f t="shared" si="98"/>
        <v>4511557.9920460368</v>
      </c>
      <c r="J42" s="21">
        <f t="shared" si="98"/>
        <v>4752169.391264746</v>
      </c>
      <c r="K42" s="21">
        <f t="shared" si="98"/>
        <v>4385755.915380205</v>
      </c>
      <c r="L42" s="21">
        <f t="shared" si="98"/>
        <v>3608736.1637318414</v>
      </c>
      <c r="M42" s="21">
        <f t="shared" si="98"/>
        <v>3249217.8039525403</v>
      </c>
      <c r="N42" s="21">
        <f t="shared" si="98"/>
        <v>4365101.4239690602</v>
      </c>
      <c r="O42" s="21">
        <f t="shared" si="98"/>
        <v>4817947.5181314042</v>
      </c>
      <c r="P42" s="21">
        <f t="shared" si="98"/>
        <v>4037755.3187402813</v>
      </c>
      <c r="Q42" s="21">
        <f t="shared" si="98"/>
        <v>2766381.3542498057</v>
      </c>
      <c r="R42" s="21">
        <f t="shared" si="98"/>
        <v>2182061.1349407672</v>
      </c>
      <c r="S42" s="21">
        <f t="shared" si="98"/>
        <v>1947794.0253990863</v>
      </c>
      <c r="T42" s="21">
        <f t="shared" si="98"/>
        <v>2569677.5347159621</v>
      </c>
      <c r="U42" s="21">
        <f t="shared" si="98"/>
        <v>3446714.3021454345</v>
      </c>
      <c r="V42" s="21">
        <f t="shared" si="98"/>
        <v>3236176.0008376292</v>
      </c>
      <c r="W42" s="21">
        <f t="shared" si="98"/>
        <v>2917509.1145182573</v>
      </c>
      <c r="X42" s="21">
        <f t="shared" si="98"/>
        <v>1978915.9305705254</v>
      </c>
      <c r="Y42" s="21">
        <f t="shared" ref="Y42:AJ42" si="99">+(Y35-Y49)+((Y49*Y28)/SUM(Y28:Y32))</f>
        <v>2113376.7766210893</v>
      </c>
      <c r="Z42" s="21">
        <f t="shared" si="99"/>
        <v>2799419.0124047049</v>
      </c>
      <c r="AA42" s="21">
        <f t="shared" si="99"/>
        <v>3638582.2041266421</v>
      </c>
      <c r="AB42" s="21">
        <f t="shared" si="99"/>
        <v>4188280.4407876167</v>
      </c>
      <c r="AC42" s="21">
        <f>+(AC35-AC49)+((AC49*AC28)/SUM(AC28:AC32))</f>
        <v>3746186.3602847797</v>
      </c>
      <c r="AD42" s="21">
        <f t="shared" si="99"/>
        <v>2531950.0374125694</v>
      </c>
      <c r="AE42" s="21">
        <f t="shared" si="99"/>
        <v>2377242.185220371</v>
      </c>
      <c r="AF42" s="21">
        <f t="shared" si="99"/>
        <v>3106037.073453139</v>
      </c>
      <c r="AG42" s="21">
        <f t="shared" si="99"/>
        <v>4100239.4010978914</v>
      </c>
      <c r="AH42" s="21">
        <f t="shared" si="99"/>
        <v>4181756.5098692053</v>
      </c>
      <c r="AI42" s="21">
        <f t="shared" si="99"/>
        <v>4109417.3819856942</v>
      </c>
      <c r="AJ42" s="21">
        <f t="shared" si="99"/>
        <v>2851199.2364281914</v>
      </c>
      <c r="AK42" s="21">
        <f t="shared" ref="AK42:AU42" si="100">+(AK35-AK49)+((AK49*AK28)/SUM(AK28:AK32))</f>
        <v>2683448.3607468507</v>
      </c>
      <c r="AL42" s="21">
        <f t="shared" si="100"/>
        <v>3363718.8098497805</v>
      </c>
      <c r="AM42" s="21">
        <f t="shared" si="100"/>
        <v>4342806.7610758794</v>
      </c>
      <c r="AN42" s="21">
        <f t="shared" si="100"/>
        <v>4293408.4530259445</v>
      </c>
      <c r="AO42" s="21">
        <f t="shared" si="100"/>
        <v>3199280.4123271694</v>
      </c>
      <c r="AP42" s="21">
        <f t="shared" si="100"/>
        <v>2488210.2991036703</v>
      </c>
      <c r="AQ42" s="21">
        <f t="shared" si="100"/>
        <v>2311144.91238232</v>
      </c>
      <c r="AR42" s="21">
        <f t="shared" si="100"/>
        <v>2928037.291051616</v>
      </c>
      <c r="AS42" s="21">
        <f t="shared" si="100"/>
        <v>4020077.2913475139</v>
      </c>
      <c r="AT42" s="21">
        <f t="shared" si="100"/>
        <v>3834642.0359398089</v>
      </c>
      <c r="AU42" s="21">
        <f t="shared" si="100"/>
        <v>3198890.4102754379</v>
      </c>
      <c r="AV42" s="21">
        <f>+(AV35-AV49)+((AV49*AV28)/SUM(AV28:AV32))</f>
        <v>2308876.3346959753</v>
      </c>
      <c r="AW42" s="21">
        <f>+(AW35-AW49)+((AW49*AW28)/SUM(AW28:AW32))</f>
        <v>2190390.5993512068</v>
      </c>
      <c r="AX42" s="21">
        <f t="shared" ref="AX42:BG42" si="101">+(AX35-AX49)+((AX49*AX28)/SUM(AX28:AX32))</f>
        <v>3349221.6495139003</v>
      </c>
      <c r="AY42" s="21">
        <f t="shared" si="101"/>
        <v>4011173.8364879685</v>
      </c>
      <c r="AZ42" s="21">
        <f t="shared" si="101"/>
        <v>3218737.4036792638</v>
      </c>
      <c r="BA42" s="21">
        <f t="shared" si="101"/>
        <v>2413758.2904904271</v>
      </c>
      <c r="BB42" s="21">
        <f t="shared" si="101"/>
        <v>2077762.8022420013</v>
      </c>
      <c r="BC42" s="21">
        <f t="shared" si="101"/>
        <v>1775381.8311124833</v>
      </c>
      <c r="BD42" s="21">
        <f t="shared" si="101"/>
        <v>2289019.3156211223</v>
      </c>
      <c r="BE42" s="21">
        <f t="shared" si="101"/>
        <v>2989224.0102280462</v>
      </c>
      <c r="BF42" s="21">
        <f t="shared" si="101"/>
        <v>3083132.6013923609</v>
      </c>
      <c r="BG42" s="21">
        <f t="shared" si="101"/>
        <v>2854197.3606192926</v>
      </c>
      <c r="BH42" s="21">
        <f>+(BH35-BH49)+((BH49*BH28)/SUM(BH28:BH32))</f>
        <v>2076529.284572941</v>
      </c>
      <c r="BI42" s="21">
        <f t="shared" ref="BI42:BS42" si="102">+(BI35-BI49)+((BI49*BI28)/SUM(BI28:BI32))</f>
        <v>1819813.1102729852</v>
      </c>
      <c r="BJ42" s="21">
        <f t="shared" si="102"/>
        <v>2530856.7280497858</v>
      </c>
      <c r="BK42" s="21">
        <f t="shared" si="102"/>
        <v>3305829.5993670844</v>
      </c>
      <c r="BL42" s="21">
        <f t="shared" si="102"/>
        <v>3327346.6919002132</v>
      </c>
      <c r="BM42" s="21">
        <f t="shared" si="102"/>
        <v>2619771.3377877618</v>
      </c>
      <c r="BN42" s="21">
        <f t="shared" si="102"/>
        <v>2409928.6284171818</v>
      </c>
      <c r="BO42" s="21">
        <f t="shared" si="102"/>
        <v>2183843.6197447842</v>
      </c>
      <c r="BP42" s="21">
        <f t="shared" si="102"/>
        <v>2967687.1051528761</v>
      </c>
      <c r="BQ42" s="21">
        <f t="shared" si="102"/>
        <v>3958748.7114171302</v>
      </c>
      <c r="BR42" s="21">
        <f t="shared" si="102"/>
        <v>3609553.0630077533</v>
      </c>
      <c r="BS42" s="21">
        <f t="shared" si="102"/>
        <v>3428321.3652319587</v>
      </c>
      <c r="BT42" s="21">
        <f>+(BT35-BT49)+((BT49*BT28)/SUM(BT28:BT32))</f>
        <v>2511082.5203923304</v>
      </c>
      <c r="BU42" s="72">
        <f>+(BU35-BU49)+((BU49*BU28)/SUM(BU28:BU32))</f>
        <v>2731557.4380446663</v>
      </c>
      <c r="BV42" s="73">
        <f>+(BV35-BV49)+((BV49*BV28)/SUM(BV28:BV32))</f>
        <v>3445618.6647930937</v>
      </c>
      <c r="BW42" s="75">
        <f t="shared" si="98"/>
        <v>4050309.4268494304</v>
      </c>
    </row>
    <row r="43" spans="1:76" x14ac:dyDescent="0.25">
      <c r="A43" t="s">
        <v>4</v>
      </c>
      <c r="B43" s="72">
        <v>0</v>
      </c>
      <c r="C43" s="21">
        <v>0</v>
      </c>
      <c r="D43" s="21">
        <v>0</v>
      </c>
      <c r="E43" s="21">
        <v>0</v>
      </c>
      <c r="F43" s="21">
        <v>0</v>
      </c>
      <c r="G43" s="21">
        <f>+G36+((G49*G29)/SUM(G28:G32))</f>
        <v>43744.936314661529</v>
      </c>
      <c r="H43" s="21">
        <f t="shared" ref="H43:BV43" si="103">+H36+((H49*H29)/SUM(H28:H32))</f>
        <v>568210.3259432381</v>
      </c>
      <c r="I43" s="21">
        <f t="shared" si="103"/>
        <v>649394.87848520535</v>
      </c>
      <c r="J43" s="21">
        <f t="shared" si="103"/>
        <v>667221.48350762157</v>
      </c>
      <c r="K43" s="21">
        <f t="shared" si="103"/>
        <v>645056.16512833338</v>
      </c>
      <c r="L43" s="21">
        <f t="shared" si="103"/>
        <v>580979.18053690717</v>
      </c>
      <c r="M43" s="21">
        <f t="shared" si="103"/>
        <v>518603.45772564446</v>
      </c>
      <c r="N43" s="21">
        <f t="shared" si="103"/>
        <v>607130.67517554737</v>
      </c>
      <c r="O43" s="21">
        <f t="shared" si="103"/>
        <v>646898.64085176506</v>
      </c>
      <c r="P43" s="21">
        <f t="shared" si="103"/>
        <v>632937.98568725004</v>
      </c>
      <c r="Q43" s="21">
        <f t="shared" si="103"/>
        <v>577188.02639772661</v>
      </c>
      <c r="R43" s="21">
        <f t="shared" si="103"/>
        <v>444351.47591697657</v>
      </c>
      <c r="S43" s="21">
        <f t="shared" si="103"/>
        <v>403651.36740700871</v>
      </c>
      <c r="T43" s="21">
        <f t="shared" si="103"/>
        <v>507453.67792005418</v>
      </c>
      <c r="U43" s="21">
        <f t="shared" si="103"/>
        <v>631548.81824402686</v>
      </c>
      <c r="V43" s="21">
        <f t="shared" si="103"/>
        <v>616095.12624848227</v>
      </c>
      <c r="W43" s="21">
        <f t="shared" si="103"/>
        <v>590269.42049498891</v>
      </c>
      <c r="X43" s="21">
        <f t="shared" si="103"/>
        <v>478409.08895352518</v>
      </c>
      <c r="Y43" s="21">
        <f t="shared" ref="Y43:AJ43" si="104">+Y36+((Y49*Y29)/SUM(Y28:Y32))</f>
        <v>477082.16103666276</v>
      </c>
      <c r="Z43" s="21">
        <f t="shared" si="104"/>
        <v>549671.45973651181</v>
      </c>
      <c r="AA43" s="21">
        <f t="shared" si="104"/>
        <v>653967.36396833474</v>
      </c>
      <c r="AB43" s="21">
        <f t="shared" si="104"/>
        <v>833702.62375657912</v>
      </c>
      <c r="AC43" s="21">
        <f t="shared" si="104"/>
        <v>905876.48727640067</v>
      </c>
      <c r="AD43" s="21">
        <f t="shared" si="104"/>
        <v>722774.80495919404</v>
      </c>
      <c r="AE43" s="21">
        <f t="shared" si="104"/>
        <v>707147.5737319215</v>
      </c>
      <c r="AF43" s="21">
        <f t="shared" si="104"/>
        <v>844403.71362476144</v>
      </c>
      <c r="AG43" s="21">
        <f t="shared" si="104"/>
        <v>999512.55829510279</v>
      </c>
      <c r="AH43" s="21">
        <f t="shared" si="104"/>
        <v>999185.26509286207</v>
      </c>
      <c r="AI43" s="21">
        <f t="shared" si="104"/>
        <v>1009673.0035464154</v>
      </c>
      <c r="AJ43" s="21">
        <f t="shared" si="104"/>
        <v>843131.50214970764</v>
      </c>
      <c r="AK43" s="21">
        <f t="shared" ref="AK43:AV43" si="105">+AK36+((AK49*AK29)/SUM(AK28:AK32))</f>
        <v>750689.34266088088</v>
      </c>
      <c r="AL43" s="21">
        <f>+AL36+((AL49*AL29)/SUM(AL28:AL32))</f>
        <v>852908.37451644777</v>
      </c>
      <c r="AM43" s="21">
        <f t="shared" si="105"/>
        <v>1004281.1109445925</v>
      </c>
      <c r="AN43" s="21">
        <f t="shared" si="105"/>
        <v>910730.1053929982</v>
      </c>
      <c r="AO43" s="21">
        <f t="shared" si="105"/>
        <v>604104.06474610639</v>
      </c>
      <c r="AP43" s="21">
        <f t="shared" si="105"/>
        <v>536885.62850437476</v>
      </c>
      <c r="AQ43" s="21">
        <f t="shared" si="105"/>
        <v>523424.76547348726</v>
      </c>
      <c r="AR43" s="21">
        <f t="shared" si="105"/>
        <v>609688.04206849181</v>
      </c>
      <c r="AS43" s="21">
        <f t="shared" si="105"/>
        <v>729073.00179109175</v>
      </c>
      <c r="AT43" s="21">
        <f t="shared" si="105"/>
        <v>713318.35511125741</v>
      </c>
      <c r="AU43" s="21">
        <f t="shared" si="105"/>
        <v>654266.79890100413</v>
      </c>
      <c r="AV43" s="21">
        <f t="shared" si="105"/>
        <v>538011.05846714834</v>
      </c>
      <c r="AW43" s="21">
        <f t="shared" ref="AW43:BH43" si="106">+AW36+((AW49*AW29)/SUM(AW28:AW32))</f>
        <v>512097.78004396072</v>
      </c>
      <c r="AX43" s="21">
        <f t="shared" si="106"/>
        <v>635609.26933955029</v>
      </c>
      <c r="AY43" s="21">
        <f t="shared" si="106"/>
        <v>727036.01913655677</v>
      </c>
      <c r="AZ43" s="21">
        <f t="shared" si="106"/>
        <v>650045.29159409832</v>
      </c>
      <c r="BA43" s="21">
        <f t="shared" si="106"/>
        <v>599348.86634132068</v>
      </c>
      <c r="BB43" s="21">
        <f t="shared" si="106"/>
        <v>551731.90450230055</v>
      </c>
      <c r="BC43" s="21">
        <f t="shared" si="106"/>
        <v>510841.44043407997</v>
      </c>
      <c r="BD43" s="21">
        <f t="shared" si="106"/>
        <v>614505.84559271403</v>
      </c>
      <c r="BE43" s="21">
        <f t="shared" si="106"/>
        <v>711565.64236291382</v>
      </c>
      <c r="BF43" s="21">
        <f t="shared" si="106"/>
        <v>726798.81421343994</v>
      </c>
      <c r="BG43" s="21">
        <f t="shared" si="106"/>
        <v>705999.25682938576</v>
      </c>
      <c r="BH43" s="21">
        <f t="shared" si="106"/>
        <v>596504.95951140986</v>
      </c>
      <c r="BI43" s="21">
        <f t="shared" ref="BI43:BT43" si="107">+BI36+((BI49*BI29)/SUM(BI28:BI32))</f>
        <v>547967.6124713734</v>
      </c>
      <c r="BJ43" s="21">
        <f t="shared" si="107"/>
        <v>627694.36983366217</v>
      </c>
      <c r="BK43" s="21">
        <f t="shared" si="107"/>
        <v>755491.99632037804</v>
      </c>
      <c r="BL43" s="21">
        <f t="shared" si="107"/>
        <v>724433.65471080318</v>
      </c>
      <c r="BM43" s="21">
        <f t="shared" si="107"/>
        <v>605867.29390273616</v>
      </c>
      <c r="BN43" s="21">
        <f t="shared" si="107"/>
        <v>589408.72344600281</v>
      </c>
      <c r="BO43" s="21">
        <f t="shared" si="107"/>
        <v>563299.70942097367</v>
      </c>
      <c r="BP43" s="21">
        <f t="shared" si="107"/>
        <v>688280.58962049161</v>
      </c>
      <c r="BQ43" s="21">
        <f t="shared" si="107"/>
        <v>817062.89672153583</v>
      </c>
      <c r="BR43" s="21">
        <f t="shared" si="107"/>
        <v>771289.73495040496</v>
      </c>
      <c r="BS43" s="21">
        <f t="shared" si="107"/>
        <v>751331.39666982181</v>
      </c>
      <c r="BT43" s="21">
        <f t="shared" si="107"/>
        <v>634868.88162227639</v>
      </c>
      <c r="BU43" s="72">
        <f>+BU36+((BU49*BU29)/SUM(BU28:BU32))</f>
        <v>594208.01960258256</v>
      </c>
      <c r="BV43" s="73">
        <f t="shared" si="103"/>
        <v>710181.18925263244</v>
      </c>
      <c r="BW43" s="75">
        <f>+BW36+((BW49*BW29)/SUM(BW28:BW32))</f>
        <v>797817.92317676509</v>
      </c>
    </row>
    <row r="44" spans="1:76" x14ac:dyDescent="0.25">
      <c r="A44" t="s">
        <v>5</v>
      </c>
      <c r="B44" s="72">
        <v>0</v>
      </c>
      <c r="C44" s="21">
        <v>0</v>
      </c>
      <c r="D44" s="21">
        <v>0</v>
      </c>
      <c r="E44" s="21">
        <v>0</v>
      </c>
      <c r="F44" s="21">
        <v>0</v>
      </c>
      <c r="G44" s="21">
        <f>+G37+((G49*G30)/SUM(G28:G32))</f>
        <v>84423.874146928167</v>
      </c>
      <c r="H44" s="21">
        <f t="shared" ref="H44:BV44" si="108">+H37+((H49*H30)/SUM(H28:H32))</f>
        <v>1336054.6409270847</v>
      </c>
      <c r="I44" s="21">
        <f t="shared" si="108"/>
        <v>1442379.3899051975</v>
      </c>
      <c r="J44" s="21">
        <f t="shared" si="108"/>
        <v>1475995.2175591744</v>
      </c>
      <c r="K44" s="21">
        <f t="shared" si="108"/>
        <v>1491456.1354549835</v>
      </c>
      <c r="L44" s="21">
        <f t="shared" si="108"/>
        <v>1371133.8380925541</v>
      </c>
      <c r="M44" s="21">
        <f t="shared" si="108"/>
        <v>1204813.6041378318</v>
      </c>
      <c r="N44" s="21">
        <f t="shared" si="108"/>
        <v>1300904.3861555418</v>
      </c>
      <c r="O44" s="21">
        <f t="shared" si="108"/>
        <v>1344491.9372732197</v>
      </c>
      <c r="P44" s="21">
        <f t="shared" si="108"/>
        <v>1306116.2213177041</v>
      </c>
      <c r="Q44" s="21">
        <f t="shared" si="108"/>
        <v>1234187.4444455279</v>
      </c>
      <c r="R44" s="21">
        <f t="shared" si="108"/>
        <v>1057598.132676661</v>
      </c>
      <c r="S44" s="21">
        <f t="shared" si="108"/>
        <v>988209.26458995673</v>
      </c>
      <c r="T44" s="21">
        <f t="shared" si="108"/>
        <v>1172717.502653836</v>
      </c>
      <c r="U44" s="21">
        <f t="shared" si="108"/>
        <v>1368599.3305217391</v>
      </c>
      <c r="V44" s="21">
        <f t="shared" si="108"/>
        <v>1364601.432792651</v>
      </c>
      <c r="W44" s="21">
        <f t="shared" si="108"/>
        <v>1359498.7571962452</v>
      </c>
      <c r="X44" s="21">
        <f t="shared" si="108"/>
        <v>1159839.3226495082</v>
      </c>
      <c r="Y44" s="21">
        <f t="shared" ref="Y44:AJ44" si="109">+Y37+((Y49*Y30)/SUM(Y28:Y32))</f>
        <v>1127365.8182133259</v>
      </c>
      <c r="Z44" s="21">
        <f t="shared" si="109"/>
        <v>1208470.8845104931</v>
      </c>
      <c r="AA44" s="21">
        <f t="shared" si="109"/>
        <v>1291771.9169668022</v>
      </c>
      <c r="AB44" s="21">
        <f t="shared" si="109"/>
        <v>1588446.8629697617</v>
      </c>
      <c r="AC44" s="21">
        <f t="shared" si="109"/>
        <v>1852890.5052491783</v>
      </c>
      <c r="AD44" s="21">
        <f t="shared" si="109"/>
        <v>1653538.8817990015</v>
      </c>
      <c r="AE44" s="21">
        <f t="shared" si="109"/>
        <v>1686971.6576370855</v>
      </c>
      <c r="AF44" s="21">
        <f t="shared" si="109"/>
        <v>1874400.1860548265</v>
      </c>
      <c r="AG44" s="21">
        <f t="shared" si="109"/>
        <v>2196541.1930375779</v>
      </c>
      <c r="AH44" s="21">
        <f t="shared" si="109"/>
        <v>2174975.8800486908</v>
      </c>
      <c r="AI44" s="21">
        <f t="shared" si="109"/>
        <v>2217058.0778888692</v>
      </c>
      <c r="AJ44" s="21">
        <f t="shared" si="109"/>
        <v>1951263.8378506319</v>
      </c>
      <c r="AK44" s="21">
        <f t="shared" ref="AK44:AV44" si="110">+AK37+((AK49*AK30)/SUM(AK28:AK32))</f>
        <v>1726103.5393177646</v>
      </c>
      <c r="AL44" s="21">
        <f t="shared" si="110"/>
        <v>1881929.1958311605</v>
      </c>
      <c r="AM44" s="21">
        <f t="shared" si="110"/>
        <v>2005592.2770200991</v>
      </c>
      <c r="AN44" s="21">
        <f t="shared" si="110"/>
        <v>1783921.6723531524</v>
      </c>
      <c r="AO44" s="21">
        <f t="shared" si="110"/>
        <v>1253405.6677993066</v>
      </c>
      <c r="AP44" s="21">
        <f t="shared" si="110"/>
        <v>1174263.1855678495</v>
      </c>
      <c r="AQ44" s="21">
        <f t="shared" si="110"/>
        <v>1220299.5843403901</v>
      </c>
      <c r="AR44" s="21">
        <f t="shared" si="110"/>
        <v>1371912.2807565846</v>
      </c>
      <c r="AS44" s="21">
        <f t="shared" si="110"/>
        <v>1536824.3836298459</v>
      </c>
      <c r="AT44" s="21">
        <f t="shared" si="110"/>
        <v>1524235.3454259974</v>
      </c>
      <c r="AU44" s="21">
        <f t="shared" si="110"/>
        <v>1458758.2030910118</v>
      </c>
      <c r="AV44" s="21">
        <f t="shared" si="110"/>
        <v>1253300.700617902</v>
      </c>
      <c r="AW44" s="21">
        <f t="shared" ref="AW44:BH44" si="111">+AW37+((AW49*AW30)/SUM(AW28:AW32))</f>
        <v>1218734.1112721257</v>
      </c>
      <c r="AX44" s="21">
        <f t="shared" si="111"/>
        <v>1346046.1230339229</v>
      </c>
      <c r="AY44" s="21">
        <f t="shared" si="111"/>
        <v>1397847.3075984942</v>
      </c>
      <c r="AZ44" s="21">
        <f t="shared" si="111"/>
        <v>1298334.4593873837</v>
      </c>
      <c r="BA44" s="21">
        <f t="shared" si="111"/>
        <v>1312449.8206298549</v>
      </c>
      <c r="BB44" s="21">
        <f t="shared" si="111"/>
        <v>1256282.6060921778</v>
      </c>
      <c r="BC44" s="21">
        <f t="shared" si="111"/>
        <v>1251728.8283028405</v>
      </c>
      <c r="BD44" s="21">
        <f t="shared" si="111"/>
        <v>1414032.7367633835</v>
      </c>
      <c r="BE44" s="21">
        <f t="shared" si="111"/>
        <v>1520345.8604949925</v>
      </c>
      <c r="BF44" s="21">
        <f t="shared" si="111"/>
        <v>1575119.2990609824</v>
      </c>
      <c r="BG44" s="21">
        <f t="shared" si="111"/>
        <v>1576133.9807337432</v>
      </c>
      <c r="BH44" s="21">
        <f t="shared" si="111"/>
        <v>1387233.8054871673</v>
      </c>
      <c r="BI44" s="21">
        <f t="shared" ref="BI44:BT44" si="112">+BI37+((BI49*BI30)/SUM(BI28:BI32))</f>
        <v>1277942.1152447739</v>
      </c>
      <c r="BJ44" s="21">
        <f t="shared" si="112"/>
        <v>1364315.518028667</v>
      </c>
      <c r="BK44" s="21">
        <f t="shared" si="112"/>
        <v>1491726.8863738747</v>
      </c>
      <c r="BL44" s="21">
        <f t="shared" si="112"/>
        <v>1350552.145664884</v>
      </c>
      <c r="BM44" s="21">
        <f t="shared" si="112"/>
        <v>1254166.7981065551</v>
      </c>
      <c r="BN44" s="21">
        <f t="shared" si="112"/>
        <v>1253579.6644586672</v>
      </c>
      <c r="BO44" s="21">
        <f t="shared" si="112"/>
        <v>1264606.3336115275</v>
      </c>
      <c r="BP44" s="21">
        <f t="shared" si="112"/>
        <v>1432272.9835347438</v>
      </c>
      <c r="BQ44" s="21">
        <f t="shared" si="112"/>
        <v>1604241.6927161913</v>
      </c>
      <c r="BR44" s="21">
        <f t="shared" si="112"/>
        <v>1515834.0462811131</v>
      </c>
      <c r="BS44" s="21">
        <f t="shared" si="112"/>
        <v>1517401.5560611561</v>
      </c>
      <c r="BT44" s="21">
        <f t="shared" si="112"/>
        <v>1355528.1848921133</v>
      </c>
      <c r="BU44" s="72">
        <f>+BU37+((BU49*BU30)/SUM(BU28:BU32))</f>
        <v>1283816.6390411332</v>
      </c>
      <c r="BV44" s="73">
        <f t="shared" si="108"/>
        <v>1410580.0500949905</v>
      </c>
      <c r="BW44" s="75">
        <f>+BW37+((BW49*BW30)/SUM(BW28:BW32))</f>
        <v>1480544.1102049148</v>
      </c>
    </row>
    <row r="45" spans="1:76" x14ac:dyDescent="0.25">
      <c r="A45" t="s">
        <v>6</v>
      </c>
      <c r="B45" s="72">
        <v>0</v>
      </c>
      <c r="C45" s="21">
        <v>0</v>
      </c>
      <c r="D45" s="21">
        <v>0</v>
      </c>
      <c r="E45" s="21">
        <v>0</v>
      </c>
      <c r="F45" s="21">
        <v>0</v>
      </c>
      <c r="G45" s="21">
        <f>+G38+((G49*G31)/SUM(G28:G32))</f>
        <v>30150.344945276724</v>
      </c>
      <c r="H45" s="21">
        <f t="shared" ref="H45:BV45" si="113">+H38+((H49*H31)/SUM(H28:H32))</f>
        <v>518406.27084999112</v>
      </c>
      <c r="I45" s="21">
        <f t="shared" si="113"/>
        <v>588132.77330640203</v>
      </c>
      <c r="J45" s="21">
        <f t="shared" si="113"/>
        <v>617146.09507294628</v>
      </c>
      <c r="K45" s="21">
        <f t="shared" si="113"/>
        <v>614128.31923707656</v>
      </c>
      <c r="L45" s="21">
        <f t="shared" si="113"/>
        <v>569462.22565281927</v>
      </c>
      <c r="M45" s="21">
        <f t="shared" si="113"/>
        <v>524120.20581370714</v>
      </c>
      <c r="N45" s="21">
        <f t="shared" si="113"/>
        <v>525597.05628799344</v>
      </c>
      <c r="O45" s="21">
        <f t="shared" si="113"/>
        <v>540227.51234625489</v>
      </c>
      <c r="P45" s="21">
        <f t="shared" si="113"/>
        <v>558852.24520919961</v>
      </c>
      <c r="Q45" s="21">
        <f t="shared" si="113"/>
        <v>495957.75427404162</v>
      </c>
      <c r="R45" s="21">
        <f t="shared" si="113"/>
        <v>485897.24747779005</v>
      </c>
      <c r="S45" s="21">
        <f t="shared" si="113"/>
        <v>458259.74601619825</v>
      </c>
      <c r="T45" s="21">
        <f t="shared" si="113"/>
        <v>534433.02829693747</v>
      </c>
      <c r="U45" s="21">
        <f t="shared" si="113"/>
        <v>562242.17026648542</v>
      </c>
      <c r="V45" s="21">
        <f t="shared" si="113"/>
        <v>589750.22844619595</v>
      </c>
      <c r="W45" s="21">
        <f t="shared" si="113"/>
        <v>590470.20812279847</v>
      </c>
      <c r="X45" s="21">
        <f t="shared" si="113"/>
        <v>524774.24909668393</v>
      </c>
      <c r="Y45" s="21">
        <f t="shared" ref="Y45:AJ45" si="114">+Y38+((Y49*Y31)/SUM(Y28:Y32))</f>
        <v>519912.55027813651</v>
      </c>
      <c r="Z45" s="21">
        <f t="shared" si="114"/>
        <v>542593.41595449299</v>
      </c>
      <c r="AA45" s="21">
        <f t="shared" si="114"/>
        <v>531375.93559382239</v>
      </c>
      <c r="AB45" s="21">
        <f t="shared" si="114"/>
        <v>676137.05244962359</v>
      </c>
      <c r="AC45" s="21">
        <f t="shared" si="114"/>
        <v>731515.32134719973</v>
      </c>
      <c r="AD45" s="21">
        <f t="shared" si="114"/>
        <v>732274.60133437149</v>
      </c>
      <c r="AE45" s="21">
        <f t="shared" si="114"/>
        <v>757552.38398482255</v>
      </c>
      <c r="AF45" s="21">
        <f t="shared" si="114"/>
        <v>734570.39593660552</v>
      </c>
      <c r="AG45" s="21">
        <f t="shared" si="114"/>
        <v>978463.04079311609</v>
      </c>
      <c r="AH45" s="21">
        <f t="shared" si="114"/>
        <v>898097.42021942383</v>
      </c>
      <c r="AI45" s="21">
        <f t="shared" si="114"/>
        <v>909606.86116796674</v>
      </c>
      <c r="AJ45" s="21">
        <f t="shared" si="114"/>
        <v>786411.41386717884</v>
      </c>
      <c r="AK45" s="21">
        <f t="shared" ref="AK45:AV45" si="115">+AK38+((AK49*AK31)/SUM(AK28:AK32))</f>
        <v>682966.46419695206</v>
      </c>
      <c r="AL45" s="21">
        <f t="shared" si="115"/>
        <v>895493.14151450468</v>
      </c>
      <c r="AM45" s="21">
        <f t="shared" si="115"/>
        <v>862037.42355302314</v>
      </c>
      <c r="AN45" s="21">
        <f t="shared" si="115"/>
        <v>729832.30625868088</v>
      </c>
      <c r="AO45" s="21">
        <f t="shared" si="115"/>
        <v>541399.67505585728</v>
      </c>
      <c r="AP45" s="21">
        <f t="shared" si="115"/>
        <v>495823.82574038097</v>
      </c>
      <c r="AQ45" s="21">
        <f t="shared" si="115"/>
        <v>555070.73645452468</v>
      </c>
      <c r="AR45" s="21">
        <f t="shared" si="115"/>
        <v>633628.25528487435</v>
      </c>
      <c r="AS45" s="21">
        <f t="shared" si="115"/>
        <v>656857.77339455311</v>
      </c>
      <c r="AT45" s="21">
        <f t="shared" si="115"/>
        <v>651110.35421543871</v>
      </c>
      <c r="AU45" s="21">
        <f t="shared" si="115"/>
        <v>634437.34210171364</v>
      </c>
      <c r="AV45" s="21">
        <f t="shared" si="115"/>
        <v>562822.69418418827</v>
      </c>
      <c r="AW45" s="21">
        <f t="shared" ref="AW45:BH45" si="116">+AW38+((AW49*AW31)/SUM(AW28:AW32))</f>
        <v>567555.80415834207</v>
      </c>
      <c r="AX45" s="21">
        <f t="shared" si="116"/>
        <v>585273.90204223513</v>
      </c>
      <c r="AY45" s="21">
        <f t="shared" si="116"/>
        <v>556916.45673646464</v>
      </c>
      <c r="AZ45" s="21">
        <f t="shared" si="116"/>
        <v>552234.38945364626</v>
      </c>
      <c r="BA45" s="21">
        <f t="shared" si="116"/>
        <v>561687.88425574719</v>
      </c>
      <c r="BB45" s="21">
        <f t="shared" si="116"/>
        <v>576389.38236574968</v>
      </c>
      <c r="BC45" s="21">
        <f t="shared" si="116"/>
        <v>577531.8264708746</v>
      </c>
      <c r="BD45" s="21">
        <f t="shared" si="116"/>
        <v>603907.13253500243</v>
      </c>
      <c r="BE45" s="21">
        <f t="shared" si="116"/>
        <v>618610.19130909536</v>
      </c>
      <c r="BF45" s="21">
        <f t="shared" si="116"/>
        <v>699861.64339906943</v>
      </c>
      <c r="BG45" s="21">
        <f t="shared" si="116"/>
        <v>668903.14933504362</v>
      </c>
      <c r="BH45" s="21">
        <f t="shared" si="116"/>
        <v>580970.89113126695</v>
      </c>
      <c r="BI45" s="21">
        <f t="shared" ref="BI45:BT45" si="117">+BI38+((BI49*BI31)/SUM(BI28:BI32))</f>
        <v>584832.4430688353</v>
      </c>
      <c r="BJ45" s="21">
        <f t="shared" si="117"/>
        <v>572896.84563794662</v>
      </c>
      <c r="BK45" s="21">
        <f t="shared" si="117"/>
        <v>600216.49045223661</v>
      </c>
      <c r="BL45" s="21">
        <f t="shared" si="117"/>
        <v>578828.43964963173</v>
      </c>
      <c r="BM45" s="21">
        <f t="shared" si="117"/>
        <v>555750.70537871798</v>
      </c>
      <c r="BN45" s="21">
        <f t="shared" si="117"/>
        <v>533419.30653954344</v>
      </c>
      <c r="BO45" s="21">
        <f t="shared" si="117"/>
        <v>561179.68322055438</v>
      </c>
      <c r="BP45" s="21">
        <f t="shared" si="117"/>
        <v>611828.89134128171</v>
      </c>
      <c r="BQ45" s="21">
        <f t="shared" si="117"/>
        <v>507292.98836146924</v>
      </c>
      <c r="BR45" s="21">
        <f t="shared" si="117"/>
        <v>620091.51384020399</v>
      </c>
      <c r="BS45" s="21">
        <f t="shared" si="117"/>
        <v>608769.61639353202</v>
      </c>
      <c r="BT45" s="21">
        <f t="shared" si="117"/>
        <v>598367.74114891712</v>
      </c>
      <c r="BU45" s="72">
        <f>+BU38+((BU49*BU31)/SUM(BU28:BU32))</f>
        <v>568300.50162400445</v>
      </c>
      <c r="BV45" s="73">
        <f t="shared" si="113"/>
        <v>599943.07543884765</v>
      </c>
      <c r="BW45" s="75">
        <f>+BW38+((BW49*BW31)/SUM(BW28:BW32))</f>
        <v>625149.76856017124</v>
      </c>
    </row>
    <row r="46" spans="1:76" x14ac:dyDescent="0.25">
      <c r="A46" t="s">
        <v>7</v>
      </c>
      <c r="B46" s="72">
        <v>0</v>
      </c>
      <c r="C46" s="21">
        <v>0</v>
      </c>
      <c r="D46" s="21">
        <v>0</v>
      </c>
      <c r="E46" s="21">
        <v>0</v>
      </c>
      <c r="F46" s="21">
        <v>0</v>
      </c>
      <c r="G46" s="21">
        <f>+G39+((G49*G32)/SUM(G28:G32))</f>
        <v>-500.81813527018198</v>
      </c>
      <c r="H46" s="21">
        <f t="shared" ref="H46:BV46" si="118">+H39+((H49*H32)/SUM(H28:H32))</f>
        <v>156028.00039518921</v>
      </c>
      <c r="I46" s="21">
        <f t="shared" si="118"/>
        <v>248555.19625715772</v>
      </c>
      <c r="J46" s="21">
        <f t="shared" si="118"/>
        <v>275104.93259551213</v>
      </c>
      <c r="K46" s="21">
        <f t="shared" si="118"/>
        <v>279134.0147994014</v>
      </c>
      <c r="L46" s="21">
        <f t="shared" si="118"/>
        <v>263494.62198587839</v>
      </c>
      <c r="M46" s="21">
        <f t="shared" si="118"/>
        <v>232893.59837027569</v>
      </c>
      <c r="N46" s="21">
        <f t="shared" si="118"/>
        <v>218260.65841185823</v>
      </c>
      <c r="O46" s="21">
        <f t="shared" si="118"/>
        <v>230778.54139735646</v>
      </c>
      <c r="P46" s="21">
        <f t="shared" si="118"/>
        <v>244921.64904556473</v>
      </c>
      <c r="Q46" s="21">
        <f t="shared" si="118"/>
        <v>185104.31063289865</v>
      </c>
      <c r="R46" s="21">
        <f t="shared" si="118"/>
        <v>209430.69898780569</v>
      </c>
      <c r="S46" s="21">
        <f t="shared" si="118"/>
        <v>213008.76658775011</v>
      </c>
      <c r="T46" s="21">
        <f t="shared" si="118"/>
        <v>113456.50641321018</v>
      </c>
      <c r="U46" s="21">
        <f t="shared" si="118"/>
        <v>239652.77882231495</v>
      </c>
      <c r="V46" s="21">
        <f t="shared" si="118"/>
        <v>247021.24167504165</v>
      </c>
      <c r="W46" s="21">
        <f t="shared" si="118"/>
        <v>250771.30966770981</v>
      </c>
      <c r="X46" s="21">
        <f t="shared" si="118"/>
        <v>220859.09872975742</v>
      </c>
      <c r="Y46" s="21">
        <f t="shared" ref="Y46:AJ46" si="119">+Y39+((Y49*Y32)/SUM(Y28:Y32))</f>
        <v>216158.38385078555</v>
      </c>
      <c r="Z46" s="21">
        <f t="shared" si="119"/>
        <v>220178.27739379625</v>
      </c>
      <c r="AA46" s="21">
        <f t="shared" si="119"/>
        <v>201061.84934439845</v>
      </c>
      <c r="AB46" s="21">
        <f t="shared" si="119"/>
        <v>297325.43003641954</v>
      </c>
      <c r="AC46" s="21">
        <f t="shared" si="119"/>
        <v>182095.21584244084</v>
      </c>
      <c r="AD46" s="21">
        <f t="shared" si="119"/>
        <v>312763.02449486341</v>
      </c>
      <c r="AE46" s="21">
        <f t="shared" si="119"/>
        <v>317887.88942579983</v>
      </c>
      <c r="AF46" s="21">
        <f t="shared" si="119"/>
        <v>306997.73093066877</v>
      </c>
      <c r="AG46" s="21">
        <f t="shared" si="119"/>
        <v>391727.38677631202</v>
      </c>
      <c r="AH46" s="21">
        <f t="shared" si="119"/>
        <v>372804.1147698182</v>
      </c>
      <c r="AI46" s="21">
        <f t="shared" si="119"/>
        <v>403161.59541105537</v>
      </c>
      <c r="AJ46" s="21">
        <f t="shared" si="119"/>
        <v>369973.55970429053</v>
      </c>
      <c r="AK46" s="21">
        <f t="shared" ref="AK46:AV46" si="120">+AK39+((AK49*AK32)/SUM(AK28:AK32))</f>
        <v>244571.14307755165</v>
      </c>
      <c r="AL46" s="21">
        <f t="shared" si="120"/>
        <v>341293.90828810667</v>
      </c>
      <c r="AM46" s="21">
        <f t="shared" si="120"/>
        <v>317760.24740640545</v>
      </c>
      <c r="AN46" s="21">
        <f t="shared" si="120"/>
        <v>291737.71296922409</v>
      </c>
      <c r="AO46" s="21">
        <f t="shared" si="120"/>
        <v>193409.87007156134</v>
      </c>
      <c r="AP46" s="21">
        <f t="shared" si="120"/>
        <v>-47838.018916275658</v>
      </c>
      <c r="AQ46" s="21">
        <f t="shared" si="120"/>
        <v>170105.85134927844</v>
      </c>
      <c r="AR46" s="21">
        <f t="shared" si="120"/>
        <v>207605.45083843259</v>
      </c>
      <c r="AS46" s="21">
        <f t="shared" si="120"/>
        <v>237834.10983699583</v>
      </c>
      <c r="AT46" s="21">
        <f t="shared" si="120"/>
        <v>235091.00930749663</v>
      </c>
      <c r="AU46" s="21">
        <f t="shared" si="120"/>
        <v>245170.37563083222</v>
      </c>
      <c r="AV46" s="21">
        <f t="shared" si="120"/>
        <v>210646.40203478656</v>
      </c>
      <c r="AW46" s="21">
        <f t="shared" ref="AW46:BH46" si="121">+AW39+((AW49*AW32)/SUM(AW28:AW32))</f>
        <v>210092.84517436608</v>
      </c>
      <c r="AX46" s="21">
        <f>+AX39+((AX49*AX32)/SUM(AX28:AX32))</f>
        <v>204881.0760703905</v>
      </c>
      <c r="AY46" s="21">
        <f t="shared" si="121"/>
        <v>172655.29004051513</v>
      </c>
      <c r="AZ46" s="21">
        <f t="shared" si="121"/>
        <v>170815.85588560844</v>
      </c>
      <c r="BA46" s="21">
        <f t="shared" si="121"/>
        <v>184363.19828264986</v>
      </c>
      <c r="BB46" s="21">
        <f t="shared" si="121"/>
        <v>185164.74479777101</v>
      </c>
      <c r="BC46" s="21">
        <f t="shared" si="121"/>
        <v>194169.29367972194</v>
      </c>
      <c r="BD46" s="21">
        <f t="shared" si="121"/>
        <v>233597.98948777685</v>
      </c>
      <c r="BE46" s="21">
        <f t="shared" si="121"/>
        <v>218517.6556049519</v>
      </c>
      <c r="BF46" s="21">
        <f t="shared" si="121"/>
        <v>250477.26193414806</v>
      </c>
      <c r="BG46" s="21">
        <f t="shared" si="121"/>
        <v>273281.92248253291</v>
      </c>
      <c r="BH46" s="21">
        <f t="shared" si="121"/>
        <v>275683.6692972153</v>
      </c>
      <c r="BI46" s="21">
        <f t="shared" ref="BI46:BT46" si="122">+BI39+((BI49*BI32)/SUM(BI28:BI32))</f>
        <v>245633.33894203109</v>
      </c>
      <c r="BJ46" s="21">
        <f t="shared" si="122"/>
        <v>275682.16844993993</v>
      </c>
      <c r="BK46" s="21">
        <f t="shared" si="122"/>
        <v>197360.56748643416</v>
      </c>
      <c r="BL46" s="21">
        <f t="shared" si="122"/>
        <v>176737.4980744693</v>
      </c>
      <c r="BM46" s="21">
        <f t="shared" si="122"/>
        <v>154397.96482423545</v>
      </c>
      <c r="BN46" s="21">
        <f t="shared" si="122"/>
        <v>149784.92713861031</v>
      </c>
      <c r="BO46" s="21">
        <f t="shared" si="122"/>
        <v>182850.43400216481</v>
      </c>
      <c r="BP46" s="21">
        <f t="shared" si="122"/>
        <v>185402.65035061206</v>
      </c>
      <c r="BQ46" s="21">
        <f t="shared" si="122"/>
        <v>213628.34078368402</v>
      </c>
      <c r="BR46" s="21">
        <f t="shared" si="122"/>
        <v>210562.97192052915</v>
      </c>
      <c r="BS46" s="21">
        <f t="shared" si="122"/>
        <v>184068.72564353925</v>
      </c>
      <c r="BT46" s="21">
        <f t="shared" si="122"/>
        <v>184130.03194436809</v>
      </c>
      <c r="BU46" s="72">
        <f>+BU39+((BU49*BU32)/SUM(BU28:BU32))</f>
        <v>177685.0551289033</v>
      </c>
      <c r="BV46" s="73">
        <f t="shared" si="118"/>
        <v>175417.07555238824</v>
      </c>
      <c r="BW46" s="75">
        <f>+BW39+((BW49*BW32)/SUM(BW28:BW32))</f>
        <v>174553.04664242858</v>
      </c>
    </row>
    <row r="47" spans="1:76" x14ac:dyDescent="0.25">
      <c r="B47" s="138"/>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66"/>
      <c r="BW47" s="67"/>
    </row>
    <row r="48" spans="1:76" x14ac:dyDescent="0.25">
      <c r="A48" t="s">
        <v>101</v>
      </c>
      <c r="B48" s="66"/>
      <c r="D48" s="227" t="s">
        <v>85</v>
      </c>
      <c r="BU48" s="65"/>
      <c r="BW48" s="67"/>
    </row>
    <row r="49" spans="1:76" x14ac:dyDescent="0.25">
      <c r="A49" t="str">
        <f>A35</f>
        <v>RES</v>
      </c>
      <c r="B49" s="61">
        <v>0</v>
      </c>
      <c r="C49" s="62">
        <v>0</v>
      </c>
      <c r="D49" s="62">
        <v>0</v>
      </c>
      <c r="E49" s="62">
        <v>0</v>
      </c>
      <c r="F49" s="62">
        <v>0</v>
      </c>
      <c r="G49" s="62">
        <v>-9522.4</v>
      </c>
      <c r="H49" s="62">
        <v>-104689.11000000002</v>
      </c>
      <c r="I49" s="62">
        <v>-128371.58</v>
      </c>
      <c r="J49" s="62">
        <v>-136714.63</v>
      </c>
      <c r="K49" s="62">
        <v>-124499.38</v>
      </c>
      <c r="L49" s="62">
        <v>-105447.85</v>
      </c>
      <c r="M49" s="62">
        <v>-115870.95999999999</v>
      </c>
      <c r="N49" s="62">
        <v>-159652.35999999999</v>
      </c>
      <c r="O49" s="62">
        <v>-176358.06</v>
      </c>
      <c r="P49" s="62">
        <v>-152923.21000000002</v>
      </c>
      <c r="Q49" s="62">
        <v>-104411.42000000001</v>
      </c>
      <c r="R49" s="62">
        <v>-75414.77</v>
      </c>
      <c r="S49" s="62">
        <v>-62153.88</v>
      </c>
      <c r="T49" s="62">
        <v>-70524.600000000006</v>
      </c>
      <c r="U49" s="62">
        <v>-90726.45</v>
      </c>
      <c r="V49" s="62">
        <v>-83821.569999999992</v>
      </c>
      <c r="W49" s="62">
        <v>-76802.63</v>
      </c>
      <c r="X49" s="62">
        <v>-57468.17</v>
      </c>
      <c r="Y49" s="62">
        <v>-68027.990000000005</v>
      </c>
      <c r="Z49" s="62">
        <v>-94111.33</v>
      </c>
      <c r="AA49" s="62">
        <v>-126650.93999999999</v>
      </c>
      <c r="AB49" s="62">
        <v>-149406.69</v>
      </c>
      <c r="AC49" s="62">
        <v>-135402.07</v>
      </c>
      <c r="AD49" s="62">
        <v>-88176.780000000013</v>
      </c>
      <c r="AE49" s="62">
        <v>-77035.090000000011</v>
      </c>
      <c r="AF49" s="62">
        <v>-87368.93</v>
      </c>
      <c r="AG49" s="62">
        <v>-114935.89</v>
      </c>
      <c r="AH49" s="62">
        <v>-117101.95</v>
      </c>
      <c r="AI49" s="62">
        <v>-116190.31</v>
      </c>
      <c r="AJ49" s="62">
        <v>-82093.440000000002</v>
      </c>
      <c r="AK49" s="62">
        <v>-88713.000000000015</v>
      </c>
      <c r="AL49" s="62">
        <v>-114074.83999999998</v>
      </c>
      <c r="AM49" s="62">
        <v>-140301.07</v>
      </c>
      <c r="AN49" s="62">
        <v>-148476.09</v>
      </c>
      <c r="AO49" s="62">
        <v>-113125.41</v>
      </c>
      <c r="AP49" s="62">
        <v>-88302.719999999987</v>
      </c>
      <c r="AQ49" s="62">
        <v>-74672.359999999986</v>
      </c>
      <c r="AR49" s="62">
        <v>-85294.589999999982</v>
      </c>
      <c r="AS49" s="62">
        <v>-115673.46999999999</v>
      </c>
      <c r="AT49" s="62">
        <v>-114533.16999999998</v>
      </c>
      <c r="AU49" s="62">
        <v>-100177.27999999998</v>
      </c>
      <c r="AV49" s="62">
        <v>-78846.779999999984</v>
      </c>
      <c r="AW49" s="62">
        <v>-82735.98000000001</v>
      </c>
      <c r="AX49" s="62">
        <v>-135016.18</v>
      </c>
      <c r="AY49" s="62">
        <v>-164819.97</v>
      </c>
      <c r="AZ49" s="62">
        <v>-138861.54</v>
      </c>
      <c r="BA49" s="62">
        <v>-105419.66000000002</v>
      </c>
      <c r="BB49" s="62">
        <v>-89461.319999999992</v>
      </c>
      <c r="BC49" s="62">
        <v>-69877.75</v>
      </c>
      <c r="BD49" s="62">
        <v>-82681.790000000008</v>
      </c>
      <c r="BE49" s="62">
        <v>-106570.87000000001</v>
      </c>
      <c r="BF49" s="62">
        <v>-112852.13999999998</v>
      </c>
      <c r="BG49" s="62">
        <v>-105496.87</v>
      </c>
      <c r="BH49" s="62">
        <v>-82786.91</v>
      </c>
      <c r="BI49" s="62">
        <f>'[1]PCR.4 (M3)'!BD7</f>
        <v>-78263.01999999999</v>
      </c>
      <c r="BJ49" s="62">
        <f>'[1]PCR.4 (M3)'!BE7</f>
        <v>-115069.90999999999</v>
      </c>
      <c r="BK49" s="62">
        <f>'[1]PCR.4 (M3)'!BF7</f>
        <v>-150101.47000000006</v>
      </c>
      <c r="BL49" s="62">
        <f>'[1]PCR.4 (M3)'!BG7</f>
        <v>-156751.58000000002</v>
      </c>
      <c r="BM49" s="62">
        <f>'[1]PCR.4 (M3)'!BH7</f>
        <v>-125133.19000000002</v>
      </c>
      <c r="BN49" s="62">
        <f>'[1]PCR.4 (M3)'!BI7</f>
        <v>-111725.12</v>
      </c>
      <c r="BO49" s="62">
        <f>'[1]PCR.4 (M3)'!BJ7</f>
        <v>-92310.48</v>
      </c>
      <c r="BP49" s="62">
        <f>'[1]PCR.4 (M3)'!BK7</f>
        <v>-113682.01</v>
      </c>
      <c r="BQ49" s="62">
        <f>'[1]PCR.4 (M3)'!BL7</f>
        <v>-151244.02000000002</v>
      </c>
      <c r="BR49" s="62">
        <f>'[1]PCR.4 (M3)'!BM7</f>
        <v>-138140.38</v>
      </c>
      <c r="BS49" s="62">
        <f>'[1]PCR.4 (M3)'!BN7</f>
        <v>-129974.18999999999</v>
      </c>
      <c r="BT49" s="62">
        <f>'[1]PCR.4 (M3)'!BO7</f>
        <v>-98499.439999999988</v>
      </c>
      <c r="BU49" s="72">
        <f>-(BU28*$BX$35*PPC!$B$14)</f>
        <v>-114540.82772149571</v>
      </c>
      <c r="BV49" s="21">
        <f>-(BV28*$BX$35*PPC!$B$14)</f>
        <v>-144685.306514861</v>
      </c>
      <c r="BW49" s="75">
        <f>-(BW28*$BX$35*PPC!$B$14)</f>
        <v>-170256.12957510175</v>
      </c>
      <c r="BX49" s="137"/>
    </row>
    <row r="50" spans="1:76" x14ac:dyDescent="0.25">
      <c r="B50" s="66"/>
      <c r="C50" s="3"/>
      <c r="D50" s="227" t="s">
        <v>67</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71"/>
      <c r="BV50" s="3"/>
      <c r="BW50" s="67"/>
    </row>
    <row r="51" spans="1:76" ht="15.75" thickBot="1" x14ac:dyDescent="0.3">
      <c r="A51" t="s">
        <v>91</v>
      </c>
      <c r="B51" s="171">
        <v>0</v>
      </c>
      <c r="C51" s="172">
        <v>0</v>
      </c>
      <c r="D51" s="172">
        <v>0</v>
      </c>
      <c r="E51" s="77">
        <v>9653.81</v>
      </c>
      <c r="F51" s="77">
        <v>12438.97</v>
      </c>
      <c r="G51" s="77">
        <v>17431.88</v>
      </c>
      <c r="H51" s="77">
        <v>10576.06</v>
      </c>
      <c r="I51" s="77">
        <v>2521.9899999999998</v>
      </c>
      <c r="J51" s="77">
        <v>-1864.05</v>
      </c>
      <c r="K51" s="77">
        <v>-6842.24</v>
      </c>
      <c r="L51" s="77">
        <v>-9531.39</v>
      </c>
      <c r="M51" s="77">
        <v>-4794.22</v>
      </c>
      <c r="N51" s="77">
        <v>6542.98</v>
      </c>
      <c r="O51" s="77">
        <v>-1848</v>
      </c>
      <c r="P51" s="77">
        <v>-7048.55</v>
      </c>
      <c r="Q51" s="77">
        <v>-8321.11</v>
      </c>
      <c r="R51" s="77">
        <v>-4942.3900000000003</v>
      </c>
      <c r="S51" s="77">
        <v>-734.78</v>
      </c>
      <c r="T51" s="77">
        <v>-749.55</v>
      </c>
      <c r="U51" s="77">
        <v>-1464.01</v>
      </c>
      <c r="V51" s="77">
        <v>-1137.5899999999999</v>
      </c>
      <c r="W51" s="77">
        <v>-911.11</v>
      </c>
      <c r="X51" s="77">
        <v>-1351.83</v>
      </c>
      <c r="Y51" s="77">
        <v>-912.99</v>
      </c>
      <c r="Z51" s="77">
        <v>1753.23</v>
      </c>
      <c r="AA51" s="77">
        <v>767.1</v>
      </c>
      <c r="AB51" s="77">
        <v>-14.91</v>
      </c>
      <c r="AC51" s="204">
        <v>-623.99</v>
      </c>
      <c r="AD51" s="77">
        <v>-581.91</v>
      </c>
      <c r="AE51" s="77">
        <v>-1065.17</v>
      </c>
      <c r="AF51" s="77">
        <v>-1086.56</v>
      </c>
      <c r="AG51" s="77">
        <v>-1169.8</v>
      </c>
      <c r="AH51" s="77">
        <v>-2142.6799999999998</v>
      </c>
      <c r="AI51" s="77">
        <v>-2664.58</v>
      </c>
      <c r="AJ51" s="77">
        <v>-2209.46</v>
      </c>
      <c r="AK51" s="77">
        <v>-1732.83</v>
      </c>
      <c r="AL51" s="77">
        <v>416.97</v>
      </c>
      <c r="AM51" s="77">
        <v>-1527.25</v>
      </c>
      <c r="AN51" s="77">
        <v>-3262.3</v>
      </c>
      <c r="AO51" s="77">
        <v>-8705.91</v>
      </c>
      <c r="AP51" s="77">
        <v>-7696.38</v>
      </c>
      <c r="AQ51" s="77">
        <v>-13343.43</v>
      </c>
      <c r="AR51" s="77">
        <v>-19658.490000000002</v>
      </c>
      <c r="AS51" s="77">
        <v>-33493.69</v>
      </c>
      <c r="AT51" s="77">
        <v>-44565.49</v>
      </c>
      <c r="AU51" s="77">
        <v>-49379.45</v>
      </c>
      <c r="AV51" s="77">
        <v>-62378.84</v>
      </c>
      <c r="AW51" s="77">
        <v>-72513.259999999995</v>
      </c>
      <c r="AX51" s="77">
        <v>-22022.62</v>
      </c>
      <c r="AY51" s="77">
        <v>-39602.839999999997</v>
      </c>
      <c r="AZ51" s="77">
        <v>-45132.639999999999</v>
      </c>
      <c r="BA51" s="77">
        <v>-50067.44</v>
      </c>
      <c r="BB51" s="77">
        <v>-56364.87</v>
      </c>
      <c r="BC51" s="77">
        <v>-50214.16</v>
      </c>
      <c r="BD51" s="77">
        <v>-52385.52</v>
      </c>
      <c r="BE51" s="77">
        <v>-52553.77</v>
      </c>
      <c r="BF51" s="77">
        <v>-60904.33</v>
      </c>
      <c r="BG51" s="77">
        <v>-67167.87</v>
      </c>
      <c r="BH51" s="77">
        <v>-63197.03</v>
      </c>
      <c r="BI51" s="77">
        <f>-'[1]PCR.5 (M3)'!$W$68</f>
        <v>-68780.490000000005</v>
      </c>
      <c r="BJ51" s="77">
        <f>-'[1]PCR.5 (M3)'!$W$69</f>
        <v>13204.81</v>
      </c>
      <c r="BK51" s="77">
        <f>-'[1]PCR.5 (M3)'!$W$70</f>
        <v>-2522.0300000000002</v>
      </c>
      <c r="BL51" s="77">
        <f>-'[1]PCR.5 (M3)'!$W$71</f>
        <v>-19706.810000000001</v>
      </c>
      <c r="BM51" s="77">
        <f>-'[1]PCR.5 (M3)'!$W$72</f>
        <v>-26504.9</v>
      </c>
      <c r="BN51" s="77">
        <f>-'[1]PCR.5 (M3)'!$W$73</f>
        <v>-30084.34</v>
      </c>
      <c r="BO51" s="77">
        <f>-'[1]PCR.5 (M3)'!$W$74</f>
        <v>-31163.759999999998</v>
      </c>
      <c r="BP51" s="77">
        <f>-'[1]PCR.5 (M3)'!$W$75</f>
        <v>-31775.73</v>
      </c>
      <c r="BQ51" s="77">
        <f>-'[1]PCR.5 (M3)'!$W$76</f>
        <v>-41715.14</v>
      </c>
      <c r="BR51" s="77">
        <f>-'[1]PCR.5 (M3)'!$W$77</f>
        <v>-43420.71</v>
      </c>
      <c r="BS51" s="77">
        <f>-'[1]PCR.5 (M3)'!$W$78</f>
        <v>-49948.73</v>
      </c>
      <c r="BT51" s="77">
        <f>-'[1]PCR.5 (M3)'!$W$79</f>
        <v>-42245.9</v>
      </c>
      <c r="BU51" s="63">
        <f>'[2]MEEIA 3 calcs'!$BV$10</f>
        <v>-34769.01</v>
      </c>
      <c r="BV51" s="64">
        <f>'[2]MEEIA 3 calcs'!$BW$10</f>
        <v>20245.79</v>
      </c>
      <c r="BW51" s="103">
        <f>'[2]MEEIA 3 calcs'!$BX$10</f>
        <v>-9020.41</v>
      </c>
    </row>
    <row r="52" spans="1:76" x14ac:dyDescent="0.25">
      <c r="B52" s="96"/>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8"/>
      <c r="BV52" s="99"/>
      <c r="BW52" s="100"/>
    </row>
    <row r="53" spans="1:76" x14ac:dyDescent="0.25">
      <c r="A53" t="s">
        <v>68</v>
      </c>
      <c r="B53" s="66"/>
      <c r="BU53" s="65"/>
      <c r="BW53" s="67"/>
    </row>
    <row r="54" spans="1:76" x14ac:dyDescent="0.25">
      <c r="A54" t="s">
        <v>0</v>
      </c>
      <c r="B54" s="72">
        <f>B21-B42</f>
        <v>317847.94516670017</v>
      </c>
      <c r="C54" s="21">
        <f t="shared" ref="B54:X58" si="123">C21-C42</f>
        <v>62937.088413765421</v>
      </c>
      <c r="D54" s="21">
        <f>D21-D42</f>
        <v>155679.80049587399</v>
      </c>
      <c r="E54" s="21">
        <f>E21-E42</f>
        <v>2610951.7844937206</v>
      </c>
      <c r="F54" s="21">
        <f t="shared" si="123"/>
        <v>1148856.7617550408</v>
      </c>
      <c r="G54" s="21">
        <f t="shared" si="123"/>
        <v>1685209.2425861759</v>
      </c>
      <c r="H54" s="21">
        <f t="shared" si="123"/>
        <v>-1412646.369856202</v>
      </c>
      <c r="I54" s="21">
        <f t="shared" si="123"/>
        <v>-1746121.4508178439</v>
      </c>
      <c r="J54" s="21">
        <f t="shared" si="123"/>
        <v>-569159.98835822986</v>
      </c>
      <c r="K54" s="21">
        <f t="shared" si="123"/>
        <v>-2504894.8102436988</v>
      </c>
      <c r="L54" s="21">
        <f t="shared" si="123"/>
        <v>-647348.56232278887</v>
      </c>
      <c r="M54" s="21">
        <f t="shared" si="123"/>
        <v>1963165.593490921</v>
      </c>
      <c r="N54" s="21">
        <f t="shared" si="123"/>
        <v>2744624.1659281664</v>
      </c>
      <c r="O54" s="21">
        <f t="shared" si="123"/>
        <v>-4558519.3752459912</v>
      </c>
      <c r="P54" s="21">
        <f t="shared" si="123"/>
        <v>-1593483.3729405305</v>
      </c>
      <c r="Q54" s="21">
        <f t="shared" si="123"/>
        <v>1019588.1681131152</v>
      </c>
      <c r="R54" s="21">
        <f t="shared" si="123"/>
        <v>-501569.4579910934</v>
      </c>
      <c r="S54" s="21">
        <f t="shared" si="123"/>
        <v>214494.32440811465</v>
      </c>
      <c r="T54" s="21">
        <f t="shared" si="123"/>
        <v>412021.75545039354</v>
      </c>
      <c r="U54" s="21">
        <f t="shared" si="123"/>
        <v>-24064.602988175116</v>
      </c>
      <c r="V54" s="21">
        <f t="shared" si="123"/>
        <v>-21665.693050360773</v>
      </c>
      <c r="W54" s="21">
        <f t="shared" si="123"/>
        <v>1673784.2891499833</v>
      </c>
      <c r="X54" s="21">
        <f t="shared" si="123"/>
        <v>252616.935847888</v>
      </c>
      <c r="Y54" s="21">
        <f t="shared" ref="Y54:AJ54" si="124">Y21-Y42</f>
        <v>2501999.7505186545</v>
      </c>
      <c r="Z54" s="21">
        <f t="shared" si="124"/>
        <v>3691754.8940594546</v>
      </c>
      <c r="AA54" s="21">
        <f t="shared" si="124"/>
        <v>-2029921.1850279416</v>
      </c>
      <c r="AB54" s="21">
        <f t="shared" si="124"/>
        <v>-1381979.345070017</v>
      </c>
      <c r="AC54" s="21">
        <f t="shared" si="124"/>
        <v>-445804.0628003194</v>
      </c>
      <c r="AD54" s="21">
        <f t="shared" si="124"/>
        <v>-291924.21813365538</v>
      </c>
      <c r="AE54" s="21">
        <f t="shared" si="124"/>
        <v>-242275.15082735568</v>
      </c>
      <c r="AF54" s="21">
        <f t="shared" si="124"/>
        <v>942503.35400319332</v>
      </c>
      <c r="AG54" s="21">
        <f t="shared" si="124"/>
        <v>-2210348.6502563488</v>
      </c>
      <c r="AH54" s="21">
        <f t="shared" si="124"/>
        <v>-52303.693490993232</v>
      </c>
      <c r="AI54" s="21">
        <f t="shared" si="124"/>
        <v>-1730200.3446552847</v>
      </c>
      <c r="AJ54" s="21">
        <f t="shared" si="124"/>
        <v>700988.77258858271</v>
      </c>
      <c r="AK54" s="21">
        <f>AK21-AK42</f>
        <v>38033.779847216327</v>
      </c>
      <c r="AL54" s="21">
        <f t="shared" ref="AL54:AV54" si="125">AL21-AL42</f>
        <v>3764076.5819760147</v>
      </c>
      <c r="AM54" s="21">
        <f t="shared" si="125"/>
        <v>-3056095.94145873</v>
      </c>
      <c r="AN54" s="21">
        <f t="shared" si="125"/>
        <v>-2167355.2357849423</v>
      </c>
      <c r="AO54" s="21">
        <f t="shared" si="125"/>
        <v>-226250.81612975663</v>
      </c>
      <c r="AP54" s="21">
        <f t="shared" si="125"/>
        <v>-789654.24759315141</v>
      </c>
      <c r="AQ54" s="21">
        <f t="shared" si="125"/>
        <v>-273863.3328379197</v>
      </c>
      <c r="AR54" s="21">
        <f t="shared" si="125"/>
        <v>-32379.378029166255</v>
      </c>
      <c r="AS54" s="21">
        <f t="shared" si="125"/>
        <v>-1225101.2931087017</v>
      </c>
      <c r="AT54" s="21">
        <f t="shared" si="125"/>
        <v>154180.69901901996</v>
      </c>
      <c r="AU54" s="21">
        <f t="shared" si="125"/>
        <v>-167905.15528187621</v>
      </c>
      <c r="AV54" s="21">
        <f t="shared" si="125"/>
        <v>-307216.11211237381</v>
      </c>
      <c r="AW54" s="21">
        <f t="shared" ref="AW54:BH54" si="126">AW21-AW42</f>
        <v>63073.390585117508</v>
      </c>
      <c r="AX54" s="21">
        <f t="shared" si="126"/>
        <v>2290333.3361539384</v>
      </c>
      <c r="AY54" s="21">
        <f t="shared" si="126"/>
        <v>-2756356.840474993</v>
      </c>
      <c r="AZ54" s="21">
        <f t="shared" si="126"/>
        <v>3925.8215251388028</v>
      </c>
      <c r="BA54" s="21">
        <f t="shared" si="126"/>
        <v>472164.06223204313</v>
      </c>
      <c r="BB54" s="21">
        <f t="shared" si="126"/>
        <v>351930.04654434347</v>
      </c>
      <c r="BC54" s="21">
        <f t="shared" si="126"/>
        <v>756234.55215115636</v>
      </c>
      <c r="BD54" s="21">
        <f t="shared" si="126"/>
        <v>694584.18841354689</v>
      </c>
      <c r="BE54" s="21">
        <f t="shared" si="126"/>
        <v>949529.34584024036</v>
      </c>
      <c r="BF54" s="21">
        <f t="shared" si="126"/>
        <v>-181702.25760929519</v>
      </c>
      <c r="BG54" s="21">
        <f t="shared" si="126"/>
        <v>213451.77161647519</v>
      </c>
      <c r="BH54" s="21">
        <f t="shared" si="126"/>
        <v>684922.53480167384</v>
      </c>
      <c r="BI54" s="21">
        <f t="shared" ref="BI54:BT54" si="127">BI21-BI42</f>
        <v>202011.94215980638</v>
      </c>
      <c r="BJ54" s="21">
        <f t="shared" si="127"/>
        <v>4271136.1150764255</v>
      </c>
      <c r="BK54" s="21">
        <f t="shared" si="127"/>
        <v>693612.75078641716</v>
      </c>
      <c r="BL54" s="21">
        <f t="shared" si="127"/>
        <v>-1884565.528629448</v>
      </c>
      <c r="BM54" s="21">
        <f t="shared" si="127"/>
        <v>-337871.53775555594</v>
      </c>
      <c r="BN54" s="21">
        <f t="shared" si="127"/>
        <v>-276643.87645486696</v>
      </c>
      <c r="BO54" s="21">
        <f t="shared" si="127"/>
        <v>287282.47940025851</v>
      </c>
      <c r="BP54" s="21">
        <f t="shared" si="127"/>
        <v>553588.18847844424</v>
      </c>
      <c r="BQ54" s="21">
        <f t="shared" si="127"/>
        <v>-753704.35622615274</v>
      </c>
      <c r="BR54" s="21">
        <f t="shared" si="127"/>
        <v>219216.27673985111</v>
      </c>
      <c r="BS54" s="21">
        <f t="shared" si="127"/>
        <v>-2243983.1825781222</v>
      </c>
      <c r="BT54" s="21">
        <f t="shared" si="127"/>
        <v>392951.96815969888</v>
      </c>
      <c r="BU54" s="72">
        <f>BU21-BU42</f>
        <v>-670648.27972037811</v>
      </c>
      <c r="BV54" s="21">
        <f>BV21-BV42</f>
        <v>1029498.7248935122</v>
      </c>
      <c r="BW54" s="75">
        <f t="shared" ref="BU54:BW58" si="128">BW21-BW42</f>
        <v>-4050309.4268494304</v>
      </c>
    </row>
    <row r="55" spans="1:76" x14ac:dyDescent="0.25">
      <c r="A55" t="s">
        <v>4</v>
      </c>
      <c r="B55" s="72">
        <f t="shared" si="123"/>
        <v>33385.711349135156</v>
      </c>
      <c r="C55" s="21">
        <f t="shared" si="123"/>
        <v>13887.647890998298</v>
      </c>
      <c r="D55" s="21">
        <f t="shared" si="123"/>
        <v>36274.43793325447</v>
      </c>
      <c r="E55" s="21">
        <f t="shared" si="123"/>
        <v>151627.30805818431</v>
      </c>
      <c r="F55" s="21">
        <f t="shared" si="123"/>
        <v>61855.782634756295</v>
      </c>
      <c r="G55" s="21">
        <f t="shared" si="123"/>
        <v>91070.328298936831</v>
      </c>
      <c r="H55" s="21">
        <f t="shared" si="123"/>
        <v>-372553.18355731794</v>
      </c>
      <c r="I55" s="21">
        <f t="shared" si="123"/>
        <v>-418301.51727616251</v>
      </c>
      <c r="J55" s="21">
        <f t="shared" si="123"/>
        <v>-340577.65106168488</v>
      </c>
      <c r="K55" s="21">
        <f t="shared" si="123"/>
        <v>-51961.126270049368</v>
      </c>
      <c r="L55" s="21">
        <f t="shared" si="123"/>
        <v>-218673.10490737966</v>
      </c>
      <c r="M55" s="21">
        <f t="shared" si="123"/>
        <v>61345.156028920203</v>
      </c>
      <c r="N55" s="21">
        <f t="shared" si="123"/>
        <v>1037525.9411159896</v>
      </c>
      <c r="O55" s="21">
        <f t="shared" si="123"/>
        <v>-168707.22009253583</v>
      </c>
      <c r="P55" s="21">
        <f t="shared" si="123"/>
        <v>-442613.64162744442</v>
      </c>
      <c r="Q55" s="21">
        <f t="shared" si="123"/>
        <v>-372652.01497629203</v>
      </c>
      <c r="R55" s="21">
        <f t="shared" si="123"/>
        <v>-103351.53572984086</v>
      </c>
      <c r="S55" s="21">
        <f t="shared" si="123"/>
        <v>-139387.29111330374</v>
      </c>
      <c r="T55" s="21">
        <f t="shared" si="123"/>
        <v>-173194.10847420624</v>
      </c>
      <c r="U55" s="21">
        <f t="shared" si="123"/>
        <v>-424050.64838360238</v>
      </c>
      <c r="V55" s="21">
        <f t="shared" si="123"/>
        <v>-193757.96959317214</v>
      </c>
      <c r="W55" s="21">
        <f t="shared" si="123"/>
        <v>-102854.22907731927</v>
      </c>
      <c r="X55" s="21">
        <f t="shared" si="123"/>
        <v>96265.381961597712</v>
      </c>
      <c r="Y55" s="21">
        <f t="shared" ref="Y55:AJ55" si="129">Y22-Y43</f>
        <v>264061.55618657486</v>
      </c>
      <c r="Z55" s="21">
        <f t="shared" si="129"/>
        <v>1767992.420510438</v>
      </c>
      <c r="AA55" s="21">
        <f t="shared" si="129"/>
        <v>-214707.70615093142</v>
      </c>
      <c r="AB55" s="21">
        <f t="shared" si="129"/>
        <v>-777079.12959739345</v>
      </c>
      <c r="AC55" s="21">
        <f t="shared" si="129"/>
        <v>-54002.607687113108</v>
      </c>
      <c r="AD55" s="21">
        <f t="shared" si="129"/>
        <v>-435523.06926256506</v>
      </c>
      <c r="AE55" s="21">
        <f t="shared" si="129"/>
        <v>-480722.30882572033</v>
      </c>
      <c r="AF55" s="21">
        <f t="shared" si="129"/>
        <v>-384377.67176067957</v>
      </c>
      <c r="AG55" s="21">
        <f t="shared" si="129"/>
        <v>-301416.82663209806</v>
      </c>
      <c r="AH55" s="21">
        <f t="shared" si="129"/>
        <v>-544457.98199086729</v>
      </c>
      <c r="AI55" s="21">
        <f t="shared" si="129"/>
        <v>-528961.10510735714</v>
      </c>
      <c r="AJ55" s="21">
        <f t="shared" si="129"/>
        <v>-339905.41085934971</v>
      </c>
      <c r="AK55" s="21">
        <f t="shared" ref="AK55:AV55" si="130">AK22-AK43</f>
        <v>1083878.4324412406</v>
      </c>
      <c r="AL55" s="21">
        <f t="shared" si="130"/>
        <v>2282338.6259616371</v>
      </c>
      <c r="AM55" s="21">
        <f t="shared" si="130"/>
        <v>-1601899.9053247636</v>
      </c>
      <c r="AN55" s="21">
        <f t="shared" si="130"/>
        <v>-619381.40305961645</v>
      </c>
      <c r="AO55" s="21">
        <f t="shared" si="130"/>
        <v>-395608.48687091621</v>
      </c>
      <c r="AP55" s="21">
        <f t="shared" si="130"/>
        <v>68684.205417718273</v>
      </c>
      <c r="AQ55" s="21">
        <f t="shared" si="130"/>
        <v>-248658.57522784651</v>
      </c>
      <c r="AR55" s="21">
        <f t="shared" si="130"/>
        <v>242321.36853297905</v>
      </c>
      <c r="AS55" s="21">
        <f t="shared" si="130"/>
        <v>-555475.18215086998</v>
      </c>
      <c r="AT55" s="21">
        <f t="shared" si="130"/>
        <v>-323108.20951895695</v>
      </c>
      <c r="AU55" s="21">
        <f t="shared" si="130"/>
        <v>59718.318783914554</v>
      </c>
      <c r="AV55" s="21">
        <f t="shared" si="130"/>
        <v>-67806.114595635212</v>
      </c>
      <c r="AW55" s="21">
        <f t="shared" ref="AW55:BH55" si="131">AW22-AW43</f>
        <v>273153.43869259016</v>
      </c>
      <c r="AX55" s="21">
        <f t="shared" si="131"/>
        <v>2894860.1166943246</v>
      </c>
      <c r="AY55" s="21">
        <f t="shared" si="131"/>
        <v>-326658.06516124908</v>
      </c>
      <c r="AZ55" s="21">
        <f t="shared" si="131"/>
        <v>-320098.41298945481</v>
      </c>
      <c r="BA55" s="21">
        <f t="shared" si="131"/>
        <v>-221749.83450496168</v>
      </c>
      <c r="BB55" s="21">
        <f t="shared" si="131"/>
        <v>-278845.86419753102</v>
      </c>
      <c r="BC55" s="21">
        <f t="shared" si="131"/>
        <v>213850.64465446759</v>
      </c>
      <c r="BD55" s="21">
        <f t="shared" si="131"/>
        <v>-190553.23050588171</v>
      </c>
      <c r="BE55" s="21">
        <f t="shared" si="131"/>
        <v>-166030.67942920269</v>
      </c>
      <c r="BF55" s="21">
        <f t="shared" si="131"/>
        <v>-293684.33980316087</v>
      </c>
      <c r="BG55" s="21">
        <f t="shared" si="131"/>
        <v>-300711.62419087847</v>
      </c>
      <c r="BH55" s="21">
        <f t="shared" si="131"/>
        <v>77335.472869264078</v>
      </c>
      <c r="BI55" s="21">
        <f t="shared" ref="BI55:BT55" si="132">BI22-BI43</f>
        <v>-238616.73428448691</v>
      </c>
      <c r="BJ55" s="21">
        <f t="shared" si="132"/>
        <v>3183211.1464688103</v>
      </c>
      <c r="BK55" s="21">
        <f t="shared" si="132"/>
        <v>-1032354.0454967204</v>
      </c>
      <c r="BL55" s="21">
        <f t="shared" si="132"/>
        <v>-494565.9287209271</v>
      </c>
      <c r="BM55" s="21">
        <f t="shared" si="132"/>
        <v>-261424.33736070304</v>
      </c>
      <c r="BN55" s="21">
        <f t="shared" si="132"/>
        <v>-95853.978097986081</v>
      </c>
      <c r="BO55" s="21">
        <f t="shared" si="132"/>
        <v>-112512.51821310021</v>
      </c>
      <c r="BP55" s="21">
        <f t="shared" si="132"/>
        <v>-138590.88846323441</v>
      </c>
      <c r="BQ55" s="21">
        <f t="shared" si="132"/>
        <v>-365227.67996426998</v>
      </c>
      <c r="BR55" s="21">
        <f t="shared" si="132"/>
        <v>-144450.61782302323</v>
      </c>
      <c r="BS55" s="21">
        <f t="shared" si="132"/>
        <v>83359.806641020346</v>
      </c>
      <c r="BT55" s="21">
        <f t="shared" si="132"/>
        <v>155633.69207519223</v>
      </c>
      <c r="BU55" s="72">
        <f t="shared" si="128"/>
        <v>567476.92388893897</v>
      </c>
      <c r="BV55" s="21">
        <f t="shared" si="128"/>
        <v>3015703.7411815515</v>
      </c>
      <c r="BW55" s="75">
        <f t="shared" si="128"/>
        <v>-797817.92317676509</v>
      </c>
    </row>
    <row r="56" spans="1:76" x14ac:dyDescent="0.25">
      <c r="A56" t="s">
        <v>5</v>
      </c>
      <c r="B56" s="72">
        <f t="shared" si="123"/>
        <v>72690.254284489041</v>
      </c>
      <c r="C56" s="21">
        <f t="shared" si="123"/>
        <v>29119.872157604295</v>
      </c>
      <c r="D56" s="21">
        <f t="shared" si="123"/>
        <v>73504.970610067088</v>
      </c>
      <c r="E56" s="21">
        <f t="shared" si="123"/>
        <v>313330.74775433698</v>
      </c>
      <c r="F56" s="21">
        <f t="shared" si="123"/>
        <v>143775.80981087088</v>
      </c>
      <c r="G56" s="21">
        <f t="shared" si="123"/>
        <v>249176.1560287973</v>
      </c>
      <c r="H56" s="21">
        <f t="shared" si="123"/>
        <v>-875065.62451904663</v>
      </c>
      <c r="I56" s="21">
        <f t="shared" si="123"/>
        <v>-929548.85576901212</v>
      </c>
      <c r="J56" s="21">
        <f t="shared" si="123"/>
        <v>-754479.88415522163</v>
      </c>
      <c r="K56" s="21">
        <f t="shared" si="123"/>
        <v>-121163.91091031302</v>
      </c>
      <c r="L56" s="21">
        <f t="shared" si="123"/>
        <v>-519140.943946452</v>
      </c>
      <c r="M56" s="21">
        <f t="shared" si="123"/>
        <v>139258.38322080113</v>
      </c>
      <c r="N56" s="21">
        <f t="shared" si="123"/>
        <v>2220354.9949849639</v>
      </c>
      <c r="O56" s="21">
        <f t="shared" si="123"/>
        <v>-351371.47520095052</v>
      </c>
      <c r="P56" s="21">
        <f t="shared" si="123"/>
        <v>-913915.78352099599</v>
      </c>
      <c r="Q56" s="21">
        <f t="shared" si="123"/>
        <v>-796923.47425781027</v>
      </c>
      <c r="R56" s="21">
        <f t="shared" si="123"/>
        <v>-246929.46298825426</v>
      </c>
      <c r="S56" s="21">
        <f t="shared" si="123"/>
        <v>-341106.4101412266</v>
      </c>
      <c r="T56" s="21">
        <f t="shared" si="123"/>
        <v>-399940.71771143901</v>
      </c>
      <c r="U56" s="21">
        <f t="shared" si="123"/>
        <v>-919426.47245929379</v>
      </c>
      <c r="V56" s="21">
        <f t="shared" si="123"/>
        <v>-431214.51921135874</v>
      </c>
      <c r="W56" s="21">
        <f t="shared" si="123"/>
        <v>-238094.5733439601</v>
      </c>
      <c r="X56" s="21">
        <f t="shared" si="123"/>
        <v>231858.11567339581</v>
      </c>
      <c r="Y56" s="21">
        <f t="shared" ref="Y56:AJ56" si="133">Y23-Y44</f>
        <v>621751.82673440315</v>
      </c>
      <c r="Z56" s="21">
        <f t="shared" si="133"/>
        <v>3880985.0461089592</v>
      </c>
      <c r="AA56" s="21">
        <f t="shared" si="133"/>
        <v>-424990.959505704</v>
      </c>
      <c r="AB56" s="21">
        <f t="shared" si="133"/>
        <v>-1479199.5060620259</v>
      </c>
      <c r="AC56" s="21">
        <f t="shared" si="133"/>
        <v>-107655.73034786945</v>
      </c>
      <c r="AD56" s="21">
        <f t="shared" si="133"/>
        <v>-995947.10501596879</v>
      </c>
      <c r="AE56" s="21">
        <f t="shared" si="133"/>
        <v>-1145742.4246408353</v>
      </c>
      <c r="AF56" s="21">
        <f t="shared" si="133"/>
        <v>-854129.34870717989</v>
      </c>
      <c r="AG56" s="21">
        <f t="shared" si="133"/>
        <v>-662546.64633530588</v>
      </c>
      <c r="AH56" s="21">
        <f t="shared" si="133"/>
        <v>-1184457.8451218188</v>
      </c>
      <c r="AI56" s="21">
        <f t="shared" si="133"/>
        <v>-1160481.8326386572</v>
      </c>
      <c r="AJ56" s="21">
        <f t="shared" si="133"/>
        <v>-785606.5235801402</v>
      </c>
      <c r="AK56" s="21">
        <f t="shared" ref="AK56:AV56" si="134">AK23-AK44</f>
        <v>2495139.8572080284</v>
      </c>
      <c r="AL56" s="21">
        <f t="shared" si="134"/>
        <v>5029653.0761952624</v>
      </c>
      <c r="AM56" s="21">
        <f t="shared" si="134"/>
        <v>-3200895.9186028228</v>
      </c>
      <c r="AN56" s="21">
        <f t="shared" si="134"/>
        <v>-1220471.2687546392</v>
      </c>
      <c r="AO56" s="21">
        <f t="shared" si="134"/>
        <v>-826867.64287822787</v>
      </c>
      <c r="AP56" s="21">
        <f t="shared" si="134"/>
        <v>153718.3851601209</v>
      </c>
      <c r="AQ56" s="21">
        <f t="shared" si="134"/>
        <v>-587347.7113721621</v>
      </c>
      <c r="AR56" s="21">
        <f t="shared" si="134"/>
        <v>523491.29332233244</v>
      </c>
      <c r="AS56" s="21">
        <f t="shared" si="134"/>
        <v>-1175115.8212347077</v>
      </c>
      <c r="AT56" s="21">
        <f t="shared" si="134"/>
        <v>-699832.4104702156</v>
      </c>
      <c r="AU56" s="21">
        <f t="shared" si="134"/>
        <v>116141.46432894515</v>
      </c>
      <c r="AV56" s="21">
        <f t="shared" si="134"/>
        <v>-169985.11790648545</v>
      </c>
      <c r="AW56" s="21">
        <f t="shared" ref="AW56:BH56" si="135">AW23-AW44</f>
        <v>628800.90504071396</v>
      </c>
      <c r="AX56" s="21">
        <f t="shared" si="135"/>
        <v>6033916.2056790199</v>
      </c>
      <c r="AY56" s="21">
        <f t="shared" si="135"/>
        <v>-628574.40300941945</v>
      </c>
      <c r="AZ56" s="21">
        <f t="shared" si="135"/>
        <v>-655573.6174047041</v>
      </c>
      <c r="BA56" s="21">
        <f t="shared" si="135"/>
        <v>-525840.62413238641</v>
      </c>
      <c r="BB56" s="21">
        <f t="shared" si="135"/>
        <v>-665364.61655609903</v>
      </c>
      <c r="BC56" s="21">
        <f t="shared" si="135"/>
        <v>437617.96568142064</v>
      </c>
      <c r="BD56" s="21">
        <f t="shared" si="135"/>
        <v>-486104.50155920268</v>
      </c>
      <c r="BE56" s="21">
        <f t="shared" si="135"/>
        <v>-411484.95363595057</v>
      </c>
      <c r="BF56" s="21">
        <f t="shared" si="135"/>
        <v>-682187.38679661008</v>
      </c>
      <c r="BG56" s="21">
        <f t="shared" si="135"/>
        <v>-719766.65751483908</v>
      </c>
      <c r="BH56" s="21">
        <f t="shared" si="135"/>
        <v>103346.52113981429</v>
      </c>
      <c r="BI56" s="21">
        <f t="shared" ref="BI56:BT56" si="136">BI23-BI44</f>
        <v>-594216.48961889767</v>
      </c>
      <c r="BJ56" s="21">
        <f t="shared" si="136"/>
        <v>6518337.6362723652</v>
      </c>
      <c r="BK56" s="21">
        <f t="shared" si="136"/>
        <v>-2012018.4358634802</v>
      </c>
      <c r="BL56" s="21">
        <f t="shared" si="136"/>
        <v>-933932.67997534713</v>
      </c>
      <c r="BM56" s="21">
        <f t="shared" si="136"/>
        <v>-534163.7500799743</v>
      </c>
      <c r="BN56" s="21">
        <f t="shared" si="136"/>
        <v>-193123.43413033825</v>
      </c>
      <c r="BO56" s="21">
        <f t="shared" si="136"/>
        <v>-242291.87679442589</v>
      </c>
      <c r="BP56" s="21">
        <f t="shared" si="136"/>
        <v>-276710.67458358943</v>
      </c>
      <c r="BQ56" s="21">
        <f t="shared" si="136"/>
        <v>-706974.16024960054</v>
      </c>
      <c r="BR56" s="21">
        <f t="shared" si="136"/>
        <v>-271277.41707890644</v>
      </c>
      <c r="BS56" s="21">
        <f t="shared" si="136"/>
        <v>185526.99351245863</v>
      </c>
      <c r="BT56" s="21">
        <f t="shared" si="136"/>
        <v>349479.54757020762</v>
      </c>
      <c r="BU56" s="72">
        <f t="shared" si="128"/>
        <v>1252635.030474395</v>
      </c>
      <c r="BV56" s="21">
        <f t="shared" si="128"/>
        <v>6068339.1493899617</v>
      </c>
      <c r="BW56" s="75">
        <f t="shared" si="128"/>
        <v>-1480544.1102049148</v>
      </c>
    </row>
    <row r="57" spans="1:76" x14ac:dyDescent="0.25">
      <c r="A57" t="s">
        <v>6</v>
      </c>
      <c r="B57" s="72">
        <f t="shared" si="123"/>
        <v>33417.905035113341</v>
      </c>
      <c r="C57" s="21">
        <f t="shared" si="123"/>
        <v>11408.01611653602</v>
      </c>
      <c r="D57" s="21">
        <f t="shared" si="123"/>
        <v>29285.213310280094</v>
      </c>
      <c r="E57" s="21">
        <f t="shared" si="123"/>
        <v>126713.46256441454</v>
      </c>
      <c r="F57" s="21">
        <f t="shared" si="123"/>
        <v>61183.192042766401</v>
      </c>
      <c r="G57" s="21">
        <f t="shared" si="123"/>
        <v>109194.8602992037</v>
      </c>
      <c r="H57" s="21">
        <f t="shared" si="123"/>
        <v>-316991.86202728329</v>
      </c>
      <c r="I57" s="21">
        <f t="shared" si="123"/>
        <v>-379136.27975690988</v>
      </c>
      <c r="J57" s="21">
        <f t="shared" si="123"/>
        <v>-315386.07090011972</v>
      </c>
      <c r="K57" s="21">
        <f t="shared" si="123"/>
        <v>-49818.92285876628</v>
      </c>
      <c r="L57" s="21">
        <f t="shared" si="123"/>
        <v>-215270.10981033341</v>
      </c>
      <c r="M57" s="21">
        <f t="shared" si="123"/>
        <v>61182.121729940118</v>
      </c>
      <c r="N57" s="21">
        <f t="shared" si="123"/>
        <v>897386.39039995498</v>
      </c>
      <c r="O57" s="21">
        <f t="shared" si="123"/>
        <v>-141161.91391665098</v>
      </c>
      <c r="P57" s="21">
        <f t="shared" si="123"/>
        <v>-391760.82722727361</v>
      </c>
      <c r="Q57" s="21">
        <f t="shared" si="123"/>
        <v>-322241.99336860783</v>
      </c>
      <c r="R57" s="21">
        <f t="shared" si="123"/>
        <v>-117325.39190970577</v>
      </c>
      <c r="S57" s="21">
        <f t="shared" si="123"/>
        <v>-161763.76852829463</v>
      </c>
      <c r="T57" s="21">
        <f t="shared" si="123"/>
        <v>-185812.71859796008</v>
      </c>
      <c r="U57" s="21">
        <f t="shared" si="123"/>
        <v>-379630.05529016565</v>
      </c>
      <c r="V57" s="21">
        <f t="shared" si="123"/>
        <v>-190423.12520993804</v>
      </c>
      <c r="W57" s="21">
        <f t="shared" si="123"/>
        <v>-108460.05963433906</v>
      </c>
      <c r="X57" s="21">
        <f t="shared" si="123"/>
        <v>98518.931534060161</v>
      </c>
      <c r="Y57" s="21">
        <f t="shared" ref="Y57:AJ57" si="137">Y24-Y45</f>
        <v>278354.12925197242</v>
      </c>
      <c r="Z57" s="21">
        <f t="shared" si="137"/>
        <v>1718724.6857667654</v>
      </c>
      <c r="AA57" s="21">
        <f t="shared" si="137"/>
        <v>-178561.77381081844</v>
      </c>
      <c r="AB57" s="21">
        <f t="shared" si="137"/>
        <v>-628721.45480155572</v>
      </c>
      <c r="AC57" s="21">
        <f t="shared" si="137"/>
        <v>-37431.484758703271</v>
      </c>
      <c r="AD57" s="21">
        <f t="shared" si="137"/>
        <v>-439976.42925074504</v>
      </c>
      <c r="AE57" s="21">
        <f t="shared" si="137"/>
        <v>-513990.76935338799</v>
      </c>
      <c r="AF57" s="21">
        <f t="shared" si="137"/>
        <v>-330377.74080542306</v>
      </c>
      <c r="AG57" s="21">
        <f t="shared" si="137"/>
        <v>-292898.36572088208</v>
      </c>
      <c r="AH57" s="21">
        <f t="shared" si="137"/>
        <v>-487527.66345742811</v>
      </c>
      <c r="AI57" s="21">
        <f t="shared" si="137"/>
        <v>-474487.12585359626</v>
      </c>
      <c r="AJ57" s="21">
        <f t="shared" si="137"/>
        <v>-314839.39348556893</v>
      </c>
      <c r="AK57" s="21">
        <f t="shared" ref="AK57:AV57" si="138">AK24-AK45</f>
        <v>993632.8905653907</v>
      </c>
      <c r="AL57" s="21">
        <f t="shared" si="138"/>
        <v>2405880.9773027631</v>
      </c>
      <c r="AM57" s="21">
        <f t="shared" si="138"/>
        <v>-1377414.1726673483</v>
      </c>
      <c r="AN57" s="21">
        <f t="shared" si="138"/>
        <v>-500865.70792126446</v>
      </c>
      <c r="AO57" s="21">
        <f t="shared" si="138"/>
        <v>-365216.1584643884</v>
      </c>
      <c r="AP57" s="21">
        <f t="shared" si="138"/>
        <v>99435.729728311475</v>
      </c>
      <c r="AQ57" s="21">
        <f t="shared" si="138"/>
        <v>-277852.46916761767</v>
      </c>
      <c r="AR57" s="21">
        <f t="shared" si="138"/>
        <v>186953.30122343113</v>
      </c>
      <c r="AS57" s="21">
        <f t="shared" si="138"/>
        <v>-508174.29204377055</v>
      </c>
      <c r="AT57" s="21">
        <f t="shared" si="138"/>
        <v>-303495.13183108286</v>
      </c>
      <c r="AU57" s="21">
        <f t="shared" si="138"/>
        <v>24373.266658151406</v>
      </c>
      <c r="AV57" s="21">
        <f t="shared" si="138"/>
        <v>-94588.489079515042</v>
      </c>
      <c r="AW57" s="21">
        <f t="shared" ref="AW57:BH57" si="139">AW24-AW45</f>
        <v>260819.81776016706</v>
      </c>
      <c r="AX57" s="21">
        <f t="shared" si="139"/>
        <v>2521717.5776277022</v>
      </c>
      <c r="AY57" s="21">
        <f t="shared" si="139"/>
        <v>-261702.37207991624</v>
      </c>
      <c r="AZ57" s="21">
        <f t="shared" si="139"/>
        <v>-286361.27704570931</v>
      </c>
      <c r="BA57" s="21">
        <f t="shared" si="139"/>
        <v>-247483.99017117656</v>
      </c>
      <c r="BB57" s="21">
        <f t="shared" si="139"/>
        <v>-311873.72379447619</v>
      </c>
      <c r="BC57" s="21">
        <f t="shared" si="139"/>
        <v>182774.52538085124</v>
      </c>
      <c r="BD57" s="21">
        <f t="shared" si="139"/>
        <v>-211654.17843372549</v>
      </c>
      <c r="BE57" s="21">
        <f t="shared" si="139"/>
        <v>-178422.36871828692</v>
      </c>
      <c r="BF57" s="21">
        <f t="shared" si="139"/>
        <v>-318322.85484878439</v>
      </c>
      <c r="BG57" s="21">
        <f t="shared" si="139"/>
        <v>-314499.15387771145</v>
      </c>
      <c r="BH57" s="21">
        <f t="shared" si="139"/>
        <v>28067.081939203083</v>
      </c>
      <c r="BI57" s="21">
        <f t="shared" ref="BI57:BT57" si="140">BI24-BI45</f>
        <v>-282431.71671866451</v>
      </c>
      <c r="BJ57" s="21">
        <f t="shared" si="140"/>
        <v>2653966.8326829886</v>
      </c>
      <c r="BK57" s="21">
        <f t="shared" si="140"/>
        <v>-807009.45844521385</v>
      </c>
      <c r="BL57" s="21">
        <f t="shared" si="140"/>
        <v>-403726.67938320478</v>
      </c>
      <c r="BM57" s="21">
        <f t="shared" si="140"/>
        <v>-239659.44129542977</v>
      </c>
      <c r="BN57" s="21">
        <f t="shared" si="140"/>
        <v>-86094.336434985627</v>
      </c>
      <c r="BO57" s="21">
        <f t="shared" si="140"/>
        <v>-111441.13722639839</v>
      </c>
      <c r="BP57" s="21">
        <f t="shared" si="140"/>
        <v>-122463.59881701373</v>
      </c>
      <c r="BQ57" s="21">
        <f t="shared" si="140"/>
        <v>-145943.01031989924</v>
      </c>
      <c r="BR57" s="21">
        <f t="shared" si="140"/>
        <v>-115353.66947601101</v>
      </c>
      <c r="BS57" s="21">
        <f t="shared" si="140"/>
        <v>68555.715129994671</v>
      </c>
      <c r="BT57" s="21">
        <f t="shared" si="140"/>
        <v>147809.39161220111</v>
      </c>
      <c r="BU57" s="72">
        <f t="shared" si="128"/>
        <v>544894.51593501354</v>
      </c>
      <c r="BV57" s="21">
        <f t="shared" si="128"/>
        <v>2553717.7473390526</v>
      </c>
      <c r="BW57" s="75">
        <f t="shared" si="128"/>
        <v>-625149.76856017124</v>
      </c>
    </row>
    <row r="58" spans="1:76" x14ac:dyDescent="0.25">
      <c r="A58" t="s">
        <v>7</v>
      </c>
      <c r="B58" s="72">
        <f t="shared" si="123"/>
        <v>15564.884164562347</v>
      </c>
      <c r="C58" s="21">
        <f t="shared" si="123"/>
        <v>4597.8354210959724</v>
      </c>
      <c r="D58" s="21">
        <f t="shared" si="123"/>
        <v>11312.677650524363</v>
      </c>
      <c r="E58" s="21">
        <f t="shared" si="123"/>
        <v>51892.447129343942</v>
      </c>
      <c r="F58" s="21">
        <f t="shared" si="123"/>
        <v>26015.323756565842</v>
      </c>
      <c r="G58" s="21">
        <f t="shared" si="123"/>
        <v>59151.182786885998</v>
      </c>
      <c r="H58" s="21">
        <f t="shared" si="123"/>
        <v>-64129.410040150338</v>
      </c>
      <c r="I58" s="21">
        <f t="shared" si="123"/>
        <v>-160229.73638007068</v>
      </c>
      <c r="J58" s="21">
        <f t="shared" si="123"/>
        <v>-140589.51552474406</v>
      </c>
      <c r="K58" s="21">
        <f t="shared" si="123"/>
        <v>-22651.019717172428</v>
      </c>
      <c r="L58" s="21">
        <f t="shared" si="123"/>
        <v>-99607.159013046505</v>
      </c>
      <c r="M58" s="21">
        <f t="shared" si="123"/>
        <v>27186.405529417709</v>
      </c>
      <c r="N58" s="21">
        <f t="shared" si="123"/>
        <v>372522.52757092461</v>
      </c>
      <c r="O58" s="21">
        <f t="shared" si="123"/>
        <v>-60301.825543871091</v>
      </c>
      <c r="P58" s="21">
        <f t="shared" si="123"/>
        <v>-172174.48468375538</v>
      </c>
      <c r="Q58" s="21">
        <f t="shared" si="123"/>
        <v>-118202.43551040562</v>
      </c>
      <c r="R58" s="21">
        <f t="shared" si="123"/>
        <v>-55110.281381106266</v>
      </c>
      <c r="S58" s="21">
        <f t="shared" si="123"/>
        <v>-79123.144625289307</v>
      </c>
      <c r="T58" s="21">
        <f t="shared" si="123"/>
        <v>19737.61933321174</v>
      </c>
      <c r="U58" s="21">
        <f t="shared" si="123"/>
        <v>-164034.38087876508</v>
      </c>
      <c r="V58" s="21">
        <f t="shared" si="123"/>
        <v>-84525.122935170453</v>
      </c>
      <c r="W58" s="21">
        <f t="shared" si="123"/>
        <v>-51889.10709436328</v>
      </c>
      <c r="X58" s="21">
        <f t="shared" si="123"/>
        <v>33869.774983057723</v>
      </c>
      <c r="Y58" s="21">
        <f t="shared" ref="Y58:AJ58" si="141">Y25-Y46</f>
        <v>106260.63730839605</v>
      </c>
      <c r="Z58" s="21">
        <f t="shared" si="141"/>
        <v>671196.57355438452</v>
      </c>
      <c r="AA58" s="21">
        <f t="shared" si="141"/>
        <v>-77886.245504604158</v>
      </c>
      <c r="AB58" s="21">
        <f t="shared" si="141"/>
        <v>-276370.4844690091</v>
      </c>
      <c r="AC58" s="21">
        <f t="shared" si="141"/>
        <v>-19008.99440599425</v>
      </c>
      <c r="AD58" s="21">
        <f t="shared" si="141"/>
        <v>-196846.41833706616</v>
      </c>
      <c r="AE58" s="21">
        <f t="shared" si="141"/>
        <v>-214241.79635270085</v>
      </c>
      <c r="AF58" s="21">
        <f t="shared" si="141"/>
        <v>-138889.2727299121</v>
      </c>
      <c r="AG58" s="21">
        <f t="shared" si="141"/>
        <v>-125223.43105536501</v>
      </c>
      <c r="AH58" s="21">
        <f t="shared" si="141"/>
        <v>-207319.96593889315</v>
      </c>
      <c r="AI58" s="21">
        <f t="shared" si="141"/>
        <v>-215900.33174510469</v>
      </c>
      <c r="AJ58" s="21">
        <f t="shared" si="141"/>
        <v>-154547.4746635241</v>
      </c>
      <c r="AK58" s="21">
        <f t="shared" ref="AK58:AV58" si="142">AK25-AK46</f>
        <v>338348.75993812305</v>
      </c>
      <c r="AL58" s="21">
        <f t="shared" si="142"/>
        <v>1039204.5485643224</v>
      </c>
      <c r="AM58" s="21">
        <f t="shared" si="142"/>
        <v>-502176.95194633503</v>
      </c>
      <c r="AN58" s="21">
        <f t="shared" si="142"/>
        <v>-209553.56447953757</v>
      </c>
      <c r="AO58" s="21">
        <f t="shared" si="142"/>
        <v>-128709.21565671236</v>
      </c>
      <c r="AP58" s="21">
        <f t="shared" si="142"/>
        <v>272620.21728700027</v>
      </c>
      <c r="AQ58" s="21">
        <f t="shared" si="142"/>
        <v>-82584.461394454687</v>
      </c>
      <c r="AR58" s="21">
        <f t="shared" si="142"/>
        <v>76657.324950425129</v>
      </c>
      <c r="AS58" s="21">
        <f t="shared" si="142"/>
        <v>-182372.78146195086</v>
      </c>
      <c r="AT58" s="21">
        <f t="shared" si="142"/>
        <v>-109006.83719876384</v>
      </c>
      <c r="AU58" s="21">
        <f t="shared" si="142"/>
        <v>17179.085510865378</v>
      </c>
      <c r="AV58" s="21">
        <f t="shared" si="142"/>
        <v>-30108.45630599084</v>
      </c>
      <c r="AW58" s="21">
        <f t="shared" ref="AW58:BH58" si="143">AW25-AW46</f>
        <v>105823.32792140945</v>
      </c>
      <c r="AX58" s="21">
        <f t="shared" si="143"/>
        <v>910452.26384501776</v>
      </c>
      <c r="AY58" s="21">
        <f t="shared" si="143"/>
        <v>-74251.729274421625</v>
      </c>
      <c r="AZ58" s="21">
        <f t="shared" si="143"/>
        <v>-81166.894085270425</v>
      </c>
      <c r="BA58" s="21">
        <f t="shared" si="143"/>
        <v>-85478.263423518249</v>
      </c>
      <c r="BB58" s="21">
        <f t="shared" si="143"/>
        <v>-107221.85199623693</v>
      </c>
      <c r="BC58" s="21">
        <f t="shared" si="143"/>
        <v>40347.62213210421</v>
      </c>
      <c r="BD58" s="21">
        <f t="shared" si="143"/>
        <v>-96380.197914735647</v>
      </c>
      <c r="BE58" s="21">
        <f t="shared" si="143"/>
        <v>-75874.814056799776</v>
      </c>
      <c r="BF58" s="21">
        <f t="shared" si="143"/>
        <v>-123403.88094215053</v>
      </c>
      <c r="BG58" s="21">
        <f t="shared" si="143"/>
        <v>-140452.90603304346</v>
      </c>
      <c r="BH58" s="21">
        <f t="shared" si="143"/>
        <v>-10552.060749956348</v>
      </c>
      <c r="BI58" s="21">
        <f t="shared" ref="BI58:BT58" si="144">BI25-BI46</f>
        <v>-127593.18153775579</v>
      </c>
      <c r="BJ58" s="21">
        <f t="shared" si="144"/>
        <v>1148367.8694994105</v>
      </c>
      <c r="BK58" s="21">
        <f t="shared" si="144"/>
        <v>-274488.44098100951</v>
      </c>
      <c r="BL58" s="21">
        <f t="shared" si="144"/>
        <v>-115859.61329107377</v>
      </c>
      <c r="BM58" s="21">
        <f t="shared" si="144"/>
        <v>-68202.883508343148</v>
      </c>
      <c r="BN58" s="21">
        <f t="shared" si="144"/>
        <v>-26526.594881828292</v>
      </c>
      <c r="BO58" s="21">
        <f t="shared" si="144"/>
        <v>-39044.627166337916</v>
      </c>
      <c r="BP58" s="21">
        <f t="shared" si="144"/>
        <v>-39876.386614611634</v>
      </c>
      <c r="BQ58" s="21">
        <f t="shared" si="144"/>
        <v>-98143.943240087901</v>
      </c>
      <c r="BR58" s="21">
        <f t="shared" si="144"/>
        <v>-42371.662361915893</v>
      </c>
      <c r="BS58" s="21">
        <f t="shared" si="144"/>
        <v>16905.39729464156</v>
      </c>
      <c r="BT58" s="21">
        <f t="shared" si="144"/>
        <v>41203.890582694323</v>
      </c>
      <c r="BU58" s="72">
        <f t="shared" si="128"/>
        <v>163860.73827601946</v>
      </c>
      <c r="BV58" s="21">
        <f t="shared" si="128"/>
        <v>729417.28659375175</v>
      </c>
      <c r="BW58" s="75">
        <f t="shared" si="128"/>
        <v>-174553.04664242858</v>
      </c>
    </row>
    <row r="59" spans="1:76" x14ac:dyDescent="0.25">
      <c r="B59" s="66"/>
      <c r="BU59" s="65"/>
      <c r="BW59" s="67"/>
    </row>
    <row r="60" spans="1:76" x14ac:dyDescent="0.25">
      <c r="A60" t="s">
        <v>69</v>
      </c>
      <c r="B60" s="66"/>
      <c r="BU60" s="65"/>
      <c r="BW60" s="67"/>
    </row>
    <row r="61" spans="1:76" x14ac:dyDescent="0.25">
      <c r="A61" t="s">
        <v>0</v>
      </c>
      <c r="B61" s="72">
        <f>B54</f>
        <v>317847.94516670017</v>
      </c>
      <c r="C61" s="21">
        <f t="shared" ref="C61:X65" si="145">B61+C54+B68</f>
        <v>380785.03358046559</v>
      </c>
      <c r="D61" s="21">
        <f t="shared" si="145"/>
        <v>536464.83407633961</v>
      </c>
      <c r="E61" s="21">
        <f t="shared" si="145"/>
        <v>3147416.6185700605</v>
      </c>
      <c r="F61" s="21">
        <f t="shared" si="145"/>
        <v>4303585.3930421835</v>
      </c>
      <c r="G61" s="21">
        <f t="shared" si="145"/>
        <v>5998342.4052105891</v>
      </c>
      <c r="H61" s="21">
        <f t="shared" si="145"/>
        <v>4599079.1420380175</v>
      </c>
      <c r="I61" s="21">
        <f t="shared" si="145"/>
        <v>2863114.2094484335</v>
      </c>
      <c r="J61" s="21">
        <f t="shared" si="145"/>
        <v>2300145.3930115015</v>
      </c>
      <c r="K61" s="21">
        <f t="shared" si="145"/>
        <v>-200242.68486003499</v>
      </c>
      <c r="L61" s="21">
        <f t="shared" si="145"/>
        <v>-847961.17385014519</v>
      </c>
      <c r="M61" s="21">
        <f t="shared" si="145"/>
        <v>1113710.6427573096</v>
      </c>
      <c r="N61" s="21">
        <f t="shared" si="145"/>
        <v>3860020.2139158347</v>
      </c>
      <c r="O61" s="21">
        <f t="shared" si="145"/>
        <v>-692338.57228543039</v>
      </c>
      <c r="P61" s="21">
        <f t="shared" si="145"/>
        <v>-2286911.8465305078</v>
      </c>
      <c r="Q61" s="21">
        <f t="shared" si="145"/>
        <v>-1270760.8745248101</v>
      </c>
      <c r="R61" s="21">
        <f t="shared" si="145"/>
        <v>-1774330.2898671874</v>
      </c>
      <c r="S61" s="21">
        <f t="shared" si="145"/>
        <v>-1561223.5804622634</v>
      </c>
      <c r="T61" s="21">
        <f t="shared" si="145"/>
        <v>-1149369.7437150863</v>
      </c>
      <c r="U61" s="21">
        <f t="shared" si="145"/>
        <v>-1173554.6770951552</v>
      </c>
      <c r="V61" s="21">
        <f t="shared" si="145"/>
        <v>-1195409.7652450413</v>
      </c>
      <c r="W61" s="21">
        <f t="shared" si="145"/>
        <v>478238.46136928699</v>
      </c>
      <c r="X61" s="21">
        <f t="shared" si="145"/>
        <v>730904.78171482414</v>
      </c>
      <c r="Y61" s="21">
        <f>X61+Y54+X68+X78</f>
        <v>3233026.3496970977</v>
      </c>
      <c r="Z61" s="21">
        <f t="shared" ref="Z61:AI61" si="146">Y61+Z54+Y68+Y78</f>
        <v>6925461.375509738</v>
      </c>
      <c r="AA61" s="21">
        <f t="shared" si="146"/>
        <v>4897183.2504219189</v>
      </c>
      <c r="AB61" s="21">
        <f t="shared" si="146"/>
        <v>3516045.1557336175</v>
      </c>
      <c r="AC61" s="21">
        <f t="shared" si="146"/>
        <v>3070921.4974815724</v>
      </c>
      <c r="AD61" s="21">
        <f>AC61+AD54+AC68+AC78</f>
        <v>2779184.5527479611</v>
      </c>
      <c r="AE61" s="21">
        <f t="shared" si="146"/>
        <v>2537430.7838906622</v>
      </c>
      <c r="AF61" s="21">
        <f t="shared" si="146"/>
        <v>3480408.3667911594</v>
      </c>
      <c r="AG61" s="21">
        <f t="shared" si="146"/>
        <v>1270644.5962605095</v>
      </c>
      <c r="AH61" s="21">
        <f t="shared" si="146"/>
        <v>1218488.6670884858</v>
      </c>
      <c r="AI61" s="21">
        <f t="shared" si="146"/>
        <v>-511503.4185608562</v>
      </c>
      <c r="AJ61" s="21">
        <f>AI61+AJ54+AI68+AI78</f>
        <v>189402.98791099421</v>
      </c>
      <c r="AK61" s="21">
        <f>AJ61+AK54+AJ68+AJ78</f>
        <v>227460.4431316994</v>
      </c>
      <c r="AL61" s="21">
        <f>AK61+AL54+AK68+AK78</f>
        <v>3991441.7359302402</v>
      </c>
      <c r="AM61" s="21">
        <f>AL61+AM54+AL68+AL78</f>
        <v>936212.15020509972</v>
      </c>
      <c r="AN61" s="21">
        <f>AM61+AN54+AM68+AM78</f>
        <v>-1343023.5690318372</v>
      </c>
      <c r="AO61" s="21">
        <f t="shared" ref="AN61:AV62" si="147">AN61+AO54+AN68+AN78</f>
        <v>-1569605.4953114891</v>
      </c>
      <c r="AP61" s="21">
        <f t="shared" si="147"/>
        <v>-2360160.0372246415</v>
      </c>
      <c r="AQ61" s="21">
        <f t="shared" si="147"/>
        <v>-2635204.2682699864</v>
      </c>
      <c r="AR61" s="21">
        <f t="shared" si="147"/>
        <v>-2669669.2018571505</v>
      </c>
      <c r="AS61" s="21">
        <f t="shared" si="147"/>
        <v>-3898076.1372144246</v>
      </c>
      <c r="AT61" s="21">
        <f t="shared" si="147"/>
        <v>-3750576.3833709443</v>
      </c>
      <c r="AU61" s="21">
        <f t="shared" si="147"/>
        <v>-3926495.4389678938</v>
      </c>
      <c r="AV61" s="21">
        <f>AU61+AV54+AU68+AU78</f>
        <v>-4243009.8063993789</v>
      </c>
      <c r="AW61" s="21">
        <f>AV61+AW54+AV68+AV78</f>
        <v>-4192206.210138747</v>
      </c>
      <c r="AX61" s="21">
        <f t="shared" ref="AX61:BA65" si="148">AW61+AX54+AW68+AW78</f>
        <v>-1916846.3795288613</v>
      </c>
      <c r="AY61" s="21">
        <f>AX61+AY54+AX68+AX78</f>
        <v>-4680579.2496643979</v>
      </c>
      <c r="AZ61" s="229">
        <f>AY61+AZ54+AY68</f>
        <v>-4695581.9329138668</v>
      </c>
      <c r="BA61" s="21">
        <f t="shared" si="148"/>
        <v>-4242387.8064766247</v>
      </c>
      <c r="BB61" s="229">
        <f>BA61+BB54+BA68</f>
        <v>-3908439.4360985379</v>
      </c>
      <c r="BC61" s="21">
        <f t="shared" ref="BC61:BC65" si="149">BB61+BC54+BB68+BB78</f>
        <v>-3169300.1407352807</v>
      </c>
      <c r="BD61" s="21">
        <f t="shared" ref="BD61:BD65" si="150">BC61+BD54+BC68+BC78</f>
        <v>-2488784.433266113</v>
      </c>
      <c r="BE61" s="21">
        <f t="shared" ref="BE61:BE65" si="151">BD61+BE54+BD68+BD78</f>
        <v>-1550443.8782707406</v>
      </c>
      <c r="BF61" s="21">
        <f t="shared" ref="BF61:BF65" si="152">BE61+BF54+BE68+BE78</f>
        <v>-1739178.256780273</v>
      </c>
      <c r="BG61" s="21">
        <f t="shared" ref="BG61:BG65" si="153">BF61+BG54+BF68+BF78</f>
        <v>-1533727.3993669746</v>
      </c>
      <c r="BH61" s="21">
        <f>BG61+BH54+BG68+BG78</f>
        <v>-855879.34451436403</v>
      </c>
      <c r="BI61" s="21">
        <f t="shared" ref="BI61:BT65" si="154">BH61+BI54+BH68+BH78</f>
        <v>-657797.90287511342</v>
      </c>
      <c r="BJ61" s="21">
        <f t="shared" si="154"/>
        <v>3610291.479787597</v>
      </c>
      <c r="BK61" s="21">
        <f t="shared" si="154"/>
        <v>4320594.5328706661</v>
      </c>
      <c r="BL61" s="21">
        <f t="shared" si="154"/>
        <v>2455393.6389003857</v>
      </c>
      <c r="BM61" s="21">
        <f t="shared" si="154"/>
        <v>2128524.6607020628</v>
      </c>
      <c r="BN61" s="21">
        <f t="shared" si="154"/>
        <v>1861509.93359253</v>
      </c>
      <c r="BO61" s="21">
        <f t="shared" si="154"/>
        <v>2157324.58947937</v>
      </c>
      <c r="BP61" s="21">
        <f t="shared" si="154"/>
        <v>2720782.5379546825</v>
      </c>
      <c r="BQ61" s="21">
        <f t="shared" si="154"/>
        <v>1979668.1426572024</v>
      </c>
      <c r="BR61" s="21">
        <f t="shared" si="154"/>
        <v>2208092.1974213067</v>
      </c>
      <c r="BS61" s="21">
        <f t="shared" si="154"/>
        <v>-25652.852870410308</v>
      </c>
      <c r="BT61" s="21">
        <f t="shared" si="154"/>
        <v>367185.70084151928</v>
      </c>
      <c r="BU61" s="72">
        <f>BT61+BU54+BT68+BT78</f>
        <v>-301950.77008859336</v>
      </c>
      <c r="BV61" s="21">
        <f>BU61+BV54+BU68</f>
        <v>726304.7369252434</v>
      </c>
      <c r="BW61" s="75">
        <f>BV61+BW54+BV68</f>
        <v>-3321014.2851149077</v>
      </c>
    </row>
    <row r="62" spans="1:76" x14ac:dyDescent="0.25">
      <c r="A62" t="s">
        <v>4</v>
      </c>
      <c r="B62" s="72">
        <f>B55</f>
        <v>33385.711349135156</v>
      </c>
      <c r="C62" s="21">
        <f t="shared" si="145"/>
        <v>47273.359240133454</v>
      </c>
      <c r="D62" s="21">
        <f t="shared" si="145"/>
        <v>83547.797173387924</v>
      </c>
      <c r="E62" s="21">
        <f t="shared" si="145"/>
        <v>235175.10523157223</v>
      </c>
      <c r="F62" s="21">
        <f t="shared" si="145"/>
        <v>297577.24177132116</v>
      </c>
      <c r="G62" s="21">
        <f t="shared" si="145"/>
        <v>389307.76353172422</v>
      </c>
      <c r="H62" s="21">
        <f t="shared" si="145"/>
        <v>17623.177826970499</v>
      </c>
      <c r="I62" s="21">
        <f t="shared" si="145"/>
        <v>-400639.42076105648</v>
      </c>
      <c r="J62" s="21">
        <f t="shared" si="145"/>
        <v>-742083.41083366703</v>
      </c>
      <c r="K62" s="21">
        <f t="shared" si="145"/>
        <v>-795498.51968264813</v>
      </c>
      <c r="L62" s="21">
        <f t="shared" si="145"/>
        <v>-1015641.2219261352</v>
      </c>
      <c r="M62" s="21">
        <f t="shared" si="145"/>
        <v>-956085.22963017237</v>
      </c>
      <c r="N62" s="21">
        <f t="shared" si="145"/>
        <v>79993.844602424826</v>
      </c>
      <c r="O62" s="21">
        <f t="shared" si="145"/>
        <v>-88585.705380787069</v>
      </c>
      <c r="P62" s="21">
        <f t="shared" si="145"/>
        <v>-531338.80143085588</v>
      </c>
      <c r="Q62" s="21">
        <f t="shared" si="145"/>
        <v>-904789.41109839885</v>
      </c>
      <c r="R62" s="21">
        <f t="shared" si="145"/>
        <v>-1009564.928531144</v>
      </c>
      <c r="S62" s="21">
        <f t="shared" si="145"/>
        <v>-1149741.7498968055</v>
      </c>
      <c r="T62" s="21">
        <f t="shared" si="145"/>
        <v>-1323059.51980304</v>
      </c>
      <c r="U62" s="21">
        <f t="shared" si="145"/>
        <v>-1747248.6825954192</v>
      </c>
      <c r="V62" s="21">
        <f t="shared" si="145"/>
        <v>-1941288.6333732726</v>
      </c>
      <c r="W62" s="21">
        <f t="shared" si="145"/>
        <v>-2044363.8215405829</v>
      </c>
      <c r="X62" s="21">
        <f t="shared" si="145"/>
        <v>-1948309.5474017437</v>
      </c>
      <c r="Y62" s="21">
        <f>X62+Y55+X69+X79</f>
        <v>-1684572.7094730693</v>
      </c>
      <c r="Z62" s="21">
        <f t="shared" ref="Z62:AJ62" si="155">Y62+Z55+Y69+Y79</f>
        <v>83065.327476476901</v>
      </c>
      <c r="AA62" s="21">
        <f t="shared" si="155"/>
        <v>-131622.67149473183</v>
      </c>
      <c r="AB62" s="21">
        <f t="shared" si="155"/>
        <v>-908724.41156369133</v>
      </c>
      <c r="AC62" s="21">
        <f t="shared" si="155"/>
        <v>-962902.87029803789</v>
      </c>
      <c r="AD62" s="21">
        <f t="shared" si="155"/>
        <v>-1398630.0556505262</v>
      </c>
      <c r="AE62" s="21">
        <f t="shared" si="155"/>
        <v>-1879614.7509712616</v>
      </c>
      <c r="AF62" s="21">
        <f t="shared" si="155"/>
        <v>-2264343.7101981328</v>
      </c>
      <c r="AG62" s="21">
        <f t="shared" si="155"/>
        <v>-2566141.0579037764</v>
      </c>
      <c r="AH62" s="21">
        <f t="shared" si="155"/>
        <v>-3110897.4585767183</v>
      </c>
      <c r="AI62" s="21">
        <f t="shared" si="155"/>
        <v>-3640390.265315623</v>
      </c>
      <c r="AJ62" s="21">
        <f t="shared" si="155"/>
        <v>-3980881.8791184206</v>
      </c>
      <c r="AK62" s="21">
        <f>AJ62+AK55+AJ69+AJ79</f>
        <v>-2897501.0569120697</v>
      </c>
      <c r="AL62" s="21">
        <f>AK62+AL55+AK69+AK79</f>
        <v>-615532.3669832896</v>
      </c>
      <c r="AM62" s="21">
        <f>AL62+AM55+AL69+AL79</f>
        <v>-2217565.8756600819</v>
      </c>
      <c r="AN62" s="21">
        <f t="shared" si="147"/>
        <v>-3001354.4919289262</v>
      </c>
      <c r="AO62" s="21">
        <f t="shared" si="147"/>
        <v>-3397702.9352374114</v>
      </c>
      <c r="AP62" s="21">
        <f t="shared" si="147"/>
        <v>-3330967.5842692866</v>
      </c>
      <c r="AQ62" s="21">
        <f t="shared" si="147"/>
        <v>-3581292.7980246968</v>
      </c>
      <c r="AR62" s="21">
        <f t="shared" si="147"/>
        <v>-3341805.7392223412</v>
      </c>
      <c r="AS62" s="21">
        <f t="shared" si="147"/>
        <v>-3901418.8176453076</v>
      </c>
      <c r="AT62" s="21">
        <f t="shared" si="147"/>
        <v>-4231213.7013876503</v>
      </c>
      <c r="AU62" s="21">
        <f t="shared" si="147"/>
        <v>-4180536.2662836504</v>
      </c>
      <c r="AV62" s="21">
        <f t="shared" si="147"/>
        <v>-4258242.2252007471</v>
      </c>
      <c r="AW62" s="21">
        <f t="shared" ref="AW62:AW65" si="156">AV62+AW55+AV69+AV79</f>
        <v>-3997402.6294335849</v>
      </c>
      <c r="AX62" s="21">
        <f t="shared" si="148"/>
        <v>-1116820.228918602</v>
      </c>
      <c r="AY62" s="21">
        <f t="shared" si="148"/>
        <v>-1447775.8211127804</v>
      </c>
      <c r="AZ62" s="229">
        <f>AY62+AZ55+AY69</f>
        <v>-1773729.3182427045</v>
      </c>
      <c r="BA62" s="21">
        <f t="shared" si="148"/>
        <v>-2002644.9378974396</v>
      </c>
      <c r="BB62" s="229">
        <f>BA62+BB55+BA69</f>
        <v>-2289964.892914318</v>
      </c>
      <c r="BC62" s="21">
        <f t="shared" si="149"/>
        <v>-2086130.4039454355</v>
      </c>
      <c r="BD62" s="21">
        <f t="shared" si="150"/>
        <v>-2285943.9394183904</v>
      </c>
      <c r="BE62" s="21">
        <f t="shared" si="151"/>
        <v>-2462251.5027268776</v>
      </c>
      <c r="BF62" s="21">
        <f t="shared" si="152"/>
        <v>-2767103.5155407363</v>
      </c>
      <c r="BG62" s="21">
        <f t="shared" si="153"/>
        <v>-3080544.9204385891</v>
      </c>
      <c r="BH62" s="21">
        <f t="shared" ref="BH62:BH65" si="157">BG62+BH55+BG69+BG79</f>
        <v>-3017418.7870391854</v>
      </c>
      <c r="BI62" s="21">
        <f t="shared" si="154"/>
        <v>-3269909.2508162241</v>
      </c>
      <c r="BJ62" s="21">
        <f t="shared" si="154"/>
        <v>-101843.39207305814</v>
      </c>
      <c r="BK62" s="21">
        <f t="shared" si="154"/>
        <v>-1134668.2574495948</v>
      </c>
      <c r="BL62" s="21">
        <f t="shared" si="154"/>
        <v>-1634319.6983836449</v>
      </c>
      <c r="BM62" s="21">
        <f t="shared" si="154"/>
        <v>-1903067.3828167459</v>
      </c>
      <c r="BN62" s="21">
        <f t="shared" si="154"/>
        <v>-2007530.5729110506</v>
      </c>
      <c r="BO62" s="21">
        <f t="shared" si="154"/>
        <v>-2129244.5489521138</v>
      </c>
      <c r="BP62" s="21">
        <f t="shared" si="154"/>
        <v>-2277576.7312268042</v>
      </c>
      <c r="BQ62" s="21">
        <f t="shared" si="154"/>
        <v>-2653343.5122247627</v>
      </c>
      <c r="BR62" s="21">
        <f t="shared" si="154"/>
        <v>-2810135.2884248993</v>
      </c>
      <c r="BS62" s="21">
        <f t="shared" si="154"/>
        <v>-2739805.0721511603</v>
      </c>
      <c r="BT62" s="21">
        <f t="shared" si="154"/>
        <v>-2596284.3984924112</v>
      </c>
      <c r="BU62" s="72">
        <f>BT62+BU55+BT69+BT79</f>
        <v>-2039497.1217402597</v>
      </c>
      <c r="BV62" s="21">
        <f t="shared" ref="BV62:BV65" si="158">BU62+BV55+BU69</f>
        <v>967809.42513524555</v>
      </c>
      <c r="BW62" s="75">
        <f>BV62+BW55+BV69</f>
        <v>173976.25080046413</v>
      </c>
    </row>
    <row r="63" spans="1:76" x14ac:dyDescent="0.25">
      <c r="A63" t="s">
        <v>5</v>
      </c>
      <c r="B63" s="72">
        <f>B56</f>
        <v>72690.254284489041</v>
      </c>
      <c r="C63" s="21">
        <f t="shared" si="145"/>
        <v>101810.12644209334</v>
      </c>
      <c r="D63" s="21">
        <f t="shared" si="145"/>
        <v>175315.09705216042</v>
      </c>
      <c r="E63" s="21">
        <f t="shared" si="145"/>
        <v>488645.84480649739</v>
      </c>
      <c r="F63" s="21">
        <f t="shared" si="145"/>
        <v>633556.86646390089</v>
      </c>
      <c r="G63" s="21">
        <f t="shared" si="145"/>
        <v>884138.60747028841</v>
      </c>
      <c r="H63" s="21">
        <f t="shared" si="145"/>
        <v>11045.614806437827</v>
      </c>
      <c r="I63" s="21">
        <f t="shared" si="145"/>
        <v>-918478.84803854336</v>
      </c>
      <c r="J63" s="21">
        <f t="shared" si="145"/>
        <v>-1674944.8424353742</v>
      </c>
      <c r="K63" s="21">
        <f t="shared" si="145"/>
        <v>-1799390.5146490918</v>
      </c>
      <c r="L63" s="21">
        <f t="shared" si="145"/>
        <v>-2321855.6376373856</v>
      </c>
      <c r="M63" s="21">
        <f t="shared" si="145"/>
        <v>-2186687.4585264027</v>
      </c>
      <c r="N63" s="21">
        <f t="shared" si="145"/>
        <v>30358.369482626276</v>
      </c>
      <c r="O63" s="21">
        <f t="shared" si="145"/>
        <v>-320964.65378592862</v>
      </c>
      <c r="P63" s="21">
        <f t="shared" si="145"/>
        <v>-1235385.7100287953</v>
      </c>
      <c r="Q63" s="21">
        <f t="shared" si="145"/>
        <v>-2034165.9515074813</v>
      </c>
      <c r="R63" s="21">
        <f t="shared" si="145"/>
        <v>-2284296.8391146432</v>
      </c>
      <c r="S63" s="21">
        <f t="shared" si="145"/>
        <v>-2627189.6835988993</v>
      </c>
      <c r="T63" s="21">
        <f t="shared" si="145"/>
        <v>-3027412.9708860824</v>
      </c>
      <c r="U63" s="21">
        <f t="shared" si="145"/>
        <v>-3947156.390777831</v>
      </c>
      <c r="V63" s="21">
        <f t="shared" si="145"/>
        <v>-4379007.9251126116</v>
      </c>
      <c r="W63" s="21">
        <f t="shared" si="145"/>
        <v>-4617600.9207877805</v>
      </c>
      <c r="X63" s="21">
        <f t="shared" si="145"/>
        <v>-4386219.6339774681</v>
      </c>
      <c r="Y63" s="21">
        <f>X63+Y56+X70+X80</f>
        <v>-3765198.8438487281</v>
      </c>
      <c r="Z63" s="21">
        <f t="shared" ref="Z63:AI63" si="159">Y63+Z56+Y70+Y80</f>
        <v>114994.11737945068</v>
      </c>
      <c r="AA63" s="21">
        <f t="shared" si="159"/>
        <v>-309969.55986773345</v>
      </c>
      <c r="AB63" s="21">
        <f t="shared" si="159"/>
        <v>-1789222.3132756774</v>
      </c>
      <c r="AC63" s="21">
        <f t="shared" si="159"/>
        <v>-1897224.2834884818</v>
      </c>
      <c r="AD63" s="21">
        <f t="shared" si="159"/>
        <v>-2893576.1214224091</v>
      </c>
      <c r="AE63" s="21">
        <f t="shared" si="159"/>
        <v>-4039861.3881775634</v>
      </c>
      <c r="AF63" s="21">
        <f t="shared" si="159"/>
        <v>-4894745.7600457845</v>
      </c>
      <c r="AG63" s="21">
        <f t="shared" si="159"/>
        <v>-5558114.9643271109</v>
      </c>
      <c r="AH63" s="21">
        <f t="shared" si="159"/>
        <v>-6743219.1672698939</v>
      </c>
      <c r="AI63" s="21">
        <f t="shared" si="159"/>
        <v>-7904853.5228318749</v>
      </c>
      <c r="AJ63" s="21">
        <f>AI63+AJ56+AI70+AI80</f>
        <v>-8691732.9452126622</v>
      </c>
      <c r="AK63" s="21">
        <f t="shared" ref="AK63:AV63" si="160">AJ63+AK56+AJ70+AJ80</f>
        <v>-6197679.5546227852</v>
      </c>
      <c r="AL63" s="21">
        <f t="shared" ref="AL63:AM65" si="161">AK63+AL56+AK70+AK80</f>
        <v>-1168817.7619999263</v>
      </c>
      <c r="AM63" s="21">
        <f t="shared" si="161"/>
        <v>-4369967.3763940502</v>
      </c>
      <c r="AN63" s="21">
        <f t="shared" si="160"/>
        <v>-5886382.6025441838</v>
      </c>
      <c r="AO63" s="21">
        <f t="shared" si="160"/>
        <v>-6714701.4790945621</v>
      </c>
      <c r="AP63" s="21">
        <f t="shared" si="160"/>
        <v>-6564834.51240882</v>
      </c>
      <c r="AQ63" s="21">
        <f t="shared" si="160"/>
        <v>-7155466.9168464839</v>
      </c>
      <c r="AR63" s="21">
        <f t="shared" si="160"/>
        <v>-6637638.6091143712</v>
      </c>
      <c r="AS63" s="21">
        <f t="shared" si="160"/>
        <v>-7820973.2982903877</v>
      </c>
      <c r="AT63" s="21">
        <f t="shared" si="160"/>
        <v>-8534210.1400713213</v>
      </c>
      <c r="AU63" s="21">
        <f t="shared" si="160"/>
        <v>-8436303.8221144527</v>
      </c>
      <c r="AV63" s="21">
        <f t="shared" si="160"/>
        <v>-8626266.78237601</v>
      </c>
      <c r="AW63" s="21">
        <f t="shared" si="156"/>
        <v>-8022411.0280743446</v>
      </c>
      <c r="AX63" s="21">
        <f t="shared" si="148"/>
        <v>-2017148.8556141641</v>
      </c>
      <c r="AY63" s="21">
        <f t="shared" si="148"/>
        <v>-2653485.2524628593</v>
      </c>
      <c r="AZ63" s="229">
        <f>AY63+AZ56+AY70</f>
        <v>-3319790.0634912066</v>
      </c>
      <c r="BA63" s="21">
        <f t="shared" si="148"/>
        <v>-3859042.4873230527</v>
      </c>
      <c r="BB63" s="229">
        <f>BA63+BB56+BA70</f>
        <v>-4540736.4154191362</v>
      </c>
      <c r="BC63" s="21">
        <f t="shared" si="149"/>
        <v>-4122979.3318869448</v>
      </c>
      <c r="BD63" s="21">
        <f t="shared" si="150"/>
        <v>-4627385.6835673116</v>
      </c>
      <c r="BE63" s="21">
        <f t="shared" si="151"/>
        <v>-5059673.9056100901</v>
      </c>
      <c r="BF63" s="21">
        <f t="shared" si="152"/>
        <v>-5764809.7132548699</v>
      </c>
      <c r="BG63" s="21">
        <f t="shared" si="153"/>
        <v>-6511096.796570559</v>
      </c>
      <c r="BH63" s="21">
        <f t="shared" si="157"/>
        <v>-6437783.3984960038</v>
      </c>
      <c r="BI63" s="21">
        <f t="shared" si="154"/>
        <v>-7061600.0436471784</v>
      </c>
      <c r="BJ63" s="21">
        <f t="shared" si="154"/>
        <v>-575969.72622097447</v>
      </c>
      <c r="BK63" s="21">
        <f t="shared" si="154"/>
        <v>-2590650.858129405</v>
      </c>
      <c r="BL63" s="21">
        <f t="shared" si="154"/>
        <v>-3536194.6733352095</v>
      </c>
      <c r="BM63" s="21">
        <f t="shared" si="154"/>
        <v>-4086204.0262883613</v>
      </c>
      <c r="BN63" s="21">
        <f t="shared" si="154"/>
        <v>-4297812.8787702341</v>
      </c>
      <c r="BO63" s="21">
        <f t="shared" si="154"/>
        <v>-4559803.6555416277</v>
      </c>
      <c r="BP63" s="21">
        <f t="shared" si="154"/>
        <v>-4857375.4318493204</v>
      </c>
      <c r="BQ63" s="21">
        <f t="shared" si="154"/>
        <v>-5586826.2752037924</v>
      </c>
      <c r="BR63" s="21">
        <f t="shared" si="154"/>
        <v>-5884088.9850162044</v>
      </c>
      <c r="BS63" s="21">
        <f t="shared" si="154"/>
        <v>-5725844.4036620455</v>
      </c>
      <c r="BT63" s="21">
        <f t="shared" si="154"/>
        <v>-5401679.5251594419</v>
      </c>
      <c r="BU63" s="72">
        <f>BT63+BU56+BT70+BT80</f>
        <v>-4171284.7577715921</v>
      </c>
      <c r="BV63" s="21">
        <f t="shared" si="158"/>
        <v>1879880.0165023268</v>
      </c>
      <c r="BW63" s="75">
        <f>BV63+BW56+BV70</f>
        <v>407075.91122429015</v>
      </c>
    </row>
    <row r="64" spans="1:76" x14ac:dyDescent="0.25">
      <c r="A64" t="s">
        <v>6</v>
      </c>
      <c r="B64" s="72">
        <f>B57</f>
        <v>33417.905035113341</v>
      </c>
      <c r="C64" s="21">
        <f t="shared" si="145"/>
        <v>44825.92115164936</v>
      </c>
      <c r="D64" s="21">
        <f t="shared" si="145"/>
        <v>74111.134461929454</v>
      </c>
      <c r="E64" s="21">
        <f t="shared" si="145"/>
        <v>200824.59702634398</v>
      </c>
      <c r="F64" s="21">
        <f t="shared" si="145"/>
        <v>262474.34058907622</v>
      </c>
      <c r="G64" s="21">
        <f t="shared" si="145"/>
        <v>372251.51639879448</v>
      </c>
      <c r="H64" s="21">
        <f t="shared" si="145"/>
        <v>56090.19744834202</v>
      </c>
      <c r="I64" s="21">
        <f t="shared" si="145"/>
        <v>-322922.213791585</v>
      </c>
      <c r="J64" s="21">
        <f t="shared" si="145"/>
        <v>-639006.56872668734</v>
      </c>
      <c r="K64" s="21">
        <f t="shared" si="145"/>
        <v>-690077.51313072408</v>
      </c>
      <c r="L64" s="21">
        <f t="shared" si="145"/>
        <v>-906622.46638816921</v>
      </c>
      <c r="M64" s="21">
        <f t="shared" si="145"/>
        <v>-847037.45986124314</v>
      </c>
      <c r="N64" s="21">
        <f t="shared" si="145"/>
        <v>49067.08828063187</v>
      </c>
      <c r="O64" s="21">
        <f t="shared" si="145"/>
        <v>-92016.514604012467</v>
      </c>
      <c r="P64" s="21">
        <f t="shared" si="145"/>
        <v>-483922.19714243204</v>
      </c>
      <c r="Q64" s="21">
        <f t="shared" si="145"/>
        <v>-806891.51871778059</v>
      </c>
      <c r="R64" s="21">
        <f t="shared" si="145"/>
        <v>-925486.81801675167</v>
      </c>
      <c r="S64" s="21">
        <f t="shared" si="145"/>
        <v>-1087974.3635110764</v>
      </c>
      <c r="T64" s="21">
        <f t="shared" si="145"/>
        <v>-1273904.1000983492</v>
      </c>
      <c r="U64" s="21">
        <f t="shared" si="145"/>
        <v>-1653667.5235935142</v>
      </c>
      <c r="V64" s="21">
        <f t="shared" si="145"/>
        <v>-1844357.5273148036</v>
      </c>
      <c r="W64" s="21">
        <f t="shared" si="145"/>
        <v>-1953027.5132598663</v>
      </c>
      <c r="X64" s="21">
        <f t="shared" si="145"/>
        <v>-1854710.2578569169</v>
      </c>
      <c r="Y64" s="21">
        <f>X64+Y57+X71+X81</f>
        <v>-1576665.2469812538</v>
      </c>
      <c r="Z64" s="21">
        <f t="shared" ref="Z64:AI64" si="162">Y64+Z57+Y71+Y81</f>
        <v>141727.7557175041</v>
      </c>
      <c r="AA64" s="21">
        <f t="shared" si="162"/>
        <v>-36800.393301376826</v>
      </c>
      <c r="AB64" s="21">
        <f t="shared" si="162"/>
        <v>-665528.16976649489</v>
      </c>
      <c r="AC64" s="21">
        <f t="shared" si="162"/>
        <v>-703088.44365436374</v>
      </c>
      <c r="AD64" s="21">
        <f t="shared" si="162"/>
        <v>-1143216.6760052</v>
      </c>
      <c r="AE64" s="21">
        <f t="shared" si="162"/>
        <v>-1657421.9156650482</v>
      </c>
      <c r="AF64" s="21">
        <f t="shared" si="162"/>
        <v>-1988109.4175770297</v>
      </c>
      <c r="AG64" s="21">
        <f t="shared" si="162"/>
        <v>-2281341.8834287776</v>
      </c>
      <c r="AH64" s="21">
        <f t="shared" si="162"/>
        <v>-2769134.8460349478</v>
      </c>
      <c r="AI64" s="21">
        <f t="shared" si="162"/>
        <v>-3244095.2608783664</v>
      </c>
      <c r="AJ64" s="21">
        <f>AI64+AJ57+AI71+AI81</f>
        <v>-3559457.0429135566</v>
      </c>
      <c r="AK64" s="21">
        <f t="shared" ref="AK64:AV64" si="163">AJ64+AK57+AJ71+AJ81</f>
        <v>-2566269.0844785301</v>
      </c>
      <c r="AL64" s="21">
        <f t="shared" si="161"/>
        <v>-160715.75344257019</v>
      </c>
      <c r="AM64" s="21">
        <f t="shared" si="161"/>
        <v>-1538164.8099999223</v>
      </c>
      <c r="AN64" s="21">
        <f t="shared" si="163"/>
        <v>-2145944.3869282082</v>
      </c>
      <c r="AO64" s="21">
        <f t="shared" si="163"/>
        <v>-2511689.6083100368</v>
      </c>
      <c r="AP64" s="21">
        <f t="shared" si="163"/>
        <v>-2413694.53350726</v>
      </c>
      <c r="AQ64" s="21">
        <f t="shared" si="163"/>
        <v>-2692754.6866890695</v>
      </c>
      <c r="AR64" s="21">
        <f t="shared" si="163"/>
        <v>-2507932.48762374</v>
      </c>
      <c r="AS64" s="21">
        <f t="shared" si="163"/>
        <v>-3019212.1560122236</v>
      </c>
      <c r="AT64" s="21">
        <f t="shared" si="163"/>
        <v>-3327881.940717597</v>
      </c>
      <c r="AU64" s="21">
        <f t="shared" si="163"/>
        <v>-3310619.3982274663</v>
      </c>
      <c r="AV64" s="21">
        <f t="shared" si="163"/>
        <v>-3413047.6988915359</v>
      </c>
      <c r="AW64" s="21">
        <f t="shared" si="156"/>
        <v>-3162097.6186987665</v>
      </c>
      <c r="AX64" s="21">
        <f t="shared" si="148"/>
        <v>-651674.25797048898</v>
      </c>
      <c r="AY64" s="21">
        <f t="shared" si="148"/>
        <v>-915884.27422426129</v>
      </c>
      <c r="AZ64" s="229">
        <f>AY64+AZ57+AY71</f>
        <v>-1205949.542266042</v>
      </c>
      <c r="BA64" s="21">
        <f t="shared" si="148"/>
        <v>-1458305.513315286</v>
      </c>
      <c r="BB64" s="229">
        <f>BA64+BB57+BA71</f>
        <v>-1776349.9555293336</v>
      </c>
      <c r="BC64" s="21">
        <f t="shared" si="149"/>
        <v>-1601345.067910929</v>
      </c>
      <c r="BD64" s="21">
        <f t="shared" si="150"/>
        <v>-1820107.5956876909</v>
      </c>
      <c r="BE64" s="21">
        <f t="shared" si="151"/>
        <v>-2006712.5948222971</v>
      </c>
      <c r="BF64" s="21">
        <f t="shared" si="152"/>
        <v>-2334137.0016695694</v>
      </c>
      <c r="BG64" s="21">
        <f t="shared" si="153"/>
        <v>-2659374.1174646472</v>
      </c>
      <c r="BH64" s="21">
        <f t="shared" si="157"/>
        <v>-2643573.680092677</v>
      </c>
      <c r="BI64" s="21">
        <f t="shared" si="154"/>
        <v>-2938160.2313635661</v>
      </c>
      <c r="BJ64" s="21">
        <f t="shared" si="154"/>
        <v>-297802.11949658761</v>
      </c>
      <c r="BK64" s="21">
        <f t="shared" si="154"/>
        <v>-1106188.3109360232</v>
      </c>
      <c r="BL64" s="21">
        <f t="shared" si="154"/>
        <v>-1514872.8571920739</v>
      </c>
      <c r="BM64" s="21">
        <f t="shared" si="154"/>
        <v>-1761320.407151154</v>
      </c>
      <c r="BN64" s="21">
        <f t="shared" si="154"/>
        <v>-1855382.7119910016</v>
      </c>
      <c r="BO64" s="21">
        <f t="shared" si="154"/>
        <v>-1975327.9417624816</v>
      </c>
      <c r="BP64" s="21">
        <f t="shared" si="154"/>
        <v>-2106828.6659130589</v>
      </c>
      <c r="BQ64" s="21">
        <f t="shared" si="154"/>
        <v>-2262520.6694792882</v>
      </c>
      <c r="BR64" s="21">
        <f t="shared" si="154"/>
        <v>-2388397.7128738626</v>
      </c>
      <c r="BS64" s="21">
        <f t="shared" si="154"/>
        <v>-2330916.14209595</v>
      </c>
      <c r="BT64" s="21">
        <f t="shared" si="154"/>
        <v>-2193412.0201700428</v>
      </c>
      <c r="BU64" s="72">
        <f>BT64+BU57+BT71+BT81</f>
        <v>-1657548.4103001817</v>
      </c>
      <c r="BV64" s="21">
        <f t="shared" si="158"/>
        <v>889344.73506978748</v>
      </c>
      <c r="BW64" s="75">
        <f>BV64+BW57+BV71</f>
        <v>267856.65372938925</v>
      </c>
    </row>
    <row r="65" spans="1:78" x14ac:dyDescent="0.25">
      <c r="A65" t="s">
        <v>7</v>
      </c>
      <c r="B65" s="72">
        <f>B58</f>
        <v>15564.884164562347</v>
      </c>
      <c r="C65" s="21">
        <f t="shared" si="145"/>
        <v>20162.71958565832</v>
      </c>
      <c r="D65" s="21">
        <f t="shared" si="145"/>
        <v>31475.397236182682</v>
      </c>
      <c r="E65" s="21">
        <f t="shared" si="145"/>
        <v>83367.844365526631</v>
      </c>
      <c r="F65" s="21">
        <f t="shared" si="145"/>
        <v>109576.84656129236</v>
      </c>
      <c r="G65" s="21">
        <f t="shared" si="145"/>
        <v>168971.13233951345</v>
      </c>
      <c r="H65" s="21">
        <f t="shared" si="145"/>
        <v>105218.71956590615</v>
      </c>
      <c r="I65" s="21">
        <f t="shared" si="145"/>
        <v>-54778.653810567303</v>
      </c>
      <c r="J65" s="21">
        <f t="shared" si="145"/>
        <v>-195486.62219417369</v>
      </c>
      <c r="K65" s="21">
        <f t="shared" si="145"/>
        <v>-218520.66373737672</v>
      </c>
      <c r="L65" s="21">
        <f t="shared" si="145"/>
        <v>-318531.51600360614</v>
      </c>
      <c r="M65" s="21">
        <f t="shared" si="145"/>
        <v>-291906.23877809558</v>
      </c>
      <c r="N65" s="21">
        <f t="shared" si="145"/>
        <v>80174.540027285373</v>
      </c>
      <c r="O65" s="21">
        <f t="shared" si="145"/>
        <v>20000.672982485714</v>
      </c>
      <c r="P65" s="21">
        <f t="shared" si="145"/>
        <v>-152142.326008506</v>
      </c>
      <c r="Q65" s="21">
        <f t="shared" si="145"/>
        <v>-270573.42927955277</v>
      </c>
      <c r="R65" s="21">
        <f t="shared" si="145"/>
        <v>-326109.54633895063</v>
      </c>
      <c r="S65" s="21">
        <f t="shared" si="145"/>
        <v>-405487.72493495431</v>
      </c>
      <c r="T65" s="21">
        <f t="shared" si="145"/>
        <v>-385793.71817190439</v>
      </c>
      <c r="U65" s="21">
        <f t="shared" si="145"/>
        <v>-549868.48875950917</v>
      </c>
      <c r="V65" s="21">
        <f t="shared" si="145"/>
        <v>-634482.35267896182</v>
      </c>
      <c r="W65" s="21">
        <f t="shared" si="145"/>
        <v>-686443.67708344234</v>
      </c>
      <c r="X65" s="21">
        <f t="shared" si="145"/>
        <v>-652644.78656262578</v>
      </c>
      <c r="Y65" s="21">
        <f>X65+Y58+X72+X82</f>
        <v>-546492.92338532349</v>
      </c>
      <c r="Z65" s="21">
        <f t="shared" ref="Z65:AI65" si="164">Y65+Z58+Y72+Y82</f>
        <v>124588.68445276846</v>
      </c>
      <c r="AA65" s="21">
        <f t="shared" si="164"/>
        <v>46731.997509726818</v>
      </c>
      <c r="AB65" s="21">
        <f t="shared" si="164"/>
        <v>-229630.45921992007</v>
      </c>
      <c r="AC65" s="21">
        <f t="shared" si="164"/>
        <v>-248683.89037287154</v>
      </c>
      <c r="AD65" s="21">
        <f t="shared" si="164"/>
        <v>-445580.8397779307</v>
      </c>
      <c r="AE65" s="21">
        <f t="shared" si="164"/>
        <v>-659906.22821012593</v>
      </c>
      <c r="AF65" s="21">
        <f t="shared" si="164"/>
        <v>-798918.83301471558</v>
      </c>
      <c r="AG65" s="21">
        <f t="shared" si="164"/>
        <v>-924276.52171420306</v>
      </c>
      <c r="AH65" s="21">
        <f t="shared" si="164"/>
        <v>-1131703.9725400368</v>
      </c>
      <c r="AI65" s="21">
        <f t="shared" si="164"/>
        <v>-1347797.7304126946</v>
      </c>
      <c r="AJ65" s="21">
        <f>AI65+AJ58+AI72+AI82</f>
        <v>-1502562.2375752528</v>
      </c>
      <c r="AK65" s="21">
        <f t="shared" ref="AK65:AV65" si="165">AJ65+AK58+AJ72+AJ82</f>
        <v>-1164401.2979168268</v>
      </c>
      <c r="AL65" s="21">
        <f t="shared" si="161"/>
        <v>-125345.4133178815</v>
      </c>
      <c r="AM65" s="21">
        <f t="shared" si="161"/>
        <v>-627549.57190399524</v>
      </c>
      <c r="AN65" s="21">
        <f t="shared" si="165"/>
        <v>-855568.80437959614</v>
      </c>
      <c r="AO65" s="21">
        <f t="shared" si="165"/>
        <v>-984488.95268231432</v>
      </c>
      <c r="AP65" s="21">
        <f t="shared" si="165"/>
        <v>-712433.41856879357</v>
      </c>
      <c r="AQ65" s="21">
        <f t="shared" si="165"/>
        <v>-795374.34364945116</v>
      </c>
      <c r="AR65" s="21">
        <f t="shared" si="165"/>
        <v>-719346.49452488893</v>
      </c>
      <c r="AS65" s="21">
        <f t="shared" si="165"/>
        <v>-902609.98640220123</v>
      </c>
      <c r="AT65" s="21">
        <f t="shared" si="165"/>
        <v>-1013163.8143784098</v>
      </c>
      <c r="AU65" s="21">
        <f t="shared" si="165"/>
        <v>-998149.56780997117</v>
      </c>
      <c r="AV65" s="21">
        <f t="shared" si="165"/>
        <v>-1030621.7221445014</v>
      </c>
      <c r="AW65" s="21">
        <f t="shared" si="156"/>
        <v>-927778.71176513191</v>
      </c>
      <c r="AX65" s="21">
        <f t="shared" si="148"/>
        <v>-20640.239987563407</v>
      </c>
      <c r="AY65" s="21">
        <f t="shared" si="148"/>
        <v>-94971.392957057789</v>
      </c>
      <c r="AZ65" s="229">
        <f>AY65+AZ58+AY72</f>
        <v>-176522.34917184024</v>
      </c>
      <c r="BA65" s="21">
        <f t="shared" si="148"/>
        <v>-262713.75479540502</v>
      </c>
      <c r="BB65" s="229">
        <f>BA65+BB58+BA72</f>
        <v>-371047.24864243221</v>
      </c>
      <c r="BC65" s="21">
        <f t="shared" si="149"/>
        <v>-332322.56274861284</v>
      </c>
      <c r="BD65" s="21">
        <f t="shared" si="150"/>
        <v>-430177.93607552373</v>
      </c>
      <c r="BE65" s="21">
        <f t="shared" si="151"/>
        <v>-507986.69462686917</v>
      </c>
      <c r="BF65" s="21">
        <f t="shared" si="152"/>
        <v>-633694.57631512359</v>
      </c>
      <c r="BG65" s="21">
        <f t="shared" si="153"/>
        <v>-777062.73034896841</v>
      </c>
      <c r="BH65" s="21">
        <f t="shared" si="157"/>
        <v>-791199.07518179843</v>
      </c>
      <c r="BI65" s="21">
        <f t="shared" si="154"/>
        <v>-922430.09512335109</v>
      </c>
      <c r="BJ65" s="21">
        <f t="shared" si="154"/>
        <v>221665.34106802515</v>
      </c>
      <c r="BK65" s="21">
        <f t="shared" si="154"/>
        <v>-51798.34565925481</v>
      </c>
      <c r="BL65" s="21">
        <f t="shared" si="154"/>
        <v>-167890.11589817677</v>
      </c>
      <c r="BM65" s="21">
        <f t="shared" si="154"/>
        <v>-236845.31095851518</v>
      </c>
      <c r="BN65" s="21">
        <f t="shared" si="154"/>
        <v>-264443.36106614734</v>
      </c>
      <c r="BO65" s="21">
        <f t="shared" si="154"/>
        <v>-304700.05666500056</v>
      </c>
      <c r="BP65" s="21">
        <f t="shared" si="154"/>
        <v>-345970.4460388546</v>
      </c>
      <c r="BQ65" s="21">
        <f t="shared" si="154"/>
        <v>-445715.30899132014</v>
      </c>
      <c r="BR65" s="21">
        <f t="shared" si="154"/>
        <v>-490160.07014124544</v>
      </c>
      <c r="BS65" s="21">
        <f t="shared" si="154"/>
        <v>-475527.36945115705</v>
      </c>
      <c r="BT65" s="21">
        <f t="shared" si="154"/>
        <v>-436425.84441345464</v>
      </c>
      <c r="BU65" s="72">
        <f>BT65+BU58+BT72+BT82</f>
        <v>-274361.99644762743</v>
      </c>
      <c r="BV65" s="21">
        <f t="shared" si="158"/>
        <v>453925.66315631045</v>
      </c>
      <c r="BW65" s="75">
        <f>BV65+BW58+BV72</f>
        <v>281241.55859445315</v>
      </c>
    </row>
    <row r="66" spans="1:78" x14ac:dyDescent="0.25">
      <c r="B66" s="66"/>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BU66" s="65"/>
      <c r="BW66" s="67"/>
    </row>
    <row r="67" spans="1:78" x14ac:dyDescent="0.25">
      <c r="A67" t="s">
        <v>64</v>
      </c>
      <c r="B67" s="187">
        <v>0</v>
      </c>
      <c r="C67" s="127">
        <v>0</v>
      </c>
      <c r="D67" s="127">
        <v>0</v>
      </c>
      <c r="E67" s="127">
        <f>'[2]MEEIA 3 calcs'!F9/12</f>
        <v>2.3231791666666669E-3</v>
      </c>
      <c r="F67" s="127">
        <f>'[2]MEEIA 3 calcs'!G9/12</f>
        <v>2.2185616666666667E-3</v>
      </c>
      <c r="G67" s="127">
        <f>'[2]MEEIA 3 calcs'!H9/12</f>
        <v>2.2311341666666666E-3</v>
      </c>
      <c r="H67" s="127">
        <f>'[2]MEEIA 3 calcs'!I9/12</f>
        <v>2.2083808333333336E-3</v>
      </c>
      <c r="I67" s="127">
        <f>'[2]MEEIA 3 calcs'!J9/12</f>
        <v>2.1623908333333335E-3</v>
      </c>
      <c r="J67" s="127">
        <f>'[2]MEEIA 3 calcs'!K9/12</f>
        <v>1.959325E-3</v>
      </c>
      <c r="K67" s="127">
        <f>'[2]MEEIA 3 calcs'!L9/12</f>
        <v>1.8473916666666666E-3</v>
      </c>
      <c r="L67" s="127">
        <f>'[2]MEEIA 3 calcs'!M9/12</f>
        <v>1.76161E-3</v>
      </c>
      <c r="M67" s="127">
        <f>'[2]MEEIA 3 calcs'!N9/12</f>
        <v>1.5133241666666667E-3</v>
      </c>
      <c r="N67" s="127">
        <f>'[2]MEEIA 3 calcs'!O9/12</f>
        <v>1.5959991666666667E-3</v>
      </c>
      <c r="O67" s="127">
        <f>'[2]MEEIA 3 calcs'!P9/12</f>
        <v>1.5742316666666667E-3</v>
      </c>
      <c r="P67" s="127">
        <f>'[2]MEEIA 3 calcs'!Q9/12</f>
        <v>1.5029858333333332E-3</v>
      </c>
      <c r="Q67" s="127">
        <f>'[2]MEEIA 3 calcs'!R9/12</f>
        <v>1.5738266666666667E-3</v>
      </c>
      <c r="R67" s="127">
        <f>'[2]MEEIA 3 calcs'!S9/12</f>
        <v>7.8204999999999995E-4</v>
      </c>
      <c r="S67" s="127">
        <f>'[2]MEEIA 3 calcs'!T9/12</f>
        <v>1.0755583333333334E-4</v>
      </c>
      <c r="T67" s="127">
        <f>'[2]MEEIA 3 calcs'!U9/12</f>
        <v>1.046925E-4</v>
      </c>
      <c r="U67" s="127">
        <f>'[2]MEEIA 3 calcs'!V9/12</f>
        <v>1.6138583333333333E-4</v>
      </c>
      <c r="V67" s="127">
        <f>'[2]MEEIA 3 calcs'!W9/12</f>
        <v>1.1382083333333333E-4</v>
      </c>
      <c r="W67" s="127">
        <f>'[2]MEEIA 3 calcs'!X9/12</f>
        <v>1.0326333333333334E-4</v>
      </c>
      <c r="X67" s="127">
        <f>'[2]MEEIA 3 calcs'!Y9/12</f>
        <v>1.6666666666666666E-4</v>
      </c>
      <c r="Y67" s="127">
        <f>'[2]MEEIA 3 calcs'!Z9/12</f>
        <v>2.1037000000000001E-4</v>
      </c>
      <c r="Z67" s="127">
        <f>'[2]MEEIA 3 calcs'!AA9/12</f>
        <v>2.3724916666666669E-4</v>
      </c>
      <c r="AA67" s="127">
        <f>'[2]MEEIA 3 calcs'!AB9/12</f>
        <v>1.7178250000000002E-4</v>
      </c>
      <c r="AB67" s="127">
        <f>'[2]MEEIA 3 calcs'!AC9/12</f>
        <v>1.9351416666666668E-4</v>
      </c>
      <c r="AC67" s="127">
        <f>'[2]MEEIA 3 calcs'!AD9/12</f>
        <v>1.7806166666666664E-4</v>
      </c>
      <c r="AD67" s="127">
        <f>'[2]MEEIA 3 calcs'!AE9/12</f>
        <v>1.8760249999999999E-4</v>
      </c>
      <c r="AE67" s="127">
        <f>'[2]MEEIA 3 calcs'!AF9/12</f>
        <v>1.8689333333333334E-4</v>
      </c>
      <c r="AF67" s="127">
        <f>'[2]MEEIA 3 calcs'!AG9/12</f>
        <v>1.6804916666666666E-4</v>
      </c>
      <c r="AG67" s="127">
        <f>'[2]MEEIA 3 calcs'!AH9/12</f>
        <v>1.1629083333333334E-4</v>
      </c>
      <c r="AH67" s="127">
        <f>'[2]MEEIA 3 calcs'!AI9/12</f>
        <v>1.7091583333333333E-4</v>
      </c>
      <c r="AI67" s="127">
        <f>'[2]MEEIA 3 calcs'!AJ9/12</f>
        <v>1.6102749999999998E-4</v>
      </c>
      <c r="AJ67" s="127">
        <f>'[2]MEEIA 3 calcs'!AK9/12</f>
        <v>1.25E-4</v>
      </c>
      <c r="AK67" s="127">
        <f>'[2]MEEIA 3 calcs'!AL9/12</f>
        <v>1.2767416666666667E-4</v>
      </c>
      <c r="AL67" s="127">
        <f>'[2]MEEIA 3 calcs'!AM9/12</f>
        <v>2.1705333333333333E-4</v>
      </c>
      <c r="AM67" s="127">
        <f>'[2]MEEIA 3 calcs'!AN9/12</f>
        <v>1.9537499999999999E-4</v>
      </c>
      <c r="AN67" s="127">
        <f>'[2]MEEIA 3 calcs'!AO9/12</f>
        <v>2.4654083333333334E-4</v>
      </c>
      <c r="AO67" s="127">
        <f>'[2]MEEIA 3 calcs'!AP9/12</f>
        <v>5.7357999999999997E-4</v>
      </c>
      <c r="AP67" s="127">
        <f>'[2]MEEIA 3 calcs'!AQ9/12</f>
        <v>5.0034666666666668E-4</v>
      </c>
      <c r="AQ67" s="127">
        <f>'[2]MEEIA 3 calcs'!AR9/12</f>
        <v>7.9142083333333336E-4</v>
      </c>
      <c r="AR67" s="127">
        <f>'[2]MEEIA 3 calcs'!AS9/12</f>
        <v>1.2382216666666666E-3</v>
      </c>
      <c r="AS67" s="127">
        <f>'[2]MEEIA 3 calcs'!AT9/12</f>
        <v>1.7139083333333333E-3</v>
      </c>
      <c r="AT67" s="127">
        <f>'[2]MEEIA 3 calcs'!AU9/12</f>
        <v>2.1367116666666667E-3</v>
      </c>
      <c r="AU67" s="127">
        <f>'[2]MEEIA 3 calcs'!AV9/12</f>
        <v>2.3680800000000003E-3</v>
      </c>
      <c r="AV67" s="127">
        <f>'[2]MEEIA 3 calcs'!AW9/12</f>
        <v>2.8917666666666668E-3</v>
      </c>
      <c r="AW67" s="127">
        <f>'[2]MEEIA 3 calcs'!AX9/12</f>
        <v>3.5717483333333332E-3</v>
      </c>
      <c r="AX67" s="127">
        <f>'[2]MEEIA 3 calcs'!AY9/12</f>
        <v>3.8480024999999998E-3</v>
      </c>
      <c r="AY67" s="127">
        <f>'[2]MEEIA 3 calcs'!AZ9/12</f>
        <v>3.9868766666666666E-3</v>
      </c>
      <c r="AZ67" s="127">
        <f>'[2]MEEIA 3 calcs'!BA9/12</f>
        <v>4.0399541666666667E-3</v>
      </c>
      <c r="BA67" s="127">
        <f>'[2]MEEIA 3 calcs'!BB9/12</f>
        <v>4.1578449999999994E-3</v>
      </c>
      <c r="BB67" s="127">
        <f>'[2]MEEIA 3 calcs'!BC9/12</f>
        <v>4.3739341666666669E-3</v>
      </c>
      <c r="BC67" s="127">
        <f>'[2]MEEIA 3 calcs'!BD9/12</f>
        <v>4.4389866278539119E-3</v>
      </c>
      <c r="BD67" s="127">
        <f>'[2]MEEIA 3 calcs'!BE9/12</f>
        <v>4.4956850000000001E-3</v>
      </c>
      <c r="BE67" s="127">
        <f>'[2]MEEIA 3 calcs'!BF9/12</f>
        <v>4.5355533333333335E-3</v>
      </c>
      <c r="BF67" s="127">
        <f>'[2]MEEIA 3 calcs'!BG9/12</f>
        <v>4.6003991666666664E-3</v>
      </c>
      <c r="BG67" s="127">
        <f>'[2]MEEIA 3 calcs'!BH9/12</f>
        <v>4.6126058333333334E-3</v>
      </c>
      <c r="BH67" s="127">
        <f>'[2]MEEIA 3 calcs'!BI9/12</f>
        <v>4.5978799999999995E-3</v>
      </c>
      <c r="BI67" s="127">
        <f>'[2]MEEIA 3 calcs'!BJ9/12</f>
        <v>4.6317149999999998E-3</v>
      </c>
      <c r="BJ67" s="127">
        <f>'[2]MEEIA 3 calcs'!BK9/12</f>
        <v>4.6229791666666667E-3</v>
      </c>
      <c r="BK67" s="127">
        <f>'[2]MEEIA 3 calcs'!BL9/12</f>
        <v>4.4819374999999998E-3</v>
      </c>
      <c r="BL67" s="127">
        <f>'[2]MEEIA 3 calcs'!BM9/12</f>
        <v>4.4809758333333337E-3</v>
      </c>
      <c r="BM67" s="127">
        <f>'[2]MEEIA 3 calcs'!BN9/12</f>
        <v>4.5238608333333331E-3</v>
      </c>
      <c r="BN67" s="127">
        <f>'[2]MEEIA 3 calcs'!BO9/12</f>
        <v>4.583470833333333E-3</v>
      </c>
      <c r="BO67" s="127">
        <f>'[2]MEEIA 3 calcs'!BP9/12</f>
        <v>4.5750000000000001E-3</v>
      </c>
      <c r="BP67" s="127">
        <f>'[2]MEEIA 3 calcs'!BQ9/12</f>
        <v>4.6273308333333336E-3</v>
      </c>
      <c r="BQ67" s="127">
        <f>'[2]MEEIA 3 calcs'!BR9/12</f>
        <v>4.6511725E-3</v>
      </c>
      <c r="BR67" s="127">
        <f>'[2]MEEIA 3 calcs'!BS9/12</f>
        <v>4.6366416666666667E-3</v>
      </c>
      <c r="BS67" s="127">
        <f>'[2]MEEIA 3 calcs'!BT9/12</f>
        <v>4.4211241666666668E-3</v>
      </c>
      <c r="BT67" s="127">
        <f>'[2]MEEIA 3 calcs'!BU9/12</f>
        <v>4.1172866666666667E-3</v>
      </c>
      <c r="BU67" s="187">
        <f>BT67</f>
        <v>4.1172866666666667E-3</v>
      </c>
      <c r="BV67" s="127">
        <f>+BU67</f>
        <v>4.1172866666666667E-3</v>
      </c>
      <c r="BW67" s="157">
        <f>+BV67</f>
        <v>4.1172866666666667E-3</v>
      </c>
    </row>
    <row r="68" spans="1:78" x14ac:dyDescent="0.25">
      <c r="A68" t="s">
        <v>0</v>
      </c>
      <c r="B68" s="72">
        <f t="shared" ref="B68:L72" si="166">B61*B$67</f>
        <v>0</v>
      </c>
      <c r="C68" s="21">
        <f t="shared" si="166"/>
        <v>0</v>
      </c>
      <c r="D68" s="21">
        <f t="shared" si="166"/>
        <v>0</v>
      </c>
      <c r="E68" s="21">
        <f>E61*E$67</f>
        <v>7312.0127170824117</v>
      </c>
      <c r="F68" s="21">
        <f t="shared" si="166"/>
        <v>9547.7695822299884</v>
      </c>
      <c r="G68" s="21">
        <f t="shared" si="166"/>
        <v>13383.106683630856</v>
      </c>
      <c r="H68" s="21">
        <f t="shared" si="166"/>
        <v>10156.518228259871</v>
      </c>
      <c r="I68" s="21">
        <f t="shared" si="166"/>
        <v>6191.1719212977059</v>
      </c>
      <c r="J68" s="21">
        <f t="shared" si="166"/>
        <v>4506.7323721622606</v>
      </c>
      <c r="K68" s="21">
        <f t="shared" si="166"/>
        <v>-369.92666732138815</v>
      </c>
      <c r="L68" s="21">
        <f>L61*L$67</f>
        <v>-1493.7768834661542</v>
      </c>
      <c r="M68" s="21">
        <f t="shared" ref="M68:BW72" si="167">M61*M$67</f>
        <v>1685.4052303585033</v>
      </c>
      <c r="N68" s="21">
        <f t="shared" si="167"/>
        <v>6160.5890447261609</v>
      </c>
      <c r="O68" s="21">
        <f t="shared" si="167"/>
        <v>-1089.9013045465135</v>
      </c>
      <c r="P68" s="21">
        <f t="shared" si="167"/>
        <v>-3437.1961074175269</v>
      </c>
      <c r="Q68" s="21">
        <f t="shared" si="167"/>
        <v>-1999.9573512838001</v>
      </c>
      <c r="R68" s="21">
        <f t="shared" si="167"/>
        <v>-1387.6150031906338</v>
      </c>
      <c r="S68" s="21">
        <f t="shared" si="167"/>
        <v>-167.91870321626914</v>
      </c>
      <c r="T68" s="21">
        <f t="shared" si="167"/>
        <v>-120.33039189389167</v>
      </c>
      <c r="U68" s="21">
        <f t="shared" si="167"/>
        <v>-189.39509952523252</v>
      </c>
      <c r="V68" s="21">
        <f t="shared" si="167"/>
        <v>-136.06253565499497</v>
      </c>
      <c r="W68" s="21">
        <f t="shared" si="167"/>
        <v>49.384497649197144</v>
      </c>
      <c r="X68" s="21">
        <f t="shared" si="167"/>
        <v>121.81746361913736</v>
      </c>
      <c r="Y68" s="21">
        <f t="shared" ref="Y68:AJ68" si="168">Y61*Y$67</f>
        <v>680.13175318577851</v>
      </c>
      <c r="Z68" s="21">
        <f t="shared" si="168"/>
        <v>1643.0599401218726</v>
      </c>
      <c r="AA68" s="21">
        <f t="shared" si="168"/>
        <v>841.25038171560345</v>
      </c>
      <c r="AB68" s="21">
        <f t="shared" si="168"/>
        <v>680.40454827416124</v>
      </c>
      <c r="AC68" s="231">
        <f>AC61*AC$67-359.54</f>
        <v>187.27340004406454</v>
      </c>
      <c r="AD68" s="21">
        <f>AD61*AD$67</f>
        <v>521.38197005689938</v>
      </c>
      <c r="AE68" s="21">
        <f t="shared" si="168"/>
        <v>474.22889730393882</v>
      </c>
      <c r="AF68" s="21">
        <f t="shared" si="168"/>
        <v>584.87972569894862</v>
      </c>
      <c r="AG68" s="21">
        <f t="shared" si="168"/>
        <v>147.76431896963155</v>
      </c>
      <c r="AH68" s="21">
        <f t="shared" si="168"/>
        <v>208.25900594265113</v>
      </c>
      <c r="AI68" s="21">
        <f t="shared" si="168"/>
        <v>-82.366116732308257</v>
      </c>
      <c r="AJ68" s="21">
        <f t="shared" si="168"/>
        <v>23.675373488874278</v>
      </c>
      <c r="AK68" s="231">
        <f>(AK61*AK$67)+'[1]PCR1.B (M3)'!$D$10</f>
        <v>-95.289177473529477</v>
      </c>
      <c r="AL68" s="21">
        <f>AL61*AL$67</f>
        <v>866.35573358944509</v>
      </c>
      <c r="AM68" s="21">
        <f t="shared" ref="AM68:AV68" si="169">AM61*AM$67</f>
        <v>182.91244884632135</v>
      </c>
      <c r="AN68" s="21">
        <f>AN61*AN$67</f>
        <v>-331.11014989541667</v>
      </c>
      <c r="AO68" s="21">
        <f t="shared" si="169"/>
        <v>-900.29432000076383</v>
      </c>
      <c r="AP68" s="21">
        <f t="shared" si="169"/>
        <v>-1180.8982074252253</v>
      </c>
      <c r="AQ68" s="21">
        <f t="shared" si="169"/>
        <v>-2085.5555579977895</v>
      </c>
      <c r="AR68" s="21">
        <f t="shared" si="169"/>
        <v>-3305.6422485722305</v>
      </c>
      <c r="AS68" s="21">
        <f t="shared" si="169"/>
        <v>-6680.9451755396121</v>
      </c>
      <c r="AT68" s="21">
        <f t="shared" si="169"/>
        <v>-8013.9003150731696</v>
      </c>
      <c r="AU68" s="21">
        <f t="shared" si="169"/>
        <v>-9298.255319111091</v>
      </c>
      <c r="AV68" s="21">
        <f t="shared" si="169"/>
        <v>-12269.794324485511</v>
      </c>
      <c r="AW68" s="21">
        <f t="shared" ref="AW68:BG68" si="170">AW61*AW$67</f>
        <v>-14973.505544052719</v>
      </c>
      <c r="AX68" s="21">
        <f t="shared" si="170"/>
        <v>-7376.0296605430067</v>
      </c>
      <c r="AY68" s="231">
        <f>((AY61+AY78)*AY$67)+(AY61/(SUM($AY$61:$AY$65))*'[2]MEEIA 3 calcs'!$AZ$5)</f>
        <v>-18928.504774608111</v>
      </c>
      <c r="AZ68" s="21">
        <f t="shared" si="170"/>
        <v>-18969.935794800098</v>
      </c>
      <c r="BA68" s="231">
        <v>-17981.67616625662</v>
      </c>
      <c r="BB68" s="21">
        <f t="shared" si="170"/>
        <v>-17095.256787898797</v>
      </c>
      <c r="BC68" s="21">
        <f t="shared" si="170"/>
        <v>-14068.480944379433</v>
      </c>
      <c r="BD68" s="21">
        <f t="shared" si="170"/>
        <v>-11188.790844867966</v>
      </c>
      <c r="BE68" s="21">
        <f t="shared" si="170"/>
        <v>-7032.1209002371188</v>
      </c>
      <c r="BF68" s="21">
        <f t="shared" si="170"/>
        <v>-8000.9142031767533</v>
      </c>
      <c r="BG68" s="21">
        <f t="shared" si="170"/>
        <v>-7074.4799490632704</v>
      </c>
      <c r="BH68" s="231">
        <f>(BH61*BH$67)+'[2]MEEIA 3 adjs'!$FR$11</f>
        <v>-3930.5005205557222</v>
      </c>
      <c r="BI68" s="21">
        <f t="shared" ref="BI68:BT68" si="171">(BI61*BI$67)</f>
        <v>-3046.7324137152059</v>
      </c>
      <c r="BJ68" s="21">
        <f t="shared" si="171"/>
        <v>16690.302296652233</v>
      </c>
      <c r="BK68" s="21">
        <f t="shared" si="171"/>
        <v>19364.634659168019</v>
      </c>
      <c r="BL68" s="21">
        <f t="shared" si="171"/>
        <v>11002.559557233022</v>
      </c>
      <c r="BM68" s="21">
        <f t="shared" si="171"/>
        <v>9629.1493453341845</v>
      </c>
      <c r="BN68" s="21">
        <f t="shared" si="171"/>
        <v>8532.1764865816313</v>
      </c>
      <c r="BO68" s="21">
        <f t="shared" si="171"/>
        <v>9869.7599968681188</v>
      </c>
      <c r="BP68" s="21">
        <f t="shared" si="171"/>
        <v>12589.960928672623</v>
      </c>
      <c r="BQ68" s="21">
        <f t="shared" si="171"/>
        <v>9207.7780242532572</v>
      </c>
      <c r="BR68" s="21">
        <f t="shared" si="171"/>
        <v>10238.132286405191</v>
      </c>
      <c r="BS68" s="21">
        <f t="shared" si="171"/>
        <v>-113.41444776931539</v>
      </c>
      <c r="BT68" s="21">
        <f t="shared" si="171"/>
        <v>1511.8087902654429</v>
      </c>
      <c r="BU68" s="72">
        <f>BU61*BU$67</f>
        <v>-1243.2178796754977</v>
      </c>
      <c r="BV68" s="21">
        <f>BV61*BV$67</f>
        <v>2990.4048092791459</v>
      </c>
      <c r="BW68" s="75">
        <f t="shared" ref="BW68" si="172">BW61*BW$67</f>
        <v>-13673.567835913142</v>
      </c>
    </row>
    <row r="69" spans="1:78" x14ac:dyDescent="0.25">
      <c r="A69" t="s">
        <v>4</v>
      </c>
      <c r="B69" s="72">
        <f t="shared" si="166"/>
        <v>0</v>
      </c>
      <c r="C69" s="21">
        <f t="shared" si="166"/>
        <v>0</v>
      </c>
      <c r="D69" s="21">
        <f t="shared" si="166"/>
        <v>0</v>
      </c>
      <c r="E69" s="21">
        <f t="shared" si="166"/>
        <v>546.35390499262962</v>
      </c>
      <c r="F69" s="21">
        <f t="shared" si="166"/>
        <v>660.19346146625196</v>
      </c>
      <c r="G69" s="21">
        <f t="shared" si="166"/>
        <v>868.59785256421719</v>
      </c>
      <c r="H69" s="21">
        <f t="shared" si="166"/>
        <v>38.918688135506635</v>
      </c>
      <c r="I69" s="21">
        <f t="shared" si="166"/>
        <v>-866.33901092568499</v>
      </c>
      <c r="J69" s="21">
        <f t="shared" si="166"/>
        <v>-1453.9825789316747</v>
      </c>
      <c r="K69" s="21">
        <f t="shared" si="166"/>
        <v>-1469.5973361073934</v>
      </c>
      <c r="L69" s="21">
        <f t="shared" si="166"/>
        <v>-1789.1637329572991</v>
      </c>
      <c r="M69" s="21">
        <f t="shared" si="167"/>
        <v>-1446.8668833923894</v>
      </c>
      <c r="N69" s="21">
        <f t="shared" si="167"/>
        <v>127.67010932393285</v>
      </c>
      <c r="O69" s="21">
        <f t="shared" si="167"/>
        <v>-139.45442262443873</v>
      </c>
      <c r="P69" s="21">
        <f t="shared" si="167"/>
        <v>-798.59469125088935</v>
      </c>
      <c r="Q69" s="21">
        <f t="shared" si="167"/>
        <v>-1423.9817029042895</v>
      </c>
      <c r="R69" s="21">
        <f t="shared" si="167"/>
        <v>-789.53025235778114</v>
      </c>
      <c r="S69" s="21">
        <f t="shared" si="167"/>
        <v>-123.66143202827584</v>
      </c>
      <c r="T69" s="21">
        <f t="shared" si="167"/>
        <v>-138.51440877697976</v>
      </c>
      <c r="U69" s="21">
        <f t="shared" si="167"/>
        <v>-281.98118468123056</v>
      </c>
      <c r="V69" s="21">
        <f t="shared" si="167"/>
        <v>-220.95908999107371</v>
      </c>
      <c r="W69" s="21">
        <f t="shared" si="167"/>
        <v>-211.1078227583524</v>
      </c>
      <c r="X69" s="21">
        <f t="shared" si="167"/>
        <v>-324.71825790029061</v>
      </c>
      <c r="Y69" s="21">
        <f t="shared" ref="Y69:AJ69" si="173">Y62*Y$67</f>
        <v>-354.38356089184958</v>
      </c>
      <c r="Z69" s="21">
        <f t="shared" si="173"/>
        <v>19.707179722687915</v>
      </c>
      <c r="AA69" s="21">
        <f t="shared" si="173"/>
        <v>-22.610471566043774</v>
      </c>
      <c r="AB69" s="21">
        <f t="shared" si="173"/>
        <v>-175.85104723340476</v>
      </c>
      <c r="AC69" s="231">
        <f>AC62*AC$67-32.66</f>
        <v>-204.11608992338577</v>
      </c>
      <c r="AD69" s="21">
        <f t="shared" si="173"/>
        <v>-262.38649501517784</v>
      </c>
      <c r="AE69" s="21">
        <f t="shared" si="173"/>
        <v>-351.28746619152236</v>
      </c>
      <c r="AF69" s="21">
        <f t="shared" si="173"/>
        <v>-380.52107354570438</v>
      </c>
      <c r="AG69" s="21">
        <f t="shared" si="173"/>
        <v>-298.41868207451176</v>
      </c>
      <c r="AH69" s="21">
        <f t="shared" si="173"/>
        <v>-531.70163154718864</v>
      </c>
      <c r="AI69" s="21">
        <f t="shared" si="173"/>
        <v>-586.20294344811145</v>
      </c>
      <c r="AJ69" s="21">
        <f t="shared" si="173"/>
        <v>-497.6102348898026</v>
      </c>
      <c r="AK69" s="21">
        <f t="shared" ref="AK69:AV69" si="174">AK62*AK$67</f>
        <v>-369.93603285703443</v>
      </c>
      <c r="AL69" s="21">
        <f t="shared" si="174"/>
        <v>-133.60335202827963</v>
      </c>
      <c r="AM69" s="21">
        <f t="shared" si="174"/>
        <v>-433.25693295708845</v>
      </c>
      <c r="AN69" s="21">
        <f t="shared" si="174"/>
        <v>-739.9564375689007</v>
      </c>
      <c r="AO69" s="21">
        <f t="shared" si="174"/>
        <v>-1948.8544495934743</v>
      </c>
      <c r="AP69" s="21">
        <f t="shared" si="174"/>
        <v>-1666.6385275638568</v>
      </c>
      <c r="AQ69" s="21">
        <f t="shared" si="174"/>
        <v>-2834.3097306233708</v>
      </c>
      <c r="AR69" s="21">
        <f t="shared" si="174"/>
        <v>-4137.896272096119</v>
      </c>
      <c r="AS69" s="21">
        <f t="shared" si="174"/>
        <v>-6686.6742233857731</v>
      </c>
      <c r="AT69" s="21">
        <f t="shared" si="174"/>
        <v>-9040.8836799148412</v>
      </c>
      <c r="AU69" s="21">
        <f t="shared" si="174"/>
        <v>-9899.8443214609888</v>
      </c>
      <c r="AV69" s="21">
        <f t="shared" si="174"/>
        <v>-12313.842925428014</v>
      </c>
      <c r="AW69" s="21">
        <f t="shared" ref="AW69:BH69" si="175">AW62*AW$67</f>
        <v>-14277.716179341691</v>
      </c>
      <c r="AX69" s="21">
        <f t="shared" si="175"/>
        <v>-4297.5270329293526</v>
      </c>
      <c r="AY69" s="231">
        <f>((AY62+AY79)*AY$67)+(AY62/(SUM($AY$61:$AY$65))*'[2]MEEIA 3 calcs'!$AZ$5)</f>
        <v>-5855.0841404693556</v>
      </c>
      <c r="AZ69" s="21">
        <f t="shared" si="175"/>
        <v>-7165.78514977344</v>
      </c>
      <c r="BA69" s="231">
        <v>-8474.0908193470641</v>
      </c>
      <c r="BB69" s="21">
        <f t="shared" si="175"/>
        <v>-10016.15568558511</v>
      </c>
      <c r="BC69" s="21">
        <f t="shared" si="175"/>
        <v>-9260.3049670732671</v>
      </c>
      <c r="BD69" s="21">
        <f t="shared" si="175"/>
        <v>-10276.883879284167</v>
      </c>
      <c r="BE69" s="21">
        <f t="shared" si="175"/>
        <v>-11167.673010697899</v>
      </c>
      <c r="BF69" s="21">
        <f t="shared" si="175"/>
        <v>-12729.780706974007</v>
      </c>
      <c r="BG69" s="21">
        <f t="shared" si="175"/>
        <v>-14209.339469860406</v>
      </c>
      <c r="BH69" s="21">
        <f t="shared" si="175"/>
        <v>-13873.729492551729</v>
      </c>
      <c r="BI69" s="21">
        <f t="shared" ref="BI69:BT69" si="176">BI62*BI$67</f>
        <v>-15145.287725644266</v>
      </c>
      <c r="BJ69" s="21">
        <f t="shared" si="176"/>
        <v>-470.81987981641294</v>
      </c>
      <c r="BK69" s="21">
        <f t="shared" si="176"/>
        <v>-5085.5122131229928</v>
      </c>
      <c r="BL69" s="21">
        <f t="shared" si="176"/>
        <v>-7323.3470723977362</v>
      </c>
      <c r="BM69" s="21">
        <f t="shared" si="176"/>
        <v>-8609.2119963188488</v>
      </c>
      <c r="BN69" s="21">
        <f t="shared" si="176"/>
        <v>-9201.4578279627567</v>
      </c>
      <c r="BO69" s="21">
        <f t="shared" si="176"/>
        <v>-9741.2938114559201</v>
      </c>
      <c r="BP69" s="21">
        <f t="shared" si="176"/>
        <v>-10539.101033688337</v>
      </c>
      <c r="BQ69" s="21">
        <f t="shared" si="176"/>
        <v>-12341.15837711323</v>
      </c>
      <c r="BR69" s="21">
        <f t="shared" si="176"/>
        <v>-13029.59036728124</v>
      </c>
      <c r="BS69" s="21">
        <f t="shared" si="176"/>
        <v>-12113.018416443405</v>
      </c>
      <c r="BT69" s="21">
        <f t="shared" si="176"/>
        <v>-10689.647136787491</v>
      </c>
      <c r="BU69" s="72">
        <f t="shared" si="167"/>
        <v>-8397.1943060462145</v>
      </c>
      <c r="BV69" s="21">
        <f t="shared" si="167"/>
        <v>3984.7488419836782</v>
      </c>
      <c r="BW69" s="75">
        <f t="shared" si="167"/>
        <v>716.31009773740698</v>
      </c>
    </row>
    <row r="70" spans="1:78" x14ac:dyDescent="0.25">
      <c r="A70" t="s">
        <v>5</v>
      </c>
      <c r="B70" s="72">
        <f t="shared" si="166"/>
        <v>0</v>
      </c>
      <c r="C70" s="21">
        <f t="shared" si="166"/>
        <v>0</v>
      </c>
      <c r="D70" s="21">
        <f t="shared" si="166"/>
        <v>0</v>
      </c>
      <c r="E70" s="21">
        <f t="shared" si="166"/>
        <v>1135.211846532688</v>
      </c>
      <c r="F70" s="21">
        <f t="shared" si="166"/>
        <v>1405.5849775902627</v>
      </c>
      <c r="G70" s="21">
        <f t="shared" si="166"/>
        <v>1972.6318551960489</v>
      </c>
      <c r="H70" s="21">
        <f t="shared" si="166"/>
        <v>24.392924030920177</v>
      </c>
      <c r="I70" s="21">
        <f t="shared" si="166"/>
        <v>-1986.110241609106</v>
      </c>
      <c r="J70" s="21">
        <f t="shared" si="166"/>
        <v>-3281.7613034046894</v>
      </c>
      <c r="K70" s="21">
        <f t="shared" si="166"/>
        <v>-3324.1790418417768</v>
      </c>
      <c r="L70" s="21">
        <f t="shared" si="166"/>
        <v>-4090.204109818395</v>
      </c>
      <c r="M70" s="21">
        <f t="shared" si="167"/>
        <v>-3309.1669759349197</v>
      </c>
      <c r="N70" s="21">
        <f t="shared" si="167"/>
        <v>48.451932395630301</v>
      </c>
      <c r="O70" s="21">
        <f t="shared" si="167"/>
        <v>-505.27272187051204</v>
      </c>
      <c r="P70" s="21">
        <f t="shared" si="167"/>
        <v>-1856.7672208757203</v>
      </c>
      <c r="Q70" s="21">
        <f t="shared" si="167"/>
        <v>-3201.4246189078476</v>
      </c>
      <c r="R70" s="21">
        <f t="shared" si="167"/>
        <v>-1786.4343430296067</v>
      </c>
      <c r="S70" s="21">
        <f t="shared" si="167"/>
        <v>-282.56957574421597</v>
      </c>
      <c r="T70" s="21">
        <f t="shared" si="167"/>
        <v>-316.94743245449121</v>
      </c>
      <c r="U70" s="21">
        <f t="shared" si="167"/>
        <v>-637.01512342267256</v>
      </c>
      <c r="V70" s="21">
        <f t="shared" si="167"/>
        <v>-498.42233120958838</v>
      </c>
      <c r="W70" s="21">
        <f t="shared" si="167"/>
        <v>-476.82886308361554</v>
      </c>
      <c r="X70" s="21">
        <f t="shared" si="167"/>
        <v>-731.03660566291137</v>
      </c>
      <c r="Y70" s="21">
        <f t="shared" ref="Y70:AJ70" si="177">Y63*Y$67</f>
        <v>-792.08488078045696</v>
      </c>
      <c r="Z70" s="21">
        <f t="shared" si="177"/>
        <v>27.282258519843527</v>
      </c>
      <c r="AA70" s="21">
        <f t="shared" si="177"/>
        <v>-53.247345917978926</v>
      </c>
      <c r="AB70" s="21">
        <f t="shared" si="177"/>
        <v>-346.23986493494834</v>
      </c>
      <c r="AC70" s="231">
        <f>AC63*AC$67-66.91</f>
        <v>-404.73291795843147</v>
      </c>
      <c r="AD70" s="21">
        <f t="shared" si="177"/>
        <v>-542.84211431914753</v>
      </c>
      <c r="AE70" s="21">
        <f t="shared" si="177"/>
        <v>-755.02316104113208</v>
      </c>
      <c r="AF70" s="21">
        <f t="shared" si="177"/>
        <v>-822.55794602089406</v>
      </c>
      <c r="AG70" s="21">
        <f t="shared" si="177"/>
        <v>-646.35782096407002</v>
      </c>
      <c r="AH70" s="21">
        <f t="shared" si="177"/>
        <v>-1152.5229233232399</v>
      </c>
      <c r="AI70" s="21">
        <f t="shared" si="177"/>
        <v>-1272.8988006478096</v>
      </c>
      <c r="AJ70" s="21">
        <f t="shared" si="177"/>
        <v>-1086.4666181515829</v>
      </c>
      <c r="AK70" s="21">
        <f t="shared" ref="AK70:AV70" si="178">AK63*AK$67</f>
        <v>-791.28357240350192</v>
      </c>
      <c r="AL70" s="21">
        <f t="shared" si="178"/>
        <v>-253.69579130129065</v>
      </c>
      <c r="AM70" s="21">
        <f t="shared" si="178"/>
        <v>-853.78237616298748</v>
      </c>
      <c r="AN70" s="21">
        <f t="shared" si="178"/>
        <v>-1451.2336721500785</v>
      </c>
      <c r="AO70" s="21">
        <f t="shared" si="178"/>
        <v>-3851.4184743790588</v>
      </c>
      <c r="AP70" s="21">
        <f t="shared" si="178"/>
        <v>-3284.6930655020451</v>
      </c>
      <c r="AQ70" s="21">
        <f t="shared" si="178"/>
        <v>-5662.9855902197423</v>
      </c>
      <c r="AR70" s="21">
        <f t="shared" si="178"/>
        <v>-8218.867941308612</v>
      </c>
      <c r="AS70" s="21">
        <f t="shared" si="178"/>
        <v>-13404.43131071738</v>
      </c>
      <c r="AT70" s="21">
        <f t="shared" si="178"/>
        <v>-18235.14637207536</v>
      </c>
      <c r="AU70" s="21">
        <f t="shared" si="178"/>
        <v>-19977.842355072797</v>
      </c>
      <c r="AV70" s="21">
        <f t="shared" si="178"/>
        <v>-24945.150739048866</v>
      </c>
      <c r="AW70" s="21">
        <f t="shared" ref="AW70:BH70" si="179">AW63*AW$67</f>
        <v>-28654.033218839493</v>
      </c>
      <c r="AX70" s="21">
        <f t="shared" si="179"/>
        <v>-7761.993839275442</v>
      </c>
      <c r="AY70" s="231">
        <f>((AY63+AY80)*AY$67)+(AY63/(SUM($AY$61:$AY$65))*'[2]MEEIA 3 calcs'!$AZ$5)</f>
        <v>-10731.193623643407</v>
      </c>
      <c r="AZ70" s="21">
        <f t="shared" si="179"/>
        <v>-13411.799699459898</v>
      </c>
      <c r="BA70" s="231">
        <v>-16329.311539984201</v>
      </c>
      <c r="BB70" s="21">
        <f t="shared" si="179"/>
        <v>-19860.882149229288</v>
      </c>
      <c r="BC70" s="21">
        <f t="shared" si="179"/>
        <v>-18301.850121164203</v>
      </c>
      <c r="BD70" s="21">
        <f t="shared" si="179"/>
        <v>-20803.268406828309</v>
      </c>
      <c r="BE70" s="21">
        <f t="shared" si="179"/>
        <v>-22948.420848169531</v>
      </c>
      <c r="BF70" s="21">
        <f t="shared" si="179"/>
        <v>-26520.425800849607</v>
      </c>
      <c r="BG70" s="21">
        <f t="shared" si="179"/>
        <v>-30033.12306525934</v>
      </c>
      <c r="BH70" s="21">
        <f t="shared" si="179"/>
        <v>-29600.155532276804</v>
      </c>
      <c r="BI70" s="21">
        <f t="shared" ref="BI70:BT70" si="180">BI63*BI$67</f>
        <v>-32707.318846161288</v>
      </c>
      <c r="BJ70" s="21">
        <f t="shared" si="180"/>
        <v>-2662.6960449502685</v>
      </c>
      <c r="BK70" s="21">
        <f t="shared" si="180"/>
        <v>-11611.135230457359</v>
      </c>
      <c r="BL70" s="21">
        <f t="shared" si="180"/>
        <v>-15845.602873177137</v>
      </c>
      <c r="BM70" s="21">
        <f t="shared" si="180"/>
        <v>-18485.418351534889</v>
      </c>
      <c r="BN70" s="21">
        <f t="shared" si="180"/>
        <v>-19698.899976967736</v>
      </c>
      <c r="BO70" s="21">
        <f t="shared" si="180"/>
        <v>-20861.101724102948</v>
      </c>
      <c r="BP70" s="21">
        <f t="shared" si="180"/>
        <v>-22476.683104872176</v>
      </c>
      <c r="BQ70" s="21">
        <f t="shared" si="180"/>
        <v>-25985.29273350531</v>
      </c>
      <c r="BR70" s="21">
        <f t="shared" si="180"/>
        <v>-27282.412158300511</v>
      </c>
      <c r="BS70" s="21">
        <f t="shared" si="180"/>
        <v>-25314.669067603358</v>
      </c>
      <c r="BT70" s="21">
        <f t="shared" si="180"/>
        <v>-22240.263086545303</v>
      </c>
      <c r="BU70" s="72">
        <f t="shared" si="167"/>
        <v>-17174.375116042873</v>
      </c>
      <c r="BV70" s="21">
        <f t="shared" si="167"/>
        <v>7740.004926878144</v>
      </c>
      <c r="BW70" s="75">
        <f t="shared" si="167"/>
        <v>1676.0482216049536</v>
      </c>
    </row>
    <row r="71" spans="1:78" x14ac:dyDescent="0.25">
      <c r="A71" t="s">
        <v>6</v>
      </c>
      <c r="B71" s="72">
        <f t="shared" si="166"/>
        <v>0</v>
      </c>
      <c r="C71" s="21">
        <f t="shared" si="166"/>
        <v>0</v>
      </c>
      <c r="D71" s="21">
        <f t="shared" si="166"/>
        <v>0</v>
      </c>
      <c r="E71" s="21">
        <f t="shared" si="166"/>
        <v>466.55151996583101</v>
      </c>
      <c r="F71" s="21">
        <f t="shared" si="166"/>
        <v>582.31551051453528</v>
      </c>
      <c r="G71" s="21">
        <f t="shared" si="166"/>
        <v>830.54307683082732</v>
      </c>
      <c r="H71" s="21">
        <f t="shared" si="166"/>
        <v>123.86851698280077</v>
      </c>
      <c r="I71" s="21">
        <f t="shared" si="166"/>
        <v>-698.28403498263037</v>
      </c>
      <c r="J71" s="21">
        <f t="shared" si="166"/>
        <v>-1252.0215452704167</v>
      </c>
      <c r="K71" s="21">
        <f t="shared" si="166"/>
        <v>-1274.8434471117569</v>
      </c>
      <c r="L71" s="21">
        <f t="shared" si="166"/>
        <v>-1597.1152030140629</v>
      </c>
      <c r="M71" s="21">
        <f t="shared" si="167"/>
        <v>-1281.8422580799659</v>
      </c>
      <c r="N71" s="21">
        <f t="shared" si="167"/>
        <v>78.311032006648233</v>
      </c>
      <c r="O71" s="21">
        <f t="shared" si="167"/>
        <v>-144.85531114593223</v>
      </c>
      <c r="P71" s="21">
        <f t="shared" si="167"/>
        <v>-727.32820674061577</v>
      </c>
      <c r="Q71" s="21">
        <f t="shared" si="167"/>
        <v>-1269.9073892652088</v>
      </c>
      <c r="R71" s="21">
        <f t="shared" si="167"/>
        <v>-723.77696603000061</v>
      </c>
      <c r="S71" s="21">
        <f t="shared" si="167"/>
        <v>-117.01798931273676</v>
      </c>
      <c r="T71" s="21">
        <f t="shared" si="167"/>
        <v>-133.36820499954641</v>
      </c>
      <c r="U71" s="21">
        <f t="shared" si="167"/>
        <v>-266.87851135140897</v>
      </c>
      <c r="V71" s="21">
        <f t="shared" si="167"/>
        <v>-209.92631072357705</v>
      </c>
      <c r="W71" s="21">
        <f t="shared" si="167"/>
        <v>-201.67613111092467</v>
      </c>
      <c r="X71" s="21">
        <f t="shared" si="167"/>
        <v>-309.11837630948611</v>
      </c>
      <c r="Y71" s="21">
        <f t="shared" ref="Y71:AJ71" si="181">Y64*Y$67</f>
        <v>-331.68306800744637</v>
      </c>
      <c r="Z71" s="21">
        <f t="shared" si="181"/>
        <v>33.62479193751475</v>
      </c>
      <c r="AA71" s="21">
        <f t="shared" si="181"/>
        <v>-6.3216635622937654</v>
      </c>
      <c r="AB71" s="21">
        <f t="shared" si="181"/>
        <v>-128.78912916555512</v>
      </c>
      <c r="AC71" s="231">
        <f>AC64*AC$67-26.61</f>
        <v>-151.80310009116874</v>
      </c>
      <c r="AD71" s="21">
        <f t="shared" si="181"/>
        <v>-214.47030646026553</v>
      </c>
      <c r="AE71" s="21">
        <f t="shared" si="181"/>
        <v>-309.76110655835976</v>
      </c>
      <c r="AF71" s="21">
        <f t="shared" si="181"/>
        <v>-334.10013086597183</v>
      </c>
      <c r="AG71" s="21">
        <f t="shared" si="181"/>
        <v>-265.29914874216877</v>
      </c>
      <c r="AH71" s="21">
        <f t="shared" si="181"/>
        <v>-473.28898982243476</v>
      </c>
      <c r="AI71" s="21">
        <f t="shared" si="181"/>
        <v>-522.3885496210911</v>
      </c>
      <c r="AJ71" s="21">
        <f t="shared" si="181"/>
        <v>-444.93213036419456</v>
      </c>
      <c r="AK71" s="21">
        <f t="shared" ref="AK71:AV71" si="182">AK64*AK$67</f>
        <v>-327.64626680322596</v>
      </c>
      <c r="AL71" s="21">
        <f t="shared" si="182"/>
        <v>-34.883890003887998</v>
      </c>
      <c r="AM71" s="21">
        <f t="shared" si="182"/>
        <v>-300.51894975373483</v>
      </c>
      <c r="AN71" s="21">
        <f t="shared" si="182"/>
        <v>-529.06291744026953</v>
      </c>
      <c r="AO71" s="21">
        <f t="shared" si="182"/>
        <v>-1440.6549255344707</v>
      </c>
      <c r="AP71" s="21">
        <f t="shared" si="182"/>
        <v>-1207.6840141919126</v>
      </c>
      <c r="AQ71" s="21">
        <f t="shared" si="182"/>
        <v>-2131.1021581017026</v>
      </c>
      <c r="AR71" s="21">
        <f t="shared" si="182"/>
        <v>-3105.3763447129463</v>
      </c>
      <c r="AS71" s="21">
        <f t="shared" si="182"/>
        <v>-5174.6528742906503</v>
      </c>
      <c r="AT71" s="21">
        <f t="shared" si="182"/>
        <v>-7110.724168020598</v>
      </c>
      <c r="AU71" s="21">
        <f t="shared" si="182"/>
        <v>-7839.8115845544989</v>
      </c>
      <c r="AV71" s="21">
        <f t="shared" si="182"/>
        <v>-9869.737567397915</v>
      </c>
      <c r="AW71" s="21">
        <f t="shared" ref="AW71:BH71" si="183">AW64*AW$67</f>
        <v>-11294.21689942462</v>
      </c>
      <c r="AX71" s="21">
        <f t="shared" si="183"/>
        <v>-2507.6441738560866</v>
      </c>
      <c r="AY71" s="231">
        <f>((AY64+AY81)*AY$67)+(AY64/(SUM($AY$61:$AY$65))*'[2]MEEIA 3 calcs'!$AZ$5)</f>
        <v>-3703.9909960713394</v>
      </c>
      <c r="AZ71" s="21">
        <f t="shared" si="183"/>
        <v>-4871.9808780674557</v>
      </c>
      <c r="BA71" s="231">
        <v>-6170.7184195713671</v>
      </c>
      <c r="BB71" s="21">
        <f t="shared" si="183"/>
        <v>-7769.6377624465667</v>
      </c>
      <c r="BC71" s="21">
        <f t="shared" si="183"/>
        <v>-7108.3493430364279</v>
      </c>
      <c r="BD71" s="21">
        <f t="shared" si="183"/>
        <v>-8182.6304163192171</v>
      </c>
      <c r="BE71" s="21">
        <f t="shared" si="183"/>
        <v>-9101.5519984882521</v>
      </c>
      <c r="BF71" s="21">
        <f t="shared" si="183"/>
        <v>-10737.961917366518</v>
      </c>
      <c r="BG71" s="21">
        <f t="shared" si="183"/>
        <v>-12266.644567233117</v>
      </c>
      <c r="BH71" s="21">
        <f t="shared" si="183"/>
        <v>-12154.834552224516</v>
      </c>
      <c r="BI71" s="21">
        <f t="shared" ref="BI71:BT71" si="184">BI64*BI$67</f>
        <v>-13608.7208160101</v>
      </c>
      <c r="BJ71" s="21">
        <f t="shared" si="184"/>
        <v>-1376.7329942219017</v>
      </c>
      <c r="BK71" s="21">
        <f t="shared" si="184"/>
        <v>-4957.8668728458224</v>
      </c>
      <c r="BL71" s="21">
        <f t="shared" si="184"/>
        <v>-6788.1086636503014</v>
      </c>
      <c r="BM71" s="21">
        <f t="shared" si="184"/>
        <v>-7967.9684048618255</v>
      </c>
      <c r="BN71" s="21">
        <f t="shared" si="184"/>
        <v>-8504.0925450816558</v>
      </c>
      <c r="BO71" s="21">
        <f t="shared" si="184"/>
        <v>-9037.1253335633537</v>
      </c>
      <c r="BP71" s="21">
        <f t="shared" si="184"/>
        <v>-9748.9932463300302</v>
      </c>
      <c r="BQ71" s="21">
        <f t="shared" si="184"/>
        <v>-10523.373918563655</v>
      </c>
      <c r="BR71" s="21">
        <f t="shared" si="184"/>
        <v>-11074.144352082321</v>
      </c>
      <c r="BS71" s="21">
        <f t="shared" si="184"/>
        <v>-10305.269686293839</v>
      </c>
      <c r="BT71" s="21">
        <f t="shared" si="184"/>
        <v>-9030.9060651525142</v>
      </c>
      <c r="BU71" s="72">
        <f t="shared" si="167"/>
        <v>-6824.6019690834673</v>
      </c>
      <c r="BV71" s="21">
        <f t="shared" si="167"/>
        <v>3661.6872197730349</v>
      </c>
      <c r="BW71" s="75">
        <f t="shared" si="167"/>
        <v>1102.8426289779645</v>
      </c>
    </row>
    <row r="72" spans="1:78" ht="15.75" thickBot="1" x14ac:dyDescent="0.3">
      <c r="A72" t="s">
        <v>7</v>
      </c>
      <c r="B72" s="72">
        <f t="shared" si="166"/>
        <v>0</v>
      </c>
      <c r="C72" s="21">
        <f t="shared" si="166"/>
        <v>0</v>
      </c>
      <c r="D72" s="21">
        <f t="shared" si="166"/>
        <v>0</v>
      </c>
      <c r="E72" s="21">
        <f t="shared" si="166"/>
        <v>193.67843919990054</v>
      </c>
      <c r="F72" s="21">
        <f t="shared" si="166"/>
        <v>243.10299133509838</v>
      </c>
      <c r="G72" s="21">
        <f t="shared" si="166"/>
        <v>376.99726654304339</v>
      </c>
      <c r="H72" s="21">
        <f t="shared" si="166"/>
        <v>232.36300359722216</v>
      </c>
      <c r="I72" s="21">
        <f t="shared" si="166"/>
        <v>-118.45285886231082</v>
      </c>
      <c r="J72" s="21">
        <f t="shared" si="166"/>
        <v>-383.02182603059936</v>
      </c>
      <c r="K72" s="21">
        <f t="shared" si="166"/>
        <v>-403.69325318289862</v>
      </c>
      <c r="L72" s="21">
        <f t="shared" si="166"/>
        <v>-561.12830390711258</v>
      </c>
      <c r="M72" s="21">
        <f t="shared" si="167"/>
        <v>-441.7487655436625</v>
      </c>
      <c r="N72" s="21">
        <f t="shared" si="167"/>
        <v>127.95849907143077</v>
      </c>
      <c r="O72" s="21">
        <f t="shared" si="167"/>
        <v>31.485692763673455</v>
      </c>
      <c r="P72" s="21">
        <f t="shared" si="167"/>
        <v>-228.66776064116604</v>
      </c>
      <c r="Q72" s="21">
        <f t="shared" si="167"/>
        <v>-425.83567829160762</v>
      </c>
      <c r="R72" s="21">
        <f t="shared" si="167"/>
        <v>-255.03397071437632</v>
      </c>
      <c r="S72" s="21">
        <f t="shared" si="167"/>
        <v>-43.612570161816457</v>
      </c>
      <c r="T72" s="21">
        <f t="shared" si="167"/>
        <v>-40.3897088397121</v>
      </c>
      <c r="U72" s="21">
        <f t="shared" si="167"/>
        <v>-88.74098428219402</v>
      </c>
      <c r="V72" s="21">
        <f t="shared" si="167"/>
        <v>-72.21731011721333</v>
      </c>
      <c r="W72" s="21">
        <f t="shared" si="167"/>
        <v>-70.884462241226544</v>
      </c>
      <c r="X72" s="21">
        <f t="shared" si="167"/>
        <v>-108.77413109377096</v>
      </c>
      <c r="Y72" s="21">
        <f t="shared" ref="Y72:AJ72" si="185">Y65*Y$67</f>
        <v>-114.96571629257051</v>
      </c>
      <c r="Z72" s="21">
        <f t="shared" si="185"/>
        <v>29.55856156251561</v>
      </c>
      <c r="AA72" s="21">
        <f t="shared" si="185"/>
        <v>8.027739362214648</v>
      </c>
      <c r="AB72" s="21">
        <f t="shared" si="185"/>
        <v>-44.436746957226816</v>
      </c>
      <c r="AC72" s="231">
        <f>AC65*AC$67-6.25</f>
        <v>-50.531067992944124</v>
      </c>
      <c r="AD72" s="21">
        <f>AD65*AD$67</f>
        <v>-83.592079494439247</v>
      </c>
      <c r="AE72" s="21">
        <f t="shared" si="185"/>
        <v>-123.3320746776178</v>
      </c>
      <c r="AF72" s="21">
        <f t="shared" si="185"/>
        <v>-134.25764412242876</v>
      </c>
      <c r="AG72" s="21">
        <f t="shared" si="185"/>
        <v>-107.48488694057944</v>
      </c>
      <c r="AH72" s="21">
        <f t="shared" si="185"/>
        <v>-193.42612755332416</v>
      </c>
      <c r="AI72" s="21">
        <f t="shared" si="185"/>
        <v>-217.03249903403017</v>
      </c>
      <c r="AJ72" s="21">
        <f t="shared" si="185"/>
        <v>-187.8202796969066</v>
      </c>
      <c r="AK72" s="21">
        <f t="shared" ref="AK72:AV72" si="186">AK65*AK$67</f>
        <v>-148.66396537711594</v>
      </c>
      <c r="AL72" s="21">
        <f t="shared" si="186"/>
        <v>-27.206639778690572</v>
      </c>
      <c r="AM72" s="21">
        <f t="shared" si="186"/>
        <v>-122.60749761074307</v>
      </c>
      <c r="AN72" s="21">
        <f t="shared" si="186"/>
        <v>-210.93264600574929</v>
      </c>
      <c r="AO72" s="21">
        <f t="shared" si="186"/>
        <v>-564.68317347952177</v>
      </c>
      <c r="AP72" s="21">
        <f t="shared" si="186"/>
        <v>-356.46368620283397</v>
      </c>
      <c r="AQ72" s="21">
        <f t="shared" si="186"/>
        <v>-629.47582586300166</v>
      </c>
      <c r="AR72" s="21">
        <f t="shared" si="186"/>
        <v>-890.71041536143218</v>
      </c>
      <c r="AS72" s="21">
        <f t="shared" si="186"/>
        <v>-1546.9907774446192</v>
      </c>
      <c r="AT72" s="21">
        <f t="shared" si="186"/>
        <v>-2164.8389424268494</v>
      </c>
      <c r="AU72" s="21">
        <f t="shared" si="186"/>
        <v>-2363.6980285394366</v>
      </c>
      <c r="AV72" s="21">
        <f t="shared" si="186"/>
        <v>-2980.3175420400644</v>
      </c>
      <c r="AW72" s="21">
        <f t="shared" ref="AW72:BH72" si="187">AW65*AW$67</f>
        <v>-3313.792067449257</v>
      </c>
      <c r="AX72" s="21">
        <f t="shared" si="187"/>
        <v>-79.423695072743953</v>
      </c>
      <c r="AY72" s="231">
        <f>((AY65+AY82)*AY$67)+(AY65/(SUM($AY$61:$AY$65))*'[2]MEEIA 3 calcs'!$AZ$5)</f>
        <v>-384.06212951201394</v>
      </c>
      <c r="AZ72" s="21">
        <f t="shared" si="187"/>
        <v>-713.1422000465642</v>
      </c>
      <c r="BA72" s="231">
        <v>-1111.6418507902131</v>
      </c>
      <c r="BB72" s="21">
        <f t="shared" si="187"/>
        <v>-1622.9362382847962</v>
      </c>
      <c r="BC72" s="21">
        <f t="shared" si="187"/>
        <v>-1475.1754121752349</v>
      </c>
      <c r="BD72" s="21">
        <f t="shared" si="187"/>
        <v>-1933.944494545691</v>
      </c>
      <c r="BE72" s="21">
        <f t="shared" si="187"/>
        <v>-2304.0007461038786</v>
      </c>
      <c r="BF72" s="21">
        <f t="shared" si="187"/>
        <v>-2915.2480008012808</v>
      </c>
      <c r="BG72" s="21">
        <f t="shared" si="187"/>
        <v>-3584.2840828735789</v>
      </c>
      <c r="BH72" s="21">
        <f t="shared" si="187"/>
        <v>-3637.8384037968872</v>
      </c>
      <c r="BI72" s="21">
        <f t="shared" ref="BI72:BT72" si="188">BI65*BI$67</f>
        <v>-4272.4333080342521</v>
      </c>
      <c r="BJ72" s="21">
        <f t="shared" si="188"/>
        <v>1024.7542537295415</v>
      </c>
      <c r="BK72" s="21">
        <f t="shared" si="188"/>
        <v>-232.15694784817634</v>
      </c>
      <c r="BL72" s="21">
        <f t="shared" si="188"/>
        <v>-752.31155199526256</v>
      </c>
      <c r="BM72" s="21">
        <f t="shared" si="188"/>
        <v>-1071.4552258038809</v>
      </c>
      <c r="BN72" s="21">
        <f t="shared" si="188"/>
        <v>-1212.0684325153218</v>
      </c>
      <c r="BO72" s="21">
        <f t="shared" si="188"/>
        <v>-1394.0027592423776</v>
      </c>
      <c r="BP72" s="21">
        <f t="shared" si="188"/>
        <v>-1600.9197123776783</v>
      </c>
      <c r="BQ72" s="21">
        <f t="shared" si="188"/>
        <v>-2073.0987880094308</v>
      </c>
      <c r="BR72" s="21">
        <f t="shared" si="188"/>
        <v>-2272.6966045531544</v>
      </c>
      <c r="BS72" s="21">
        <f t="shared" si="188"/>
        <v>-2102.3655449919388</v>
      </c>
      <c r="BT72" s="21">
        <f t="shared" si="188"/>
        <v>-1796.8903101922581</v>
      </c>
      <c r="BU72" s="72">
        <f t="shared" si="167"/>
        <v>-1129.6269898138637</v>
      </c>
      <c r="BV72" s="21">
        <f t="shared" si="167"/>
        <v>1868.9420805713016</v>
      </c>
      <c r="BW72" s="75">
        <f t="shared" si="167"/>
        <v>1157.952119313494</v>
      </c>
      <c r="BZ72" s="266"/>
    </row>
    <row r="73" spans="1:78" ht="16.5" thickTop="1" thickBot="1" x14ac:dyDescent="0.3">
      <c r="A73" s="84" t="s">
        <v>70</v>
      </c>
      <c r="B73" s="87">
        <f>SUM(B68:B72)+SUM(B61:B65)-B76</f>
        <v>0</v>
      </c>
      <c r="C73" s="54">
        <f t="shared" ref="C73:J73" si="189">SUM(C68:C72)+SUM(C61:C65)-C76</f>
        <v>0</v>
      </c>
      <c r="D73" s="54">
        <f t="shared" si="189"/>
        <v>0</v>
      </c>
      <c r="E73" s="54">
        <f t="shared" si="189"/>
        <v>0</v>
      </c>
      <c r="F73" s="54">
        <f t="shared" si="189"/>
        <v>0</v>
      </c>
      <c r="G73" s="54">
        <f t="shared" si="189"/>
        <v>0</v>
      </c>
      <c r="H73" s="54">
        <f t="shared" si="189"/>
        <v>0</v>
      </c>
      <c r="I73" s="54">
        <f t="shared" si="189"/>
        <v>0</v>
      </c>
      <c r="J73" s="54">
        <f t="shared" si="189"/>
        <v>0</v>
      </c>
      <c r="K73" s="54">
        <f t="shared" ref="K73:L73" si="190">SUM(K68:K72)+SUM(K61:K65)-K76</f>
        <v>0</v>
      </c>
      <c r="L73" s="54">
        <f t="shared" si="190"/>
        <v>0</v>
      </c>
      <c r="M73" s="54">
        <f t="shared" ref="M73:N73" si="191">SUM(M68:M72)+SUM(M61:M65)-M76</f>
        <v>0</v>
      </c>
      <c r="N73" s="54">
        <f t="shared" si="191"/>
        <v>0</v>
      </c>
      <c r="O73" s="54">
        <f t="shared" ref="O73:W73" si="192">SUM(O68:O72)+SUM(O61:O65)-O76</f>
        <v>0</v>
      </c>
      <c r="P73" s="54">
        <f t="shared" si="192"/>
        <v>0</v>
      </c>
      <c r="Q73" s="54">
        <f t="shared" si="192"/>
        <v>0</v>
      </c>
      <c r="R73" s="54">
        <f t="shared" si="192"/>
        <v>0</v>
      </c>
      <c r="S73" s="54">
        <f t="shared" si="192"/>
        <v>0</v>
      </c>
      <c r="T73" s="54">
        <f t="shared" si="192"/>
        <v>0</v>
      </c>
      <c r="U73" s="54">
        <f t="shared" si="192"/>
        <v>0</v>
      </c>
      <c r="V73" s="54">
        <f t="shared" si="192"/>
        <v>0</v>
      </c>
      <c r="W73" s="54">
        <f t="shared" si="192"/>
        <v>0</v>
      </c>
      <c r="X73" s="54">
        <f t="shared" ref="X73:AI73" si="193">SUM(X68:X72)+SUM(X61:X65)-X76</f>
        <v>0</v>
      </c>
      <c r="Y73" s="54">
        <f t="shared" si="193"/>
        <v>0</v>
      </c>
      <c r="Z73" s="54">
        <f t="shared" si="193"/>
        <v>0</v>
      </c>
      <c r="AA73" s="54">
        <f t="shared" si="193"/>
        <v>0</v>
      </c>
      <c r="AB73" s="54">
        <f t="shared" si="193"/>
        <v>1.4260876923799515E-9</v>
      </c>
      <c r="AC73" s="54">
        <f>SUM(AC68:AC72)+SUM(AC61:AC65)-AC76</f>
        <v>1.9790604710578918E-9</v>
      </c>
      <c r="AD73" s="54">
        <f>SUM(AD68:AD72)+SUM(AD61:AD65)-AD76</f>
        <v>0</v>
      </c>
      <c r="AE73" s="54">
        <f>SUM(AE68:AE72)+SUM(AE61:AE65)-AE76</f>
        <v>0</v>
      </c>
      <c r="AF73" s="54">
        <f t="shared" si="193"/>
        <v>0</v>
      </c>
      <c r="AG73" s="54">
        <f t="shared" si="193"/>
        <v>0</v>
      </c>
      <c r="AH73" s="54">
        <f t="shared" si="193"/>
        <v>0</v>
      </c>
      <c r="AI73" s="54">
        <f t="shared" si="193"/>
        <v>0</v>
      </c>
      <c r="AJ73" s="54">
        <f t="shared" ref="AJ73:AV73" si="194">SUM(AJ68:AJ72)+SUM(AJ61:AJ65)-AJ76</f>
        <v>0</v>
      </c>
      <c r="AK73" s="54">
        <f>SUM(AK68:AK72)+SUM(AK61:AK65)-AK76</f>
        <v>0</v>
      </c>
      <c r="AL73" s="54">
        <f t="shared" si="194"/>
        <v>0</v>
      </c>
      <c r="AM73" s="54">
        <f>SUM(AM68:AM72)+SUM(AM61:AM65)-AM76</f>
        <v>0</v>
      </c>
      <c r="AN73" s="54">
        <f t="shared" si="194"/>
        <v>0</v>
      </c>
      <c r="AO73" s="54">
        <f t="shared" si="194"/>
        <v>0</v>
      </c>
      <c r="AP73" s="54">
        <f t="shared" si="194"/>
        <v>0</v>
      </c>
      <c r="AQ73" s="54">
        <f t="shared" si="194"/>
        <v>0</v>
      </c>
      <c r="AR73" s="54">
        <f t="shared" si="194"/>
        <v>0</v>
      </c>
      <c r="AS73" s="54">
        <f t="shared" si="194"/>
        <v>0</v>
      </c>
      <c r="AT73" s="54">
        <f t="shared" si="194"/>
        <v>0</v>
      </c>
      <c r="AU73" s="54">
        <f t="shared" si="194"/>
        <v>0</v>
      </c>
      <c r="AV73" s="54">
        <f t="shared" si="194"/>
        <v>0</v>
      </c>
      <c r="AW73" s="54">
        <f t="shared" ref="AW73:BH73" si="195">SUM(AW68:AW72)+SUM(AW61:AW65)-AW76</f>
        <v>0</v>
      </c>
      <c r="AX73" s="54">
        <f t="shared" si="195"/>
        <v>0</v>
      </c>
      <c r="AY73" s="54">
        <f>SUM(AY68:AY72)+SUM(AY61:AY65)-AY76</f>
        <v>0</v>
      </c>
      <c r="AZ73" s="54">
        <f t="shared" si="195"/>
        <v>0</v>
      </c>
      <c r="BA73" s="54">
        <f>SUM(BA68:BA72)+SUM(BA61:BA65)-BA76</f>
        <v>0</v>
      </c>
      <c r="BB73" s="54">
        <f t="shared" si="195"/>
        <v>0</v>
      </c>
      <c r="BC73" s="54">
        <f t="shared" si="195"/>
        <v>0</v>
      </c>
      <c r="BD73" s="54">
        <f t="shared" si="195"/>
        <v>0</v>
      </c>
      <c r="BE73" s="54">
        <f t="shared" si="195"/>
        <v>0</v>
      </c>
      <c r="BF73" s="54">
        <f t="shared" si="195"/>
        <v>0</v>
      </c>
      <c r="BG73" s="54">
        <f t="shared" si="195"/>
        <v>0</v>
      </c>
      <c r="BH73" s="54">
        <f t="shared" si="195"/>
        <v>0</v>
      </c>
      <c r="BI73" s="54">
        <f t="shared" ref="BI73:BT73" si="196">SUM(BI68:BI72)+SUM(BI61:BI65)-BI76</f>
        <v>0</v>
      </c>
      <c r="BJ73" s="54">
        <f t="shared" si="196"/>
        <v>5.1222741603851318E-9</v>
      </c>
      <c r="BK73" s="54">
        <f t="shared" si="196"/>
        <v>5.9371814131736755E-9</v>
      </c>
      <c r="BL73" s="54">
        <f t="shared" si="196"/>
        <v>0</v>
      </c>
      <c r="BM73" s="54">
        <f t="shared" si="196"/>
        <v>0</v>
      </c>
      <c r="BN73" s="54">
        <f t="shared" si="196"/>
        <v>0</v>
      </c>
      <c r="BO73" s="54">
        <f t="shared" si="196"/>
        <v>0</v>
      </c>
      <c r="BP73" s="54">
        <f t="shared" si="196"/>
        <v>7.4505805969238281E-9</v>
      </c>
      <c r="BQ73" s="54">
        <f t="shared" si="196"/>
        <v>0</v>
      </c>
      <c r="BR73" s="54">
        <f t="shared" si="196"/>
        <v>0</v>
      </c>
      <c r="BS73" s="54">
        <f>SUM(BS68:BS72)+SUM(BS61:BS65)-BS76</f>
        <v>0</v>
      </c>
      <c r="BT73" s="54">
        <f t="shared" si="196"/>
        <v>0</v>
      </c>
      <c r="BU73" s="87">
        <f>SUM(BU68:BU72)+SUM(BU61:BU65)-BU76</f>
        <v>0</v>
      </c>
      <c r="BV73" s="54">
        <f>SUM(BV68:BV72)+SUM(BV61:BV65)-BV76</f>
        <v>1.1175870895385742E-8</v>
      </c>
      <c r="BW73" s="88">
        <f>SUM(BW68:BW72)+SUM(BW61:BW65)-BW76</f>
        <v>1.1641532182693481E-8</v>
      </c>
    </row>
    <row r="74" spans="1:78" ht="16.5" thickTop="1" thickBot="1" x14ac:dyDescent="0.3">
      <c r="A74" s="84" t="s">
        <v>71</v>
      </c>
      <c r="B74" s="87">
        <f t="shared" ref="B74:J74" si="197">SUM(B68:B72)-B51</f>
        <v>0</v>
      </c>
      <c r="C74" s="54">
        <f t="shared" si="197"/>
        <v>0</v>
      </c>
      <c r="D74" s="86">
        <f>SUM(D68:D72)-D51</f>
        <v>0</v>
      </c>
      <c r="E74" s="54">
        <f>SUM(E68:E72)-E51</f>
        <v>-1.57222653797362E-3</v>
      </c>
      <c r="F74" s="54">
        <f t="shared" si="197"/>
        <v>-3.4768638633977389E-3</v>
      </c>
      <c r="G74" s="54">
        <f t="shared" si="197"/>
        <v>-3.2652350091666449E-3</v>
      </c>
      <c r="H74" s="54">
        <f t="shared" si="197"/>
        <v>1.361006321531022E-3</v>
      </c>
      <c r="I74" s="54">
        <f t="shared" si="197"/>
        <v>-4.2250820260960609E-3</v>
      </c>
      <c r="J74" s="54">
        <f t="shared" si="197"/>
        <v>-4.8814751196459838E-3</v>
      </c>
      <c r="K74" s="54">
        <f t="shared" ref="K74" si="198">SUM(K68:K72)-K51</f>
        <v>2.5443478534725728E-4</v>
      </c>
      <c r="L74" s="54">
        <f>SUM(L68:L72)-L51</f>
        <v>1.7668369764578529E-3</v>
      </c>
      <c r="M74" s="54">
        <f>SUM(M68:M72)-M51</f>
        <v>3.4740756564133335E-4</v>
      </c>
      <c r="N74" s="54">
        <f>SUM(N68:N72)-N51</f>
        <v>6.1752380315738264E-4</v>
      </c>
      <c r="O74" s="54">
        <f t="shared" ref="O74:W74" si="199">SUM(O68:O72)-O51</f>
        <v>1.9325762768858112E-3</v>
      </c>
      <c r="P74" s="54">
        <f t="shared" si="199"/>
        <v>-3.986925918070483E-3</v>
      </c>
      <c r="Q74" s="54">
        <f t="shared" si="199"/>
        <v>3.2593472478765761E-3</v>
      </c>
      <c r="R74" s="54">
        <f t="shared" si="199"/>
        <v>-5.3532239871856291E-4</v>
      </c>
      <c r="S74" s="54">
        <f t="shared" si="199"/>
        <v>-2.7046331422297953E-4</v>
      </c>
      <c r="T74" s="54">
        <f t="shared" si="199"/>
        <v>-1.4696462108076958E-4</v>
      </c>
      <c r="U74" s="54">
        <f t="shared" si="199"/>
        <v>-9.032627388023684E-4</v>
      </c>
      <c r="V74" s="54">
        <f t="shared" si="199"/>
        <v>2.4223035525210435E-3</v>
      </c>
      <c r="W74" s="54">
        <f t="shared" si="199"/>
        <v>-2.7815449219588118E-3</v>
      </c>
      <c r="X74" s="54">
        <f>SUM(X68:X72)-X51</f>
        <v>9.2652678176818881E-5</v>
      </c>
      <c r="Y74" s="54">
        <f>SUM(Y68:Y72)-Y51</f>
        <v>4.5272134550486953E-3</v>
      </c>
      <c r="Z74" s="54">
        <f>SUM(Z68:Z72)-Z51</f>
        <v>2.7318644345086796E-3</v>
      </c>
      <c r="AA74" s="54">
        <f t="shared" ref="AA74:AI74" si="200">SUM(AA68:AA72)-AA51</f>
        <v>-1.3599684983773841E-3</v>
      </c>
      <c r="AB74" s="54">
        <f t="shared" si="200"/>
        <v>-2.2400169737970543E-3</v>
      </c>
      <c r="AC74" s="205">
        <f>SUM(AC68:AC72)-AC51</f>
        <v>8.0224078134392585E-2</v>
      </c>
      <c r="AD74" s="205">
        <f t="shared" si="200"/>
        <v>9.7476786925199121E-4</v>
      </c>
      <c r="AE74" s="205">
        <f t="shared" si="200"/>
        <v>-4.9111646931123687E-3</v>
      </c>
      <c r="AF74" s="205">
        <f t="shared" si="200"/>
        <v>2.9311439495813829E-3</v>
      </c>
      <c r="AG74" s="205">
        <f t="shared" si="200"/>
        <v>3.7802483016093902E-3</v>
      </c>
      <c r="AH74" s="205">
        <f t="shared" si="200"/>
        <v>-6.6630353649088647E-4</v>
      </c>
      <c r="AI74" s="205">
        <f t="shared" si="200"/>
        <v>-16.308909483350362</v>
      </c>
      <c r="AJ74" s="205">
        <f>SUM(AJ68:AJ72)-AJ51</f>
        <v>16.306110386387445</v>
      </c>
      <c r="AK74" s="205">
        <f>SUM(AK68:AK72)-AK51</f>
        <v>1.0985085592210453E-2</v>
      </c>
      <c r="AL74" s="205">
        <f t="shared" ref="AL74:AV74" si="201">SUM(AL68:AL72)-AL51</f>
        <v>-3.9395227037175573E-3</v>
      </c>
      <c r="AM74" s="205">
        <f>SUM(AM68:AM72)-AM51</f>
        <v>-3.3076382326271414E-3</v>
      </c>
      <c r="AN74" s="205">
        <f t="shared" si="201"/>
        <v>4.1769395857045311E-3</v>
      </c>
      <c r="AO74" s="205">
        <f t="shared" si="201"/>
        <v>4.6570127105951542E-3</v>
      </c>
      <c r="AP74" s="205">
        <f t="shared" si="201"/>
        <v>2.4991141262944438E-3</v>
      </c>
      <c r="AQ74" s="205">
        <f t="shared" si="201"/>
        <v>1.1371943946869578E-3</v>
      </c>
      <c r="AR74" s="205">
        <f t="shared" si="201"/>
        <v>-3.222051338525489E-3</v>
      </c>
      <c r="AS74" s="205">
        <f t="shared" si="201"/>
        <v>-4.3613780289888382E-3</v>
      </c>
      <c r="AT74" s="205">
        <f t="shared" si="201"/>
        <v>-3.477510814263951E-3</v>
      </c>
      <c r="AU74" s="205">
        <f t="shared" si="201"/>
        <v>-1.6087388139567338E-3</v>
      </c>
      <c r="AV74" s="205">
        <f t="shared" si="201"/>
        <v>-3.0984003678895533E-3</v>
      </c>
      <c r="AW74" s="205">
        <f t="shared" ref="AW74:BG74" si="202">SUM(AW68:AW72)-AW51</f>
        <v>-3.9091077924240381E-3</v>
      </c>
      <c r="AX74" s="205">
        <f>SUM(AX68:AX72)-AX51</f>
        <v>1.5983233679435216E-3</v>
      </c>
      <c r="AY74" s="205">
        <f>SUM(AY68:AY72)-AY51</f>
        <v>4.3356957685318775E-3</v>
      </c>
      <c r="AZ74" s="205">
        <f t="shared" si="202"/>
        <v>-3.7221474558464251E-3</v>
      </c>
      <c r="BA74" s="205">
        <f>SUM(BA68:BA72)-BA51</f>
        <v>1.2040505389450118E-3</v>
      </c>
      <c r="BB74" s="205">
        <f>SUM(BB68:BB72)-BB51</f>
        <v>1.3765554467681795E-3</v>
      </c>
      <c r="BC74" s="205">
        <f t="shared" si="202"/>
        <v>-7.8782856871839613E-4</v>
      </c>
      <c r="BD74" s="205">
        <f t="shared" si="202"/>
        <v>1.958154643943999E-3</v>
      </c>
      <c r="BE74" s="205">
        <f t="shared" si="202"/>
        <v>2.4963033138192259E-3</v>
      </c>
      <c r="BF74" s="205">
        <f t="shared" si="202"/>
        <v>-6.2916816386859864E-4</v>
      </c>
      <c r="BG74" s="205">
        <f t="shared" si="202"/>
        <v>-1.1342897196300328E-3</v>
      </c>
      <c r="BH74" s="205">
        <f>SUM(BH68:BH72)-BH51</f>
        <v>-2.8501405657152645E-2</v>
      </c>
      <c r="BI74" s="205">
        <f t="shared" ref="BI74:BT74" si="203">SUM(BI68:BI72)-BI51</f>
        <v>-3.1095651065697894E-3</v>
      </c>
      <c r="BJ74" s="205">
        <f t="shared" si="203"/>
        <v>-2.3686068088863976E-3</v>
      </c>
      <c r="BK74" s="205">
        <f t="shared" si="203"/>
        <v>-6.6051063313352643E-3</v>
      </c>
      <c r="BL74" s="205">
        <f t="shared" si="203"/>
        <v>-6.0398741334211081E-4</v>
      </c>
      <c r="BM74" s="205">
        <f t="shared" si="203"/>
        <v>-4.6331852609000634E-3</v>
      </c>
      <c r="BN74" s="205">
        <f t="shared" si="203"/>
        <v>-2.2959458437981084E-3</v>
      </c>
      <c r="BO74" s="205">
        <f t="shared" si="203"/>
        <v>-3.631496485468233E-3</v>
      </c>
      <c r="BP74" s="205">
        <f t="shared" si="203"/>
        <v>-6.1685956025030464E-3</v>
      </c>
      <c r="BQ74" s="205">
        <f t="shared" si="203"/>
        <v>-5.7929383765440434E-3</v>
      </c>
      <c r="BR74" s="205">
        <f t="shared" si="203"/>
        <v>-1.1958120376220904E-3</v>
      </c>
      <c r="BS74" s="205">
        <f t="shared" si="203"/>
        <v>-7.1631018508924171E-3</v>
      </c>
      <c r="BT74" s="205">
        <f t="shared" si="203"/>
        <v>2.1915878824074753E-3</v>
      </c>
      <c r="BU74" s="87">
        <f>SUM(BU68:BU72)-BU51</f>
        <v>-6.2606619103462435E-3</v>
      </c>
      <c r="BV74" s="205">
        <f>SUM(BV68:BV72)-BV51</f>
        <v>-2.1215146953181829E-3</v>
      </c>
      <c r="BW74" s="213">
        <f>SUM(BW68:BW72)-BW51</f>
        <v>-4.7682793228887022E-3</v>
      </c>
    </row>
    <row r="75" spans="1:78" ht="15.75" thickTop="1" x14ac:dyDescent="0.25">
      <c r="B75" s="66"/>
      <c r="BU75" s="65"/>
      <c r="BW75" s="67"/>
    </row>
    <row r="76" spans="1:78" x14ac:dyDescent="0.25">
      <c r="A76" t="s">
        <v>72</v>
      </c>
      <c r="B76" s="72">
        <f>(SUM(B15:B18)-SUM(B35:B39))+SUM(B68:B72)</f>
        <v>472906.7</v>
      </c>
      <c r="C76" s="21">
        <f t="shared" ref="C76:J76" si="204">(SUM(C15:C18)-SUM(C35:C39))+SUM(C68:C72)+B76</f>
        <v>594857.16</v>
      </c>
      <c r="D76" s="21">
        <f t="shared" si="204"/>
        <v>900914.26</v>
      </c>
      <c r="E76" s="21">
        <f t="shared" si="204"/>
        <v>4165083.8184277741</v>
      </c>
      <c r="F76" s="21">
        <f t="shared" si="204"/>
        <v>5619209.6549509112</v>
      </c>
      <c r="G76" s="21">
        <f t="shared" si="204"/>
        <v>7830443.301685676</v>
      </c>
      <c r="H76" s="21">
        <f t="shared" si="204"/>
        <v>4799632.9130466823</v>
      </c>
      <c r="I76" s="21">
        <f t="shared" si="204"/>
        <v>1168817.0588215999</v>
      </c>
      <c r="J76" s="21">
        <f t="shared" si="204"/>
        <v>-953240.10605987534</v>
      </c>
      <c r="K76" s="21">
        <f t="shared" ref="K76" si="205">(SUM(K15:K18)-SUM(K35:K39))+SUM(K68:K72)+J76</f>
        <v>-3710572.1358054406</v>
      </c>
      <c r="L76" s="21">
        <f t="shared" ref="L76:W76" si="206">(SUM(L15:L18)-SUM(L35:L39))+SUM(L68:L72)+K76</f>
        <v>-5420143.4040386043</v>
      </c>
      <c r="M76" s="21">
        <f t="shared" si="206"/>
        <v>-3172799.9636911964</v>
      </c>
      <c r="N76" s="21">
        <f t="shared" si="206"/>
        <v>4106157.0369263273</v>
      </c>
      <c r="O76" s="21">
        <f t="shared" si="206"/>
        <v>-1175752.7711410951</v>
      </c>
      <c r="P76" s="21">
        <f t="shared" si="206"/>
        <v>-4696749.4351280211</v>
      </c>
      <c r="Q76" s="21">
        <f t="shared" si="206"/>
        <v>-5295502.2918686736</v>
      </c>
      <c r="R76" s="21">
        <f t="shared" si="206"/>
        <v>-6324730.8124039965</v>
      </c>
      <c r="S76" s="21">
        <f t="shared" si="206"/>
        <v>-6832351.8826744594</v>
      </c>
      <c r="T76" s="21">
        <f t="shared" si="206"/>
        <v>-7160289.6028214237</v>
      </c>
      <c r="U76" s="21">
        <f t="shared" si="206"/>
        <v>-9072959.7737246882</v>
      </c>
      <c r="V76" s="21">
        <f t="shared" si="206"/>
        <v>-9995683.7913023848</v>
      </c>
      <c r="W76" s="21">
        <f t="shared" si="206"/>
        <v>-8824108.5840839278</v>
      </c>
      <c r="X76" s="21">
        <f>(SUM(X15:X18)-SUM(X35:X39))+SUM(X68:X72)+W76</f>
        <v>-8112331.2739912765</v>
      </c>
      <c r="Y76" s="21">
        <f>(SUM(Y15:Y18)-SUM(Y35:Y39))+SUM(Y68:Y72)+X76+X77</f>
        <v>-4340816.3594640624</v>
      </c>
      <c r="Z76" s="21">
        <f t="shared" ref="Z76:AH76" si="207">(SUM(Z15:Z18)-SUM(Z35:Z39))+SUM(Z68:Z72)+Y76+Y77</f>
        <v>7391590.4932678025</v>
      </c>
      <c r="AA76" s="21">
        <f t="shared" si="207"/>
        <v>4466289.7219078345</v>
      </c>
      <c r="AB76" s="21">
        <f t="shared" si="207"/>
        <v>-77075.110332184471</v>
      </c>
      <c r="AC76" s="21">
        <f t="shared" si="207"/>
        <v>-741601.9001081062</v>
      </c>
      <c r="AD76" s="194">
        <f>(SUM(AD15:AD18)-SUM(AD35:AD39))+SUM(AD68:AD72)+AC76+AC77</f>
        <v>-3102401.049133339</v>
      </c>
      <c r="AE76" s="21">
        <f t="shared" si="207"/>
        <v>-5700438.6740445029</v>
      </c>
      <c r="AF76" s="21">
        <f t="shared" si="207"/>
        <v>-6466795.91111336</v>
      </c>
      <c r="AG76" s="21">
        <f t="shared" si="207"/>
        <v>-10060399.627333112</v>
      </c>
      <c r="AH76" s="194">
        <f t="shared" si="207"/>
        <v>-12538609.457999418</v>
      </c>
      <c r="AI76" s="21">
        <f>(SUM(AI15:AI18)-SUM(AI35:AI39))+SUM(AI68:AI72)+AH76+AH77</f>
        <v>-16651321.086908899</v>
      </c>
      <c r="AJ76" s="21">
        <f>(SUM(AJ15:AJ18)-SUM(AJ35:AJ39))+SUM(AJ68:AJ72)+AI76+AI77</f>
        <v>-17547424.270798512</v>
      </c>
      <c r="AK76" s="21">
        <f t="shared" ref="AK76:AU76" si="208">(SUM(AK15:AK18)-SUM(AK35:AK39))+SUM(AK68:AK72)+AJ76+AJ77</f>
        <v>-12600123.369813425</v>
      </c>
      <c r="AL76" s="21">
        <f t="shared" si="208"/>
        <v>1921447.4062470496</v>
      </c>
      <c r="AM76" s="21">
        <f>(SUM(AM15:AM18)-SUM(AM35:AM39))+SUM(AM68:AM72)+AL76</f>
        <v>-7818562.7370605879</v>
      </c>
      <c r="AN76" s="21">
        <f>(SUM(AN15:AN18)-SUM(AN35:AN39))+SUM(AN68:AN72)+AM76+AM77</f>
        <v>-13235536.150635812</v>
      </c>
      <c r="AO76" s="21">
        <f t="shared" si="208"/>
        <v>-15186894.375978801</v>
      </c>
      <c r="AP76" s="21">
        <f t="shared" si="208"/>
        <v>-15389786.463479688</v>
      </c>
      <c r="AQ76" s="21">
        <f t="shared" si="208"/>
        <v>-16873436.442342494</v>
      </c>
      <c r="AR76" s="21">
        <f t="shared" si="208"/>
        <v>-15896051.025564544</v>
      </c>
      <c r="AS76" s="21">
        <f t="shared" si="208"/>
        <v>-19575784.089925922</v>
      </c>
      <c r="AT76" s="21">
        <f t="shared" si="208"/>
        <v>-20901611.473403435</v>
      </c>
      <c r="AU76" s="21">
        <f t="shared" si="208"/>
        <v>-20901483.945012175</v>
      </c>
      <c r="AV76" s="21">
        <f>(SUM(AV15:AV18)-SUM(AV35:AV39))+SUM(AV68:AV72)+AU76+AU77</f>
        <v>-21633567.078110576</v>
      </c>
      <c r="AW76" s="21">
        <f t="shared" ref="AW76:BH76" si="209">(SUM(AW15:AW18)-SUM(AW35:AW39))+SUM(AW68:AW72)+AV76+AV77</f>
        <v>-20374409.462019686</v>
      </c>
      <c r="AX76" s="21">
        <f>(SUM(AX15:AX18)-SUM(AX35:AX39))+SUM(AX68:AX72)+AW76+AW77</f>
        <v>-5745152.5804213621</v>
      </c>
      <c r="AY76" s="21">
        <f>(SUM(AY15:AY18)-SUM(AY35:AY39))+SUM(AY68:AY72)+AX76+AX77</f>
        <v>-9832298.8260856662</v>
      </c>
      <c r="AZ76" s="229">
        <f>(SUM(AZ15:AZ18)-SUM(AZ35:AZ39))+SUM(AZ68:AZ72)+AY76</f>
        <v>-11216705.849807814</v>
      </c>
      <c r="BA76" s="21">
        <f>(SUM(BA15:BA18)-SUM(BA35:BA39))+SUM(BA68:BA72)+AZ76+AZ77</f>
        <v>-11875161.938603763</v>
      </c>
      <c r="BB76" s="229">
        <f>(SUM(BB15:BB18)-SUM(BB35:BB39))+SUM(BB68:BB72)+BA76</f>
        <v>-12942902.817227207</v>
      </c>
      <c r="BC76" s="21">
        <f t="shared" si="209"/>
        <v>-11362291.668015037</v>
      </c>
      <c r="BD76" s="21">
        <f t="shared" si="209"/>
        <v>-11704785.10605688</v>
      </c>
      <c r="BE76" s="21">
        <f t="shared" si="209"/>
        <v>-11639622.343560576</v>
      </c>
      <c r="BF76" s="21">
        <f t="shared" si="209"/>
        <v>-13299827.394189745</v>
      </c>
      <c r="BG76" s="21">
        <f t="shared" si="209"/>
        <v>-14628973.835324032</v>
      </c>
      <c r="BH76" s="21">
        <f t="shared" si="209"/>
        <v>-13809051.343825439</v>
      </c>
      <c r="BI76" s="21">
        <f t="shared" ref="BI76" si="210">(SUM(BI15:BI18)-SUM(BI35:BI39))+SUM(BI68:BI72)+BH76+BH77</f>
        <v>-14918678.016935004</v>
      </c>
      <c r="BJ76" s="21">
        <f t="shared" ref="BJ76" si="211">(SUM(BJ15:BJ18)-SUM(BJ35:BJ39))+SUM(BJ68:BJ72)+BI76+BI77</f>
        <v>2869546.3906963896</v>
      </c>
      <c r="BK76" s="21">
        <f t="shared" ref="BK76" si="212">(SUM(BK15:BK18)-SUM(BK35:BK39))+SUM(BK68:BK72)+BJ76+BJ77</f>
        <v>-565233.27590872394</v>
      </c>
      <c r="BL76" s="21">
        <f t="shared" ref="BL76" si="213">(SUM(BL15:BL18)-SUM(BL35:BL39))+SUM(BL68:BL72)+BK76+BK77</f>
        <v>-4417590.5165127115</v>
      </c>
      <c r="BM76" s="21">
        <f t="shared" ref="BM76" si="214">(SUM(BM15:BM18)-SUM(BM35:BM39))+SUM(BM68:BM72)+BL76+BL77</f>
        <v>-5885417.3711459041</v>
      </c>
      <c r="BN76" s="21">
        <f t="shared" ref="BN76" si="215">(SUM(BN15:BN18)-SUM(BN35:BN39))+SUM(BN68:BN72)+BM76+BM77</f>
        <v>-6593743.933441855</v>
      </c>
      <c r="BO76" s="21">
        <f t="shared" ref="BO76" si="216">(SUM(BO15:BO18)-SUM(BO35:BO39))+SUM(BO68:BO72)+BN76+BN77</f>
        <v>-6842915.377073356</v>
      </c>
      <c r="BP76" s="21">
        <f t="shared" ref="BP76" si="217">(SUM(BP15:BP18)-SUM(BP35:BP39))+SUM(BP68:BP72)+BO76+BO77</f>
        <v>-6898744.4732419588</v>
      </c>
      <c r="BQ76" s="21">
        <f t="shared" ref="BQ76" si="218">(SUM(BQ15:BQ18)-SUM(BQ35:BQ39))+SUM(BQ68:BQ72)+BP76+BP77</f>
        <v>-9010452.7690349072</v>
      </c>
      <c r="BR76" s="21">
        <f t="shared" ref="BR76" si="219">(SUM(BR15:BR18)-SUM(BR35:BR39))+SUM(BR68:BR72)+BQ76+BQ77</f>
        <v>-9408110.5702307243</v>
      </c>
      <c r="BS76" s="21">
        <f>(SUM(BS15:BS18)-SUM(BS35:BS39))+SUM(BS68:BS72)+BR76+BR77</f>
        <v>-11347694.577393834</v>
      </c>
      <c r="BT76" s="21">
        <f t="shared" ref="BT76" si="220">(SUM(BT15:BT18)-SUM(BT35:BT39))+SUM(BT68:BT72)+BS76+BS77</f>
        <v>-10302861.985202253</v>
      </c>
      <c r="BU76" s="72">
        <f>(SUM(BU15:BU18)-SUM(BU35:BU39))+SUM(BU68:BU72)+BT76</f>
        <v>-8479412.0726089254</v>
      </c>
      <c r="BV76" s="21">
        <f>(SUM(BV15:BV18)-SUM(BV35:BV39))+SUM(BV68:BV72)+BU76</f>
        <v>4937510.3646673877</v>
      </c>
      <c r="BW76" s="75">
        <f>(SUM(BW15:BW18)-SUM(BW35:BW39))+SUM(BW68:BW72)+BV76</f>
        <v>-2199884.3255346017</v>
      </c>
    </row>
    <row r="77" spans="1:78" x14ac:dyDescent="0.25">
      <c r="B77" s="132"/>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45" t="s">
        <v>156</v>
      </c>
      <c r="AM77" s="239">
        <f>SUM(AM78:AM82)</f>
        <v>-696083.9377521642</v>
      </c>
      <c r="AN77" s="133"/>
      <c r="AO77" s="133"/>
      <c r="AP77" s="133"/>
      <c r="AQ77" s="133"/>
      <c r="AR77" s="133"/>
      <c r="AS77" s="133"/>
      <c r="AT77" s="133"/>
      <c r="AU77" s="133"/>
      <c r="AV77" s="133"/>
      <c r="AW77" s="133"/>
      <c r="AX77" s="275"/>
      <c r="AY77" s="277">
        <f>SUM(AY78:AY82)</f>
        <v>-558.33848963666242</v>
      </c>
      <c r="AZ77" s="275"/>
      <c r="BA77" s="277">
        <f>SUM(BA78:BA82)</f>
        <v>-896.80000000007692</v>
      </c>
      <c r="BB77" s="133"/>
      <c r="BC77" s="133"/>
      <c r="BD77" s="133"/>
      <c r="BE77" s="133"/>
      <c r="BF77" s="133"/>
      <c r="BG77" s="133"/>
      <c r="BH77" s="133"/>
      <c r="BI77" s="133"/>
      <c r="BJ77" s="133"/>
      <c r="BK77" s="133"/>
      <c r="BL77" s="133"/>
      <c r="BM77" s="133"/>
      <c r="BN77" s="133"/>
      <c r="BO77" s="133"/>
      <c r="BP77" s="133"/>
      <c r="BQ77" s="133"/>
      <c r="BR77" s="133"/>
      <c r="BS77" s="133"/>
      <c r="BT77" s="133"/>
      <c r="BU77" s="212"/>
      <c r="BV77" s="134"/>
      <c r="BW77" s="135"/>
    </row>
    <row r="78" spans="1:78" x14ac:dyDescent="0.25">
      <c r="A78" s="136" t="s">
        <v>0</v>
      </c>
      <c r="B78" s="66"/>
      <c r="AK78" s="3"/>
      <c r="AM78" s="238">
        <v>-112063.39590084087</v>
      </c>
      <c r="AX78" s="3"/>
      <c r="AY78" s="278">
        <f>'[2]MEEIA 3 calcs'!$AZ$5*(AX61/(SUM($AX$61:$AX$65)))</f>
        <v>-187.00416022598245</v>
      </c>
      <c r="AZ78" s="3"/>
      <c r="BA78" s="278">
        <v>-394.21327114246412</v>
      </c>
      <c r="BU78" s="237"/>
      <c r="BV78" s="31"/>
      <c r="BW78" s="67"/>
    </row>
    <row r="79" spans="1:78" x14ac:dyDescent="0.25">
      <c r="A79" s="136" t="s">
        <v>4</v>
      </c>
      <c r="B79" s="66"/>
      <c r="AM79" s="238">
        <v>-163973.95627627094</v>
      </c>
      <c r="AX79" s="3"/>
      <c r="AY79" s="278">
        <f>'[2]MEEIA 3 calcs'!$AZ$5*(AX62/(SUM($AX$61:$AX$65)))</f>
        <v>-108.95501656405328</v>
      </c>
      <c r="AZ79" s="3"/>
      <c r="BA79" s="278">
        <v>-137.65503663160916</v>
      </c>
      <c r="BU79" s="66"/>
      <c r="BV79" s="31"/>
      <c r="BW79" s="67"/>
    </row>
    <row r="80" spans="1:78" x14ac:dyDescent="0.25">
      <c r="A80" s="136" t="s">
        <v>5</v>
      </c>
      <c r="B80" s="66"/>
      <c r="AM80" s="238">
        <v>-295090.17501933238</v>
      </c>
      <c r="AX80" s="3"/>
      <c r="AY80" s="278">
        <f>'[2]MEEIA 3 calcs'!$AZ$5*(AX63/(SUM($AX$61:$AX$65)))</f>
        <v>-196.78949331747882</v>
      </c>
      <c r="AZ80" s="3"/>
      <c r="BA80" s="278">
        <v>-257.64124102762531</v>
      </c>
      <c r="BU80" s="66"/>
      <c r="BV80" s="31"/>
      <c r="BW80" s="67"/>
    </row>
    <row r="81" spans="1:75" x14ac:dyDescent="0.25">
      <c r="A81" s="136" t="s">
        <v>6</v>
      </c>
      <c r="B81" s="66"/>
      <c r="AM81" s="238">
        <v>-106613.35005726748</v>
      </c>
      <c r="AX81" s="3"/>
      <c r="AY81" s="278">
        <f>'[2]MEEIA 3 calcs'!$AZ$5*(AX64/(SUM($AX$61:$AX$65)))</f>
        <v>-63.576194031059885</v>
      </c>
      <c r="AZ81" s="3"/>
      <c r="BA81" s="278">
        <v>-93.590959290773441</v>
      </c>
      <c r="BU81" s="66"/>
      <c r="BV81" s="31"/>
      <c r="BW81" s="67"/>
    </row>
    <row r="82" spans="1:75" ht="15.75" thickBot="1" x14ac:dyDescent="0.3">
      <c r="A82" s="136" t="s">
        <v>7</v>
      </c>
      <c r="B82" s="101"/>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240">
        <v>-18343.060498452676</v>
      </c>
      <c r="AN82" s="90"/>
      <c r="AO82" s="90"/>
      <c r="AP82" s="90"/>
      <c r="AQ82" s="90"/>
      <c r="AR82" s="90"/>
      <c r="AS82" s="90"/>
      <c r="AT82" s="90"/>
      <c r="AU82" s="90"/>
      <c r="AV82" s="90"/>
      <c r="AW82" s="90"/>
      <c r="AX82" s="276"/>
      <c r="AY82" s="279">
        <f>'[2]MEEIA 3 calcs'!$AZ$5*(AX65/(SUM($AX$61:$AX$65)))</f>
        <v>-2.0136254980880284</v>
      </c>
      <c r="AZ82" s="276"/>
      <c r="BA82" s="279">
        <v>-13.699491907604832</v>
      </c>
      <c r="BB82" s="90"/>
      <c r="BC82" s="90"/>
      <c r="BD82" s="90"/>
      <c r="BE82" s="90"/>
      <c r="BF82" s="90"/>
      <c r="BG82" s="90"/>
      <c r="BH82" s="90"/>
      <c r="BI82" s="90"/>
      <c r="BJ82" s="90"/>
      <c r="BK82" s="90"/>
      <c r="BL82" s="90"/>
      <c r="BM82" s="90"/>
      <c r="BN82" s="90"/>
      <c r="BO82" s="90"/>
      <c r="BP82" s="90"/>
      <c r="BQ82" s="90"/>
      <c r="BR82" s="90"/>
      <c r="BS82" s="90"/>
      <c r="BT82" s="90"/>
      <c r="BU82" s="101"/>
      <c r="BV82" s="102"/>
      <c r="BW82" s="91"/>
    </row>
    <row r="83" spans="1:75" x14ac:dyDescent="0.25">
      <c r="D83" s="35"/>
      <c r="E83" s="34"/>
      <c r="F83" s="34"/>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row>
    <row r="84" spans="1:75" x14ac:dyDescent="0.25">
      <c r="W84" s="230"/>
      <c r="X84" s="31"/>
      <c r="Y84" s="31"/>
      <c r="Z84" s="31"/>
      <c r="AA84" s="31"/>
      <c r="AB84" s="31"/>
      <c r="AC84" s="31"/>
      <c r="AD84" s="31"/>
      <c r="AE84" s="31"/>
      <c r="AF84" s="31"/>
      <c r="AG84" s="31"/>
      <c r="AH84" s="31"/>
      <c r="AI84" s="31"/>
      <c r="AJ84" s="230"/>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row>
    <row r="85" spans="1:75" x14ac:dyDescent="0.2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row>
    <row r="86" spans="1:75" x14ac:dyDescent="0.25">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3"/>
    </row>
    <row r="87" spans="1:75" x14ac:dyDescent="0.2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row>
    <row r="89" spans="1:75" x14ac:dyDescent="0.2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3"/>
    </row>
  </sheetData>
  <mergeCells count="1">
    <mergeCell ref="BU13:BW13"/>
  </mergeCells>
  <pageMargins left="0.7" right="0.7" top="0.75" bottom="0.75" header="0.3" footer="0.3"/>
  <pageSetup scale="7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1444-F33B-4EBF-B7C0-BAB0E1008E28}">
  <sheetPr>
    <tabColor theme="8" tint="0.79998168889431442"/>
    <pageSetUpPr fitToPage="1"/>
  </sheetPr>
  <dimension ref="A1:BW89"/>
  <sheetViews>
    <sheetView zoomScale="80" zoomScaleNormal="80" workbookViewId="0">
      <pane xSplit="1" ySplit="14" topLeftCell="B15" activePane="bottomRight" state="frozen"/>
      <selection activeCell="AY76" sqref="AY76"/>
      <selection pane="topRight" activeCell="AY76" sqref="AY76"/>
      <selection pane="bottomLeft" activeCell="AY76" sqref="AY76"/>
      <selection pane="bottomRight" activeCell="I30" sqref="I30"/>
    </sheetView>
  </sheetViews>
  <sheetFormatPr defaultColWidth="9.140625" defaultRowHeight="15" x14ac:dyDescent="0.25"/>
  <cols>
    <col min="1" max="1" width="28.42578125" customWidth="1"/>
    <col min="2" max="2" width="15.28515625" customWidth="1"/>
    <col min="3" max="3" width="17.28515625" bestFit="1" customWidth="1"/>
    <col min="4" max="4" width="16.7109375" customWidth="1"/>
    <col min="5" max="5" width="16.140625" customWidth="1"/>
    <col min="6" max="6" width="15.85546875" bestFit="1" customWidth="1"/>
    <col min="7" max="7" width="16" customWidth="1"/>
    <col min="8" max="8" width="15" bestFit="1" customWidth="1"/>
    <col min="9" max="10" width="16" bestFit="1" customWidth="1"/>
    <col min="11" max="11" width="16" customWidth="1"/>
    <col min="12" max="12" width="16" bestFit="1" customWidth="1"/>
    <col min="13" max="72" width="16" customWidth="1"/>
    <col min="73" max="73" width="16.42578125" customWidth="1"/>
    <col min="74" max="74" width="17.28515625" customWidth="1"/>
    <col min="75" max="75" width="16.85546875" customWidth="1"/>
    <col min="76" max="76" width="13.85546875" bestFit="1" customWidth="1"/>
    <col min="77" max="78" width="10.85546875" bestFit="1" customWidth="1"/>
    <col min="79" max="79" width="12.7109375" bestFit="1" customWidth="1"/>
  </cols>
  <sheetData>
    <row r="1" spans="1:75" x14ac:dyDescent="0.25">
      <c r="A1" t="s">
        <v>173</v>
      </c>
    </row>
    <row r="2" spans="1:75" x14ac:dyDescent="0.25">
      <c r="B2" s="125" t="s">
        <v>76</v>
      </c>
      <c r="J2" s="2" t="s">
        <v>26</v>
      </c>
      <c r="K2" s="2"/>
    </row>
    <row r="3" spans="1:75" x14ac:dyDescent="0.25">
      <c r="B3" s="52" t="s">
        <v>63</v>
      </c>
      <c r="C3" s="52" t="s">
        <v>77</v>
      </c>
      <c r="D3" s="52" t="s">
        <v>96</v>
      </c>
      <c r="E3" s="52" t="s">
        <v>90</v>
      </c>
      <c r="F3" s="52" t="s">
        <v>64</v>
      </c>
      <c r="G3" s="52" t="s">
        <v>78</v>
      </c>
      <c r="H3" s="2"/>
      <c r="I3" s="2" t="s">
        <v>79</v>
      </c>
      <c r="J3" s="2"/>
    </row>
    <row r="4" spans="1:75" x14ac:dyDescent="0.25">
      <c r="A4" t="s">
        <v>0</v>
      </c>
      <c r="B4" s="21">
        <f>SUM(B42:D42)</f>
        <v>0</v>
      </c>
      <c r="C4" s="53">
        <f>SUM(B28:D28)</f>
        <v>3606070409.1773643</v>
      </c>
      <c r="D4" s="21">
        <f>SUM(B21:D21)</f>
        <v>946702.22881507478</v>
      </c>
      <c r="E4" s="21">
        <f>-B4+D4</f>
        <v>946702.22881507478</v>
      </c>
      <c r="F4" s="74">
        <f>SUM(B68:D68)</f>
        <v>3897.8444640039233</v>
      </c>
      <c r="G4" s="26">
        <f>E4+F4</f>
        <v>950600.0732790787</v>
      </c>
      <c r="H4" s="2"/>
      <c r="I4" s="2" t="s">
        <v>93</v>
      </c>
      <c r="J4" s="2"/>
    </row>
    <row r="5" spans="1:75" x14ac:dyDescent="0.25">
      <c r="A5" t="s">
        <v>4</v>
      </c>
      <c r="B5" s="21">
        <f>SUM(B43:D43)</f>
        <v>0</v>
      </c>
      <c r="C5" s="53">
        <f>SUM(B29:D29)</f>
        <v>816931550.67580676</v>
      </c>
      <c r="D5" s="21">
        <f>SUM(B22:D22)</f>
        <v>18350.516630566628</v>
      </c>
      <c r="E5" s="21">
        <f>-B5+D5</f>
        <v>18350.516630566628</v>
      </c>
      <c r="F5" s="74">
        <f>SUM(B69:D69)</f>
        <v>75.554337449476904</v>
      </c>
      <c r="G5" s="26">
        <f>E5+F5</f>
        <v>18426.070968016105</v>
      </c>
      <c r="H5" s="2"/>
      <c r="I5" s="2" t="s">
        <v>92</v>
      </c>
      <c r="J5" s="2"/>
      <c r="AX5" s="3"/>
      <c r="AY5" s="3"/>
    </row>
    <row r="6" spans="1:75" x14ac:dyDescent="0.25">
      <c r="A6" t="s">
        <v>5</v>
      </c>
      <c r="B6" s="21">
        <f>SUM(B44:D44)</f>
        <v>0</v>
      </c>
      <c r="C6" s="53">
        <f>SUM(B30:D30)</f>
        <v>1639501688.5073209</v>
      </c>
      <c r="D6" s="21">
        <f>SUM(B23:D23)</f>
        <v>34415.3378353238</v>
      </c>
      <c r="E6" s="21">
        <f>-B6+D6</f>
        <v>34415.3378353238</v>
      </c>
      <c r="F6" s="74">
        <f>SUM(B70:D70)</f>
        <v>141.69781159820755</v>
      </c>
      <c r="G6" s="26">
        <f>E6+F6</f>
        <v>34557.035646922006</v>
      </c>
      <c r="H6" s="2"/>
      <c r="I6" s="2" t="s">
        <v>94</v>
      </c>
      <c r="J6" s="2"/>
      <c r="AA6" s="202"/>
      <c r="AB6" s="202"/>
      <c r="AC6" s="3"/>
      <c r="AF6" s="202"/>
      <c r="AG6" s="202"/>
      <c r="AH6" s="3"/>
      <c r="AX6" s="3"/>
      <c r="AY6" s="3"/>
    </row>
    <row r="7" spans="1:75" x14ac:dyDescent="0.25">
      <c r="A7" t="s">
        <v>6</v>
      </c>
      <c r="B7" s="21">
        <f>SUM(B45:D45)</f>
        <v>0</v>
      </c>
      <c r="C7" s="53">
        <f>SUM(B31:D31)</f>
        <v>698219257.40765727</v>
      </c>
      <c r="D7" s="21">
        <f>SUM(B24:D24)</f>
        <v>14407.022300964671</v>
      </c>
      <c r="E7" s="21">
        <f>-B7+D7</f>
        <v>14407.022300964671</v>
      </c>
      <c r="F7" s="74">
        <f>SUM(B71:D71)</f>
        <v>59.31784082613116</v>
      </c>
      <c r="G7" s="26">
        <f>E7+F7</f>
        <v>14466.340141790803</v>
      </c>
      <c r="H7" s="2"/>
      <c r="I7" s="2" t="s">
        <v>80</v>
      </c>
      <c r="J7" s="2"/>
      <c r="AA7" s="202"/>
      <c r="AB7" s="202"/>
      <c r="AC7" s="3"/>
      <c r="AF7" s="202"/>
      <c r="AG7" s="202"/>
      <c r="AH7" s="3"/>
      <c r="AU7" s="31"/>
      <c r="AV7" s="31"/>
      <c r="AW7" s="31"/>
      <c r="AX7" s="3"/>
      <c r="AY7" s="3"/>
      <c r="AZ7" s="31"/>
      <c r="BA7" s="31"/>
      <c r="BB7" s="31"/>
      <c r="BC7" s="31"/>
      <c r="BD7" s="31"/>
      <c r="BE7" s="31"/>
      <c r="BF7" s="31"/>
      <c r="BG7" s="31"/>
      <c r="BH7" s="31"/>
      <c r="BI7" s="31"/>
      <c r="BJ7" s="31"/>
      <c r="BK7" s="31"/>
      <c r="BL7" s="31"/>
      <c r="BM7" s="31"/>
      <c r="BN7" s="31"/>
      <c r="BO7" s="31"/>
      <c r="BP7" s="31"/>
      <c r="BQ7" s="31"/>
      <c r="BR7" s="31"/>
      <c r="BS7" s="31"/>
    </row>
    <row r="8" spans="1:75" ht="15.75" thickBot="1" x14ac:dyDescent="0.3">
      <c r="A8" t="s">
        <v>7</v>
      </c>
      <c r="B8" s="21">
        <f>SUM(B46:D46)</f>
        <v>0</v>
      </c>
      <c r="C8" s="53">
        <f>SUM(B32:D32)</f>
        <v>201575407.01098382</v>
      </c>
      <c r="D8" s="21">
        <f>SUM(B25:D25)</f>
        <v>3947.3024703008391</v>
      </c>
      <c r="E8" s="21">
        <f>-B8+D8</f>
        <v>3947.3024703008391</v>
      </c>
      <c r="F8" s="74">
        <f>SUM(B72:D72)</f>
        <v>16.252175830270041</v>
      </c>
      <c r="G8" s="26">
        <f>E8+F8</f>
        <v>3963.5546461311092</v>
      </c>
      <c r="H8" s="2"/>
      <c r="I8" s="2" t="s">
        <v>108</v>
      </c>
      <c r="J8" s="2"/>
      <c r="AA8" s="202"/>
      <c r="AB8" s="202"/>
      <c r="AC8" s="3"/>
      <c r="AF8" s="202"/>
      <c r="AG8" s="202"/>
      <c r="AH8" s="3"/>
      <c r="AU8" s="249"/>
      <c r="AV8" s="249"/>
      <c r="AW8" s="249"/>
      <c r="AX8" s="3"/>
      <c r="AY8" s="3"/>
      <c r="AZ8" s="249"/>
      <c r="BA8" s="249"/>
      <c r="BB8" s="249"/>
      <c r="BC8" s="249"/>
      <c r="BD8" s="249"/>
      <c r="BE8" s="249"/>
      <c r="BF8" s="249"/>
      <c r="BG8" s="249"/>
      <c r="BH8" s="249"/>
      <c r="BI8" s="249"/>
      <c r="BJ8" s="249"/>
      <c r="BK8" s="249"/>
      <c r="BL8" s="249"/>
      <c r="BM8" s="249"/>
      <c r="BN8" s="249"/>
      <c r="BO8" s="249"/>
      <c r="BP8" s="249"/>
      <c r="BQ8" s="249"/>
      <c r="BR8" s="249"/>
      <c r="BS8" s="249"/>
    </row>
    <row r="9" spans="1:75" ht="16.5" thickTop="1" thickBot="1" x14ac:dyDescent="0.3">
      <c r="B9" s="54">
        <f>SUM(B4:B8)</f>
        <v>0</v>
      </c>
      <c r="C9" s="122">
        <f t="shared" ref="C9:G9" si="0">SUM(C4:C8)</f>
        <v>6962298312.7791338</v>
      </c>
      <c r="D9" s="54">
        <f>SUM(D4:D8)</f>
        <v>1017822.4080522307</v>
      </c>
      <c r="E9" s="86">
        <f>SUM(E4:E8)</f>
        <v>1017822.4080522307</v>
      </c>
      <c r="F9" s="86">
        <f t="shared" si="0"/>
        <v>4190.6666297080092</v>
      </c>
      <c r="G9" s="54">
        <f t="shared" si="0"/>
        <v>1022013.0746819386</v>
      </c>
      <c r="H9" s="2"/>
      <c r="I9" s="2" t="s">
        <v>109</v>
      </c>
      <c r="J9" s="2"/>
      <c r="AA9" s="202"/>
      <c r="AB9" s="202"/>
      <c r="AC9" s="3"/>
      <c r="AF9" s="202"/>
      <c r="AG9" s="202"/>
      <c r="AH9" s="3"/>
      <c r="AU9" s="159"/>
      <c r="AV9" s="159"/>
      <c r="AW9" s="159"/>
      <c r="AX9" s="3"/>
      <c r="AY9" s="3"/>
      <c r="AZ9" s="159"/>
      <c r="BA9" s="159"/>
      <c r="BB9" s="159"/>
      <c r="BC9" s="159"/>
      <c r="BD9" s="159"/>
      <c r="BE9" s="159"/>
      <c r="BF9" s="159"/>
      <c r="BG9" s="159"/>
      <c r="BH9" s="159"/>
      <c r="BI9" s="159"/>
      <c r="BJ9" s="159"/>
      <c r="BK9" s="159"/>
      <c r="BL9" s="159"/>
      <c r="BM9" s="159"/>
      <c r="BN9" s="159"/>
      <c r="BO9" s="159"/>
      <c r="BP9" s="159"/>
      <c r="BQ9" s="159"/>
      <c r="BR9" s="159"/>
      <c r="BS9" s="159"/>
    </row>
    <row r="10" spans="1:75" ht="16.5" thickTop="1" thickBot="1" x14ac:dyDescent="0.3">
      <c r="E10" s="23"/>
      <c r="F10" s="23" t="s">
        <v>25</v>
      </c>
      <c r="G10" s="18">
        <f>F9-SUM(B51:D51)</f>
        <v>-3.3702919909046614E-3</v>
      </c>
      <c r="I10" s="2" t="s">
        <v>110</v>
      </c>
      <c r="J10" s="2"/>
      <c r="K10" s="2"/>
      <c r="AC10" s="31"/>
      <c r="AG10" s="202"/>
      <c r="AH10" s="202"/>
      <c r="AI10" s="3"/>
      <c r="AV10" s="197"/>
      <c r="AW10" s="197"/>
      <c r="AX10" s="197"/>
      <c r="AY10" s="3"/>
      <c r="AZ10" s="3"/>
      <c r="BA10" s="159"/>
      <c r="BB10" s="197"/>
      <c r="BC10" s="197"/>
      <c r="BD10" s="197"/>
      <c r="BE10" s="197"/>
      <c r="BF10" s="197"/>
      <c r="BG10" s="197"/>
      <c r="BH10" s="197"/>
      <c r="BI10" s="197"/>
      <c r="BJ10" s="197"/>
      <c r="BK10" s="197"/>
      <c r="BL10" s="197"/>
      <c r="BM10" s="197"/>
      <c r="BN10" s="197"/>
      <c r="BO10" s="197"/>
      <c r="BP10" s="197"/>
      <c r="BQ10" s="197"/>
      <c r="BR10" s="197"/>
      <c r="BS10" s="197"/>
      <c r="BT10" s="197"/>
      <c r="BU10" s="3"/>
      <c r="BV10" s="3"/>
      <c r="BW10" s="3"/>
    </row>
    <row r="11" spans="1:75" ht="15.75" thickTop="1" x14ac:dyDescent="0.25">
      <c r="D11" s="3"/>
      <c r="F11" s="2"/>
      <c r="I11" s="2" t="s">
        <v>111</v>
      </c>
      <c r="J11" s="2"/>
      <c r="K11" s="2"/>
      <c r="AY11" s="274"/>
      <c r="BA11" s="274"/>
    </row>
    <row r="12" spans="1:75" ht="15.75" thickBot="1" x14ac:dyDescent="0.3">
      <c r="B12" s="34"/>
      <c r="C12" s="34"/>
      <c r="D12" s="34"/>
      <c r="E12" s="34"/>
      <c r="F12" s="34"/>
      <c r="G12" s="34"/>
      <c r="H12" s="34"/>
      <c r="I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1"/>
      <c r="BV12" s="31"/>
    </row>
    <row r="13" spans="1:75" ht="15.75" thickBot="1" x14ac:dyDescent="0.3">
      <c r="B13" s="323" t="s">
        <v>66</v>
      </c>
      <c r="C13" s="324"/>
      <c r="D13" s="325"/>
    </row>
    <row r="14" spans="1:75" x14ac:dyDescent="0.25">
      <c r="A14" t="s">
        <v>82</v>
      </c>
      <c r="B14" s="58">
        <v>45597</v>
      </c>
      <c r="C14" s="59">
        <f>EDATE(B14,1)</f>
        <v>45627</v>
      </c>
      <c r="D14" s="60">
        <f>EDATE(C14,1)</f>
        <v>45658</v>
      </c>
      <c r="E14" s="1"/>
      <c r="F14" s="1"/>
      <c r="G14" s="1"/>
      <c r="H14" s="1"/>
      <c r="I14" s="1"/>
      <c r="J14" s="1"/>
      <c r="K14" s="1"/>
    </row>
    <row r="15" spans="1:75" x14ac:dyDescent="0.25">
      <c r="A15" t="s">
        <v>0</v>
      </c>
      <c r="B15" s="93">
        <f>'[1]PPC.2, PCR.1F'!H28</f>
        <v>0</v>
      </c>
      <c r="C15" s="94">
        <f>'[1]PPC.2, PCR.1F'!I28</f>
        <v>0</v>
      </c>
      <c r="D15" s="95">
        <f>'[1]PPC.2, PCR.1F'!J28</f>
        <v>862189.06402896566</v>
      </c>
    </row>
    <row r="16" spans="1:75" x14ac:dyDescent="0.25">
      <c r="A16" t="s">
        <v>1</v>
      </c>
      <c r="B16" s="93">
        <f>'[1]PPC.2, PCR.1F'!H29</f>
        <v>0</v>
      </c>
      <c r="C16" s="94">
        <f>'[1]PPC.2, PCR.1F'!I29</f>
        <v>0</v>
      </c>
      <c r="D16" s="95">
        <f>'[1]PPC.2, PCR.1F'!J29</f>
        <v>0</v>
      </c>
    </row>
    <row r="17" spans="1:8" x14ac:dyDescent="0.25">
      <c r="A17" t="s">
        <v>2</v>
      </c>
      <c r="B17" s="93">
        <f>'[1]PPC.2, PCR.1F'!H30</f>
        <v>0</v>
      </c>
      <c r="C17" s="94">
        <f>'[1]PPC.2, PCR.1F'!I30</f>
        <v>0</v>
      </c>
      <c r="D17" s="95">
        <f>'[1]PPC.2, PCR.1F'!J30</f>
        <v>155633.34402326509</v>
      </c>
    </row>
    <row r="18" spans="1:8" x14ac:dyDescent="0.25">
      <c r="A18" t="s">
        <v>3</v>
      </c>
      <c r="B18" s="93">
        <f>'[1]PPC.2, PCR.1F'!H31</f>
        <v>0</v>
      </c>
      <c r="C18" s="94">
        <f>'[1]PPC.2, PCR.1F'!I31</f>
        <v>0</v>
      </c>
      <c r="D18" s="95">
        <f>'[1]PPC.2, PCR.1F'!J31</f>
        <v>0</v>
      </c>
    </row>
    <row r="19" spans="1:8" x14ac:dyDescent="0.25">
      <c r="B19" s="168"/>
      <c r="C19" s="152"/>
      <c r="D19" s="169"/>
    </row>
    <row r="20" spans="1:8" x14ac:dyDescent="0.25">
      <c r="A20" t="s">
        <v>83</v>
      </c>
      <c r="B20" s="65"/>
      <c r="D20" s="67"/>
    </row>
    <row r="21" spans="1:8" x14ac:dyDescent="0.25">
      <c r="A21" t="s">
        <v>0</v>
      </c>
      <c r="B21" s="72">
        <f>B15+((B28/SUM(B$28:B$32))*B$17)+((B28/SUM(B$28:B$32))*B$18)</f>
        <v>0</v>
      </c>
      <c r="C21" s="73">
        <f>C15+((C28/SUM(C$28:C$32))*C$17)+((C28/SUM(C$28:C$32))*C$18)</f>
        <v>0</v>
      </c>
      <c r="D21" s="75">
        <f>D15+((D28/SUM(D$28:D$32))*D$17)+((D28/SUM(D$28:D$32))*D$18)</f>
        <v>946702.22881507478</v>
      </c>
    </row>
    <row r="22" spans="1:8" x14ac:dyDescent="0.25">
      <c r="A22" t="s">
        <v>4</v>
      </c>
      <c r="B22" s="72">
        <f>((B29/SUM(B$29:B$32))*B$16)+((B29/SUM(B$28:B$32))*B$17)+((B29/SUM(B$28:B$32))*B$18)</f>
        <v>0</v>
      </c>
      <c r="C22" s="73">
        <f t="shared" ref="C22" si="1">((C29/SUM(C$29:C$32))*C$16)+((C29/SUM(C$28:C$32))*C$17)+((C29/SUM(C$28:C$32))*C$18)</f>
        <v>0</v>
      </c>
      <c r="D22" s="75">
        <f t="shared" ref="C22:D25" si="2">((D29/SUM(D$29:D$32))*D$16)+((D29/SUM(D$28:D$32))*D$17)+((D29/SUM(D$28:D$32))*D$18)</f>
        <v>18350.516630566628</v>
      </c>
    </row>
    <row r="23" spans="1:8" x14ac:dyDescent="0.25">
      <c r="A23" t="s">
        <v>5</v>
      </c>
      <c r="B23" s="72">
        <f>((B30/SUM(B$29:B$32))*B$16)+((B30/SUM(B$28:B$32))*B$17)+((B30/SUM(B$28:B$32))*B$18)</f>
        <v>0</v>
      </c>
      <c r="C23" s="73">
        <f t="shared" si="2"/>
        <v>0</v>
      </c>
      <c r="D23" s="75">
        <f t="shared" si="2"/>
        <v>34415.3378353238</v>
      </c>
    </row>
    <row r="24" spans="1:8" x14ac:dyDescent="0.25">
      <c r="A24" t="s">
        <v>6</v>
      </c>
      <c r="B24" s="72">
        <f>((B31/SUM(B$29:B$32))*B$16)+((B31/SUM(B$28:B$32))*B$17)+((B31/SUM(B$28:B$32))*B$18)</f>
        <v>0</v>
      </c>
      <c r="C24" s="73">
        <f t="shared" si="2"/>
        <v>0</v>
      </c>
      <c r="D24" s="75">
        <f t="shared" si="2"/>
        <v>14407.022300964671</v>
      </c>
    </row>
    <row r="25" spans="1:8" x14ac:dyDescent="0.25">
      <c r="A25" t="s">
        <v>7</v>
      </c>
      <c r="B25" s="72">
        <f>((B32/SUM(B$29:B$32))*B$16)+((B32/SUM(B$28:B$32))*B$17)+((B32/SUM(B$28:B$32))*B$18)</f>
        <v>0</v>
      </c>
      <c r="C25" s="73">
        <f t="shared" si="2"/>
        <v>0</v>
      </c>
      <c r="D25" s="75">
        <f t="shared" si="2"/>
        <v>3947.3024703008391</v>
      </c>
    </row>
    <row r="26" spans="1:8" x14ac:dyDescent="0.25">
      <c r="B26" s="65"/>
      <c r="D26" s="67"/>
    </row>
    <row r="27" spans="1:8" x14ac:dyDescent="0.25">
      <c r="A27" t="s">
        <v>84</v>
      </c>
      <c r="B27" s="65"/>
      <c r="D27" s="67"/>
    </row>
    <row r="28" spans="1:8" x14ac:dyDescent="0.25">
      <c r="A28" t="s">
        <v>0</v>
      </c>
      <c r="B28" s="142">
        <f>'[2]M4 Allocations - TD'!B23</f>
        <v>961721412.71587527</v>
      </c>
      <c r="C28" s="143">
        <f>'[2]M4 Allocations - TD'!C23</f>
        <v>1214824095.0295494</v>
      </c>
      <c r="D28" s="144">
        <f>'[2]M4 Allocations - TD'!D23</f>
        <v>1429524901.4319398</v>
      </c>
      <c r="F28" s="34"/>
      <c r="H28" s="34"/>
    </row>
    <row r="29" spans="1:8" x14ac:dyDescent="0.25">
      <c r="A29" t="s">
        <v>4</v>
      </c>
      <c r="B29" s="142">
        <f>'[2]M4 Allocations - TD'!B24</f>
        <v>230556313.97548485</v>
      </c>
      <c r="C29" s="143">
        <f>'[2]M4 Allocations - TD'!C24</f>
        <v>275979565.87286288</v>
      </c>
      <c r="D29" s="144">
        <f>'[2]M4 Allocations - TD'!D24</f>
        <v>310395670.82745898</v>
      </c>
      <c r="E29" s="34"/>
      <c r="F29" s="34"/>
      <c r="H29" s="34"/>
    </row>
    <row r="30" spans="1:8" x14ac:dyDescent="0.25">
      <c r="A30" t="s">
        <v>5</v>
      </c>
      <c r="B30" s="142">
        <f>'[2]M4 Allocations - TD'!B25</f>
        <v>503402364.62291127</v>
      </c>
      <c r="C30" s="143">
        <f>'[2]M4 Allocations - TD'!C25</f>
        <v>553970107.07777035</v>
      </c>
      <c r="D30" s="144">
        <f>'[2]M4 Allocations - TD'!D25</f>
        <v>582129216.80663931</v>
      </c>
      <c r="E30" s="34"/>
      <c r="F30" s="34"/>
      <c r="H30" s="34"/>
    </row>
    <row r="31" spans="1:8" x14ac:dyDescent="0.25">
      <c r="A31" t="s">
        <v>6</v>
      </c>
      <c r="B31" s="142">
        <f>'[2]M4 Allocations - TD'!B26</f>
        <v>220932655.9857884</v>
      </c>
      <c r="C31" s="143">
        <f>'[2]M4 Allocations - TD'!C26</f>
        <v>233594424.1517618</v>
      </c>
      <c r="D31" s="144">
        <f>'[2]M4 Allocations - TD'!D26</f>
        <v>243692177.27010703</v>
      </c>
      <c r="E31" s="34"/>
      <c r="F31" s="34"/>
      <c r="H31" s="34"/>
    </row>
    <row r="32" spans="1:8" x14ac:dyDescent="0.25">
      <c r="A32" t="s">
        <v>7</v>
      </c>
      <c r="B32" s="142">
        <f>'[2]M4 Allocations - TD'!B27</f>
        <v>67785624.340276375</v>
      </c>
      <c r="C32" s="143">
        <f>'[2]M4 Allocations - TD'!C27</f>
        <v>67021875.10198836</v>
      </c>
      <c r="D32" s="144">
        <f>'[2]M4 Allocations - TD'!D27</f>
        <v>66767907.568719082</v>
      </c>
      <c r="E32" s="34"/>
      <c r="F32" s="34"/>
      <c r="H32" s="34"/>
    </row>
    <row r="33" spans="1:5" x14ac:dyDescent="0.25">
      <c r="B33" s="65"/>
      <c r="D33" s="67"/>
    </row>
    <row r="34" spans="1:5" x14ac:dyDescent="0.25">
      <c r="A34" t="s">
        <v>86</v>
      </c>
      <c r="B34" s="65"/>
      <c r="D34" s="67"/>
      <c r="E34" t="s">
        <v>102</v>
      </c>
    </row>
    <row r="35" spans="1:5" x14ac:dyDescent="0.25">
      <c r="A35" t="str">
        <f>A28</f>
        <v>RES</v>
      </c>
      <c r="B35" s="72">
        <f>B28*$E35+B49</f>
        <v>0</v>
      </c>
      <c r="C35" s="73">
        <f>C28*$E35+C49</f>
        <v>0</v>
      </c>
      <c r="D35" s="75">
        <f>D28*$E35+D49</f>
        <v>0</v>
      </c>
      <c r="E35" s="70">
        <v>0</v>
      </c>
    </row>
    <row r="36" spans="1:5" x14ac:dyDescent="0.25">
      <c r="A36" t="str">
        <f>A29</f>
        <v>SGS</v>
      </c>
      <c r="B36" s="72">
        <f>B29*$E36</f>
        <v>0</v>
      </c>
      <c r="C36" s="73">
        <f>C29*$E36</f>
        <v>0</v>
      </c>
      <c r="D36" s="75">
        <f>D29*$E36</f>
        <v>0</v>
      </c>
      <c r="E36" s="70">
        <v>0</v>
      </c>
    </row>
    <row r="37" spans="1:5" x14ac:dyDescent="0.25">
      <c r="A37" t="str">
        <f>A30</f>
        <v>LGS</v>
      </c>
      <c r="B37" s="72">
        <f>B30*$E37</f>
        <v>0</v>
      </c>
      <c r="C37" s="73">
        <f t="shared" ref="B37:D39" si="3">C30*$E37</f>
        <v>0</v>
      </c>
      <c r="D37" s="75">
        <f t="shared" si="3"/>
        <v>0</v>
      </c>
      <c r="E37" s="70">
        <v>0</v>
      </c>
    </row>
    <row r="38" spans="1:5" x14ac:dyDescent="0.25">
      <c r="A38" t="str">
        <f>A31</f>
        <v>SPS</v>
      </c>
      <c r="B38" s="72">
        <f>B31*$E38</f>
        <v>0</v>
      </c>
      <c r="C38" s="73">
        <f t="shared" si="3"/>
        <v>0</v>
      </c>
      <c r="D38" s="75">
        <f t="shared" si="3"/>
        <v>0</v>
      </c>
      <c r="E38" s="70">
        <v>0</v>
      </c>
    </row>
    <row r="39" spans="1:5" x14ac:dyDescent="0.25">
      <c r="A39" t="str">
        <f>A32</f>
        <v>LPS</v>
      </c>
      <c r="B39" s="72">
        <f t="shared" si="3"/>
        <v>0</v>
      </c>
      <c r="C39" s="73">
        <f t="shared" si="3"/>
        <v>0</v>
      </c>
      <c r="D39" s="75">
        <f t="shared" si="3"/>
        <v>0</v>
      </c>
      <c r="E39" s="70">
        <v>0</v>
      </c>
    </row>
    <row r="40" spans="1:5" x14ac:dyDescent="0.25">
      <c r="B40" s="65"/>
      <c r="D40" s="67"/>
    </row>
    <row r="41" spans="1:5" x14ac:dyDescent="0.25">
      <c r="A41" t="s">
        <v>100</v>
      </c>
      <c r="B41" s="65"/>
      <c r="D41" s="67"/>
    </row>
    <row r="42" spans="1:5" x14ac:dyDescent="0.25">
      <c r="A42" t="s">
        <v>0</v>
      </c>
      <c r="B42" s="72">
        <f>+(B35-B49)+((B49*B28)/SUM(B28:B32))</f>
        <v>0</v>
      </c>
      <c r="C42" s="73">
        <f>+(C35-C49)+((C49*C28)/SUM(C28:C32))</f>
        <v>0</v>
      </c>
      <c r="D42" s="75">
        <f>+(D35-D49)+((D49*D28)/SUM(D28:D32))</f>
        <v>0</v>
      </c>
    </row>
    <row r="43" spans="1:5" x14ac:dyDescent="0.25">
      <c r="A43" t="s">
        <v>4</v>
      </c>
      <c r="B43" s="72">
        <f>+B36+((B49*B29)/SUM(B28:B32))</f>
        <v>0</v>
      </c>
      <c r="C43" s="73">
        <f t="shared" ref="C43" si="4">+C36+((C49*C29)/SUM(C28:C32))</f>
        <v>0</v>
      </c>
      <c r="D43" s="75">
        <f>+D36+((D49*D29)/SUM(D28:D32))</f>
        <v>0</v>
      </c>
    </row>
    <row r="44" spans="1:5" x14ac:dyDescent="0.25">
      <c r="A44" t="s">
        <v>5</v>
      </c>
      <c r="B44" s="72">
        <f>+B37+((B49*B30)/SUM(B28:B32))</f>
        <v>0</v>
      </c>
      <c r="C44" s="73">
        <f t="shared" ref="C44" si="5">+C37+((C49*C30)/SUM(C28:C32))</f>
        <v>0</v>
      </c>
      <c r="D44" s="75">
        <f>+D37+((D49*D30)/SUM(D28:D32))</f>
        <v>0</v>
      </c>
    </row>
    <row r="45" spans="1:5" x14ac:dyDescent="0.25">
      <c r="A45" t="s">
        <v>6</v>
      </c>
      <c r="B45" s="72">
        <f>+B38+((B49*B31)/SUM(B28:B32))</f>
        <v>0</v>
      </c>
      <c r="C45" s="73">
        <f t="shared" ref="C45" si="6">+C38+((C49*C31)/SUM(C28:C32))</f>
        <v>0</v>
      </c>
      <c r="D45" s="75">
        <f>+D38+((D49*D31)/SUM(D28:D32))</f>
        <v>0</v>
      </c>
    </row>
    <row r="46" spans="1:5" x14ac:dyDescent="0.25">
      <c r="A46" t="s">
        <v>7</v>
      </c>
      <c r="B46" s="72">
        <f>+B39+((B49*B32)/SUM(B28:B32))</f>
        <v>0</v>
      </c>
      <c r="C46" s="73">
        <f t="shared" ref="C46" si="7">+C39+((C49*C32)/SUM(C28:C32))</f>
        <v>0</v>
      </c>
      <c r="D46" s="75">
        <f>+D39+((D49*D32)/SUM(D28:D32))</f>
        <v>0</v>
      </c>
    </row>
    <row r="47" spans="1:5" x14ac:dyDescent="0.25">
      <c r="B47" s="66"/>
      <c r="D47" s="67"/>
    </row>
    <row r="48" spans="1:5" x14ac:dyDescent="0.25">
      <c r="A48" t="s">
        <v>101</v>
      </c>
      <c r="B48" s="65"/>
      <c r="D48" s="67"/>
    </row>
    <row r="49" spans="1:5" x14ac:dyDescent="0.25">
      <c r="A49" t="str">
        <f>A35</f>
        <v>RES</v>
      </c>
      <c r="B49" s="72">
        <f>-(B28*$E$35*PPC!$B$14)</f>
        <v>0</v>
      </c>
      <c r="C49" s="21">
        <f>-(C28*$E$35*PPC!$B$14)</f>
        <v>0</v>
      </c>
      <c r="D49" s="75">
        <f>-(D28*$E$35*PPC!$B$14)</f>
        <v>0</v>
      </c>
      <c r="E49" s="137"/>
    </row>
    <row r="50" spans="1:5" x14ac:dyDescent="0.25">
      <c r="B50" s="71"/>
      <c r="C50" s="3"/>
      <c r="D50" s="67"/>
    </row>
    <row r="51" spans="1:5" ht="15.75" thickBot="1" x14ac:dyDescent="0.3">
      <c r="A51" t="s">
        <v>91</v>
      </c>
      <c r="B51" s="63">
        <f>'[2]MEEIA 4 calcs'!$C$10</f>
        <v>0</v>
      </c>
      <c r="C51" s="64">
        <f>'[2]MEEIA 4 calcs'!$D$10</f>
        <v>0</v>
      </c>
      <c r="D51" s="103">
        <f>'[2]MEEIA 4 calcs'!$E$10</f>
        <v>4190.67</v>
      </c>
    </row>
    <row r="52" spans="1:5" x14ac:dyDescent="0.25">
      <c r="B52" s="98"/>
      <c r="C52" s="99"/>
      <c r="D52" s="100"/>
    </row>
    <row r="53" spans="1:5" x14ac:dyDescent="0.25">
      <c r="A53" t="s">
        <v>68</v>
      </c>
      <c r="B53" s="65"/>
      <c r="D53" s="67"/>
    </row>
    <row r="54" spans="1:5" x14ac:dyDescent="0.25">
      <c r="A54" t="s">
        <v>0</v>
      </c>
      <c r="B54" s="72">
        <f>B21-B42</f>
        <v>0</v>
      </c>
      <c r="C54" s="21">
        <f>C21-C42</f>
        <v>0</v>
      </c>
      <c r="D54" s="75">
        <f t="shared" ref="B54:D58" si="8">D21-D42</f>
        <v>946702.22881507478</v>
      </c>
    </row>
    <row r="55" spans="1:5" x14ac:dyDescent="0.25">
      <c r="A55" t="s">
        <v>4</v>
      </c>
      <c r="B55" s="72">
        <f t="shared" si="8"/>
        <v>0</v>
      </c>
      <c r="C55" s="21">
        <f t="shared" si="8"/>
        <v>0</v>
      </c>
      <c r="D55" s="75">
        <f t="shared" si="8"/>
        <v>18350.516630566628</v>
      </c>
    </row>
    <row r="56" spans="1:5" x14ac:dyDescent="0.25">
      <c r="A56" t="s">
        <v>5</v>
      </c>
      <c r="B56" s="72">
        <f t="shared" si="8"/>
        <v>0</v>
      </c>
      <c r="C56" s="21">
        <f t="shared" si="8"/>
        <v>0</v>
      </c>
      <c r="D56" s="75">
        <f t="shared" si="8"/>
        <v>34415.3378353238</v>
      </c>
    </row>
    <row r="57" spans="1:5" x14ac:dyDescent="0.25">
      <c r="A57" t="s">
        <v>6</v>
      </c>
      <c r="B57" s="72">
        <f t="shared" si="8"/>
        <v>0</v>
      </c>
      <c r="C57" s="21">
        <f t="shared" si="8"/>
        <v>0</v>
      </c>
      <c r="D57" s="75">
        <f t="shared" si="8"/>
        <v>14407.022300964671</v>
      </c>
    </row>
    <row r="58" spans="1:5" x14ac:dyDescent="0.25">
      <c r="A58" t="s">
        <v>7</v>
      </c>
      <c r="B58" s="72">
        <f t="shared" si="8"/>
        <v>0</v>
      </c>
      <c r="C58" s="21">
        <f t="shared" si="8"/>
        <v>0</v>
      </c>
      <c r="D58" s="75">
        <f t="shared" si="8"/>
        <v>3947.3024703008391</v>
      </c>
    </row>
    <row r="59" spans="1:5" x14ac:dyDescent="0.25">
      <c r="B59" s="65"/>
      <c r="D59" s="67"/>
    </row>
    <row r="60" spans="1:5" x14ac:dyDescent="0.25">
      <c r="A60" t="s">
        <v>69</v>
      </c>
      <c r="B60" s="65"/>
      <c r="D60" s="67"/>
    </row>
    <row r="61" spans="1:5" x14ac:dyDescent="0.25">
      <c r="A61" t="s">
        <v>0</v>
      </c>
      <c r="B61" s="72">
        <f>+B54</f>
        <v>0</v>
      </c>
      <c r="C61" s="21">
        <f>B61+C54+B68</f>
        <v>0</v>
      </c>
      <c r="D61" s="75">
        <f>C61+D54+C68</f>
        <v>946702.22881507478</v>
      </c>
    </row>
    <row r="62" spans="1:5" x14ac:dyDescent="0.25">
      <c r="A62" t="s">
        <v>4</v>
      </c>
      <c r="B62" s="72">
        <f>+B55</f>
        <v>0</v>
      </c>
      <c r="C62" s="21">
        <f t="shared" ref="C62:C65" si="9">B62+C55+B69</f>
        <v>0</v>
      </c>
      <c r="D62" s="75">
        <f>C62+D55+C69</f>
        <v>18350.516630566628</v>
      </c>
    </row>
    <row r="63" spans="1:5" x14ac:dyDescent="0.25">
      <c r="A63" t="s">
        <v>5</v>
      </c>
      <c r="B63" s="72">
        <f>+B56</f>
        <v>0</v>
      </c>
      <c r="C63" s="21">
        <f t="shared" si="9"/>
        <v>0</v>
      </c>
      <c r="D63" s="75">
        <f>C63+D56+C70</f>
        <v>34415.3378353238</v>
      </c>
    </row>
    <row r="64" spans="1:5" x14ac:dyDescent="0.25">
      <c r="A64" t="s">
        <v>6</v>
      </c>
      <c r="B64" s="72">
        <f>+B57</f>
        <v>0</v>
      </c>
      <c r="C64" s="21">
        <f t="shared" si="9"/>
        <v>0</v>
      </c>
      <c r="D64" s="75">
        <f>C64+D57+C71</f>
        <v>14407.022300964671</v>
      </c>
    </row>
    <row r="65" spans="1:7" x14ac:dyDescent="0.25">
      <c r="A65" t="s">
        <v>7</v>
      </c>
      <c r="B65" s="72">
        <f>+B58</f>
        <v>0</v>
      </c>
      <c r="C65" s="21">
        <f t="shared" si="9"/>
        <v>0</v>
      </c>
      <c r="D65" s="75">
        <f>C65+D58+C72</f>
        <v>3947.3024703008391</v>
      </c>
    </row>
    <row r="66" spans="1:7" x14ac:dyDescent="0.25">
      <c r="B66" s="65"/>
      <c r="D66" s="67"/>
    </row>
    <row r="67" spans="1:7" x14ac:dyDescent="0.25">
      <c r="A67" t="s">
        <v>64</v>
      </c>
      <c r="B67" s="187">
        <f>'PCR (M3)'!BU67</f>
        <v>4.1172866666666667E-3</v>
      </c>
      <c r="C67" s="127">
        <f>+B67</f>
        <v>4.1172866666666667E-3</v>
      </c>
      <c r="D67" s="157">
        <f>+C67</f>
        <v>4.1172866666666667E-3</v>
      </c>
    </row>
    <row r="68" spans="1:7" x14ac:dyDescent="0.25">
      <c r="A68" t="s">
        <v>0</v>
      </c>
      <c r="B68" s="72">
        <f>B61*B$67</f>
        <v>0</v>
      </c>
      <c r="C68" s="21">
        <f>C61*C$67</f>
        <v>0</v>
      </c>
      <c r="D68" s="75">
        <f t="shared" ref="D68" si="10">D61*D$67</f>
        <v>3897.8444640039233</v>
      </c>
    </row>
    <row r="69" spans="1:7" x14ac:dyDescent="0.25">
      <c r="A69" t="s">
        <v>4</v>
      </c>
      <c r="B69" s="72">
        <f t="shared" ref="B69:D72" si="11">B62*B$67</f>
        <v>0</v>
      </c>
      <c r="C69" s="21">
        <f t="shared" si="11"/>
        <v>0</v>
      </c>
      <c r="D69" s="75">
        <f t="shared" si="11"/>
        <v>75.554337449476904</v>
      </c>
    </row>
    <row r="70" spans="1:7" x14ac:dyDescent="0.25">
      <c r="A70" t="s">
        <v>5</v>
      </c>
      <c r="B70" s="72">
        <f t="shared" si="11"/>
        <v>0</v>
      </c>
      <c r="C70" s="21">
        <f t="shared" si="11"/>
        <v>0</v>
      </c>
      <c r="D70" s="75">
        <f t="shared" si="11"/>
        <v>141.69781159820755</v>
      </c>
    </row>
    <row r="71" spans="1:7" x14ac:dyDescent="0.25">
      <c r="A71" t="s">
        <v>6</v>
      </c>
      <c r="B71" s="72">
        <f t="shared" si="11"/>
        <v>0</v>
      </c>
      <c r="C71" s="21">
        <f t="shared" si="11"/>
        <v>0</v>
      </c>
      <c r="D71" s="75">
        <f t="shared" si="11"/>
        <v>59.31784082613116</v>
      </c>
    </row>
    <row r="72" spans="1:7" ht="15.75" thickBot="1" x14ac:dyDescent="0.3">
      <c r="A72" t="s">
        <v>7</v>
      </c>
      <c r="B72" s="72">
        <f t="shared" si="11"/>
        <v>0</v>
      </c>
      <c r="C72" s="21">
        <f t="shared" si="11"/>
        <v>0</v>
      </c>
      <c r="D72" s="75">
        <f t="shared" si="11"/>
        <v>16.252175830270041</v>
      </c>
      <c r="G72" s="266"/>
    </row>
    <row r="73" spans="1:7" ht="16.5" thickTop="1" thickBot="1" x14ac:dyDescent="0.3">
      <c r="A73" s="84" t="s">
        <v>70</v>
      </c>
      <c r="B73" s="87">
        <f>SUM(B68:B72)+SUM(B61:B65)-B76</f>
        <v>0</v>
      </c>
      <c r="C73" s="54">
        <f>SUM(C68:C72)+SUM(C61:C65)-C76</f>
        <v>0</v>
      </c>
      <c r="D73" s="88">
        <f>SUM(D68:D72)+SUM(D61:D65)-D76</f>
        <v>0</v>
      </c>
    </row>
    <row r="74" spans="1:7" ht="16.5" thickTop="1" thickBot="1" x14ac:dyDescent="0.3">
      <c r="A74" s="84" t="s">
        <v>71</v>
      </c>
      <c r="B74" s="87">
        <f>SUM(B68:B72)-B51</f>
        <v>0</v>
      </c>
      <c r="C74" s="205">
        <f>SUM(C68:C72)-C51</f>
        <v>0</v>
      </c>
      <c r="D74" s="213">
        <f>SUM(D68:D72)-D51</f>
        <v>-3.3702919909046614E-3</v>
      </c>
    </row>
    <row r="75" spans="1:7" ht="15.75" thickTop="1" x14ac:dyDescent="0.25">
      <c r="B75" s="65"/>
      <c r="D75" s="67"/>
    </row>
    <row r="76" spans="1:7" x14ac:dyDescent="0.25">
      <c r="A76" t="s">
        <v>72</v>
      </c>
      <c r="B76" s="72">
        <f>(SUM(B15:B18)-SUM(B35:B39))+SUM(B68:B72)</f>
        <v>0</v>
      </c>
      <c r="C76" s="21">
        <f>(SUM(C15:C18)-SUM(C35:C39))+SUM(C68:C72)+B76</f>
        <v>0</v>
      </c>
      <c r="D76" s="75">
        <f>(SUM(D15:D18)-SUM(D35:D39))+SUM(D68:D72)+C76</f>
        <v>1022013.0746819387</v>
      </c>
    </row>
    <row r="77" spans="1:7" x14ac:dyDescent="0.25">
      <c r="B77" s="212"/>
      <c r="C77" s="134"/>
      <c r="D77" s="135"/>
    </row>
    <row r="78" spans="1:7" x14ac:dyDescent="0.25">
      <c r="A78" s="136" t="s">
        <v>0</v>
      </c>
      <c r="B78" s="237"/>
      <c r="C78" s="31"/>
      <c r="D78" s="67"/>
    </row>
    <row r="79" spans="1:7" x14ac:dyDescent="0.25">
      <c r="A79" s="136" t="s">
        <v>4</v>
      </c>
      <c r="B79" s="66"/>
      <c r="C79" s="31"/>
      <c r="D79" s="67"/>
    </row>
    <row r="80" spans="1:7" x14ac:dyDescent="0.25">
      <c r="A80" s="136" t="s">
        <v>5</v>
      </c>
      <c r="B80" s="66"/>
      <c r="C80" s="31"/>
      <c r="D80" s="67"/>
    </row>
    <row r="81" spans="1:75" x14ac:dyDescent="0.25">
      <c r="A81" s="136" t="s">
        <v>6</v>
      </c>
      <c r="B81" s="66"/>
      <c r="C81" s="31"/>
      <c r="D81" s="67"/>
    </row>
    <row r="82" spans="1:75" ht="15.75" thickBot="1" x14ac:dyDescent="0.3">
      <c r="A82" s="136" t="s">
        <v>7</v>
      </c>
      <c r="B82" s="101"/>
      <c r="C82" s="102"/>
      <c r="D82" s="91"/>
    </row>
    <row r="84" spans="1:75" x14ac:dyDescent="0.25">
      <c r="A84" s="230"/>
      <c r="B84" s="31"/>
      <c r="C84" s="31"/>
      <c r="D84" s="31"/>
    </row>
    <row r="85" spans="1:75" x14ac:dyDescent="0.2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row>
    <row r="86" spans="1:75" x14ac:dyDescent="0.25">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3"/>
    </row>
    <row r="87" spans="1:75" x14ac:dyDescent="0.2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row>
    <row r="89" spans="1:75" x14ac:dyDescent="0.2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3"/>
    </row>
  </sheetData>
  <mergeCells count="1">
    <mergeCell ref="B13:D13"/>
  </mergeCell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79998168889431442"/>
  </sheetPr>
  <dimension ref="A1:AA57"/>
  <sheetViews>
    <sheetView workbookViewId="0">
      <selection activeCell="E18" sqref="E18"/>
    </sheetView>
  </sheetViews>
  <sheetFormatPr defaultRowHeight="15" x14ac:dyDescent="0.25"/>
  <cols>
    <col min="1" max="1" width="17.5703125" customWidth="1"/>
    <col min="2" max="2" width="15.5703125" customWidth="1"/>
    <col min="3" max="3" width="15.140625" customWidth="1"/>
    <col min="4" max="4" width="16.140625" customWidth="1"/>
    <col min="5" max="5" width="13.85546875" bestFit="1" customWidth="1"/>
  </cols>
  <sheetData>
    <row r="1" spans="1:5" x14ac:dyDescent="0.25">
      <c r="A1" s="6" t="s">
        <v>165</v>
      </c>
    </row>
    <row r="2" spans="1:5" x14ac:dyDescent="0.25">
      <c r="B2" s="42" t="s">
        <v>59</v>
      </c>
      <c r="C2" s="42"/>
      <c r="E2" s="2" t="s">
        <v>26</v>
      </c>
    </row>
    <row r="3" spans="1:5" x14ac:dyDescent="0.25">
      <c r="B3" s="326" t="s">
        <v>61</v>
      </c>
      <c r="C3" s="326"/>
      <c r="E3" s="2" t="s">
        <v>60</v>
      </c>
    </row>
    <row r="4" spans="1:5" x14ac:dyDescent="0.25">
      <c r="B4" s="52" t="s">
        <v>146</v>
      </c>
      <c r="C4" s="52" t="s">
        <v>163</v>
      </c>
      <c r="E4" s="2"/>
    </row>
    <row r="5" spans="1:5" x14ac:dyDescent="0.25">
      <c r="A5" s="19" t="s">
        <v>0</v>
      </c>
      <c r="B5" s="29">
        <f>'[2]M3 Allocations - TD'!CH39</f>
        <v>1018523.3501884519</v>
      </c>
      <c r="C5" s="29">
        <f>'[2]M4 Allocations - TD'!P39</f>
        <v>850461.4832296127</v>
      </c>
    </row>
    <row r="6" spans="1:5" x14ac:dyDescent="0.25">
      <c r="A6" s="19" t="s">
        <v>4</v>
      </c>
      <c r="B6" s="29">
        <f>'[2]M3 Allocations - TD'!CH40</f>
        <v>787914.4549988975</v>
      </c>
      <c r="C6" s="29">
        <f>'[2]M4 Allocations - TD'!P40</f>
        <v>98759.319825821323</v>
      </c>
      <c r="D6" s="2"/>
    </row>
    <row r="7" spans="1:5" x14ac:dyDescent="0.25">
      <c r="A7" s="19" t="s">
        <v>5</v>
      </c>
      <c r="B7" s="29">
        <f>'[2]M3 Allocations - TD'!CH41</f>
        <v>1459406.6893896144</v>
      </c>
      <c r="C7" s="29">
        <f>'[2]M4 Allocations - TD'!P41</f>
        <v>505631.49478679895</v>
      </c>
      <c r="D7" s="2"/>
    </row>
    <row r="8" spans="1:5" x14ac:dyDescent="0.25">
      <c r="A8" s="19" t="s">
        <v>6</v>
      </c>
      <c r="B8" s="29">
        <f>'[2]M3 Allocations - TD'!CH42</f>
        <v>492171.17950438627</v>
      </c>
      <c r="C8" s="29">
        <f>'[2]M4 Allocations - TD'!P42</f>
        <v>164665.62000262106</v>
      </c>
    </row>
    <row r="9" spans="1:5" ht="15.75" thickBot="1" x14ac:dyDescent="0.3">
      <c r="A9" s="19" t="s">
        <v>7</v>
      </c>
      <c r="B9" s="29">
        <f>'[2]M3 Allocations - TD'!CH43</f>
        <v>88903.202190548065</v>
      </c>
      <c r="C9" s="29">
        <f>'[2]M4 Allocations - TD'!P43</f>
        <v>30720.546477511649</v>
      </c>
    </row>
    <row r="10" spans="1:5" ht="16.5" thickTop="1" thickBot="1" x14ac:dyDescent="0.3">
      <c r="A10" s="19" t="s">
        <v>9</v>
      </c>
      <c r="B10" s="41">
        <f>SUM(B5:B9)</f>
        <v>3846918.8762718979</v>
      </c>
      <c r="C10" s="41">
        <f>SUM(C5:C9)</f>
        <v>1650238.4643223658</v>
      </c>
    </row>
    <row r="11" spans="1:5" ht="15.75" thickTop="1" x14ac:dyDescent="0.25">
      <c r="C11" s="3"/>
      <c r="D11" s="5"/>
    </row>
    <row r="12" spans="1:5" x14ac:dyDescent="0.25">
      <c r="C12" s="3"/>
    </row>
    <row r="13" spans="1:5" x14ac:dyDescent="0.25">
      <c r="C13" s="3"/>
      <c r="D13" s="3"/>
    </row>
    <row r="14" spans="1:5" x14ac:dyDescent="0.25">
      <c r="D14" s="3"/>
    </row>
    <row r="18" spans="5:27" x14ac:dyDescent="0.25">
      <c r="R18" s="1"/>
      <c r="S18" s="1"/>
      <c r="T18" s="1"/>
      <c r="U18" s="1"/>
      <c r="V18" s="1"/>
      <c r="W18" s="1"/>
      <c r="X18" s="1"/>
      <c r="Y18" s="1"/>
      <c r="Z18" s="1"/>
      <c r="AA18" s="1"/>
    </row>
    <row r="26" spans="5:27" x14ac:dyDescent="0.25">
      <c r="E26" s="36"/>
    </row>
    <row r="48" spans="2:2" x14ac:dyDescent="0.25">
      <c r="B48" s="5"/>
    </row>
    <row r="52" spans="2:4" x14ac:dyDescent="0.25">
      <c r="B52" s="5"/>
      <c r="D52" s="5"/>
    </row>
    <row r="53" spans="2:4" x14ac:dyDescent="0.25">
      <c r="C53" s="5"/>
    </row>
    <row r="56" spans="2:4" x14ac:dyDescent="0.25">
      <c r="D56" s="5"/>
    </row>
    <row r="57" spans="2:4" x14ac:dyDescent="0.25">
      <c r="C57" s="5"/>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sheetPr>
  <dimension ref="A1:DD75"/>
  <sheetViews>
    <sheetView zoomScale="80" zoomScaleNormal="80" workbookViewId="0">
      <pane xSplit="1" ySplit="14" topLeftCell="B15" activePane="bottomRight" state="frozen"/>
      <selection activeCell="B5" sqref="B5:B9"/>
      <selection pane="topRight" activeCell="B5" sqref="B5:B9"/>
      <selection pane="bottomLeft" activeCell="B5" sqref="B5:B9"/>
      <selection pane="bottomRight" activeCell="P8" sqref="P8"/>
    </sheetView>
  </sheetViews>
  <sheetFormatPr defaultColWidth="9.140625" defaultRowHeight="15" x14ac:dyDescent="0.25"/>
  <cols>
    <col min="1" max="1" width="17.5703125" customWidth="1"/>
    <col min="2" max="2" width="16" customWidth="1"/>
    <col min="3" max="3" width="14.5703125" customWidth="1"/>
    <col min="4" max="4" width="15.140625" customWidth="1"/>
    <col min="5" max="5" width="16.140625" customWidth="1"/>
    <col min="6" max="6" width="14.28515625" bestFit="1" customWidth="1"/>
    <col min="7" max="7" width="16" customWidth="1"/>
    <col min="8" max="9" width="14.28515625" bestFit="1" customWidth="1"/>
    <col min="10" max="10" width="15.5703125" customWidth="1"/>
    <col min="11" max="18" width="14" customWidth="1"/>
    <col min="19" max="19" width="15.140625" bestFit="1" customWidth="1"/>
    <col min="20" max="95" width="14" customWidth="1"/>
    <col min="96" max="98" width="15.28515625" bestFit="1" customWidth="1"/>
  </cols>
  <sheetData>
    <row r="1" spans="1:108" x14ac:dyDescent="0.25">
      <c r="A1" t="s">
        <v>154</v>
      </c>
    </row>
    <row r="2" spans="1:108" x14ac:dyDescent="0.25">
      <c r="B2" s="125" t="s">
        <v>99</v>
      </c>
      <c r="I2" s="2" t="s">
        <v>26</v>
      </c>
    </row>
    <row r="3" spans="1:108" x14ac:dyDescent="0.25">
      <c r="B3" s="52" t="s">
        <v>112</v>
      </c>
      <c r="C3" s="52" t="s">
        <v>63</v>
      </c>
      <c r="D3" s="52" t="s">
        <v>75</v>
      </c>
      <c r="E3" s="52" t="s">
        <v>90</v>
      </c>
      <c r="F3" s="52" t="s">
        <v>64</v>
      </c>
      <c r="G3" s="52" t="s">
        <v>65</v>
      </c>
      <c r="I3" s="2" t="s">
        <v>89</v>
      </c>
    </row>
    <row r="4" spans="1:108" x14ac:dyDescent="0.25">
      <c r="A4" s="19" t="s">
        <v>0</v>
      </c>
      <c r="B4" s="21">
        <f>+N66</f>
        <v>7611905</v>
      </c>
      <c r="C4" s="21">
        <f>SUM(B29:CT29)</f>
        <v>45739291.503466427</v>
      </c>
      <c r="D4" s="21">
        <f>SUM(B15:CT15)</f>
        <v>38189868.470763572</v>
      </c>
      <c r="E4" s="21">
        <f>B4-C4+D4</f>
        <v>62481.967297144234</v>
      </c>
      <c r="F4" s="21">
        <f>SUM(B56:CT56)</f>
        <v>-35203.940514148315</v>
      </c>
      <c r="G4" s="26">
        <f>E4+F4</f>
        <v>27278.026782995919</v>
      </c>
      <c r="I4" s="2" t="s">
        <v>97</v>
      </c>
      <c r="BV4" s="36"/>
    </row>
    <row r="5" spans="1:108" x14ac:dyDescent="0.25">
      <c r="A5" s="19" t="s">
        <v>4</v>
      </c>
      <c r="B5" s="21">
        <f>+N67</f>
        <v>668388</v>
      </c>
      <c r="C5" s="21">
        <f>SUM(B30:CT30)</f>
        <v>13286227.931950079</v>
      </c>
      <c r="D5" s="21">
        <f>SUM(B16:CT16)</f>
        <v>12625960.252775971</v>
      </c>
      <c r="E5" s="21">
        <f t="shared" ref="E5:E8" si="0">B5-C5+D5</f>
        <v>8120.3208258915693</v>
      </c>
      <c r="F5" s="21">
        <f>SUM(B57:CT57)</f>
        <v>516.17728223632389</v>
      </c>
      <c r="G5" s="26">
        <f>E5+F5</f>
        <v>8636.4981081278929</v>
      </c>
      <c r="I5" s="2" t="s">
        <v>98</v>
      </c>
      <c r="V5" s="130"/>
      <c r="W5" s="130"/>
      <c r="X5" s="130"/>
      <c r="Y5" s="130"/>
      <c r="Z5" s="130"/>
      <c r="AA5" s="130"/>
      <c r="AB5" s="130"/>
      <c r="AC5" s="130"/>
      <c r="AD5" s="130"/>
      <c r="AE5" s="130"/>
      <c r="AF5" s="130"/>
      <c r="AG5" s="130"/>
      <c r="AH5" s="130"/>
      <c r="AI5" s="130"/>
      <c r="AJ5" s="130"/>
      <c r="AK5" s="130"/>
      <c r="AL5" s="130"/>
      <c r="AM5" s="130"/>
      <c r="AN5" s="130"/>
      <c r="AO5" s="130"/>
      <c r="BV5" s="36"/>
    </row>
    <row r="6" spans="1:108" x14ac:dyDescent="0.25">
      <c r="A6" s="19" t="s">
        <v>5</v>
      </c>
      <c r="B6" s="21">
        <f>+N68</f>
        <v>905881</v>
      </c>
      <c r="C6" s="21">
        <f>SUM(B31:CT31)</f>
        <v>26935354.825756229</v>
      </c>
      <c r="D6" s="21">
        <f>SUM(B17:CT17)</f>
        <v>26046543.08598239</v>
      </c>
      <c r="E6" s="21">
        <f t="shared" si="0"/>
        <v>17069.260226160288</v>
      </c>
      <c r="F6" s="21">
        <f>SUM(B58:CT58)</f>
        <v>7254.4878776898713</v>
      </c>
      <c r="G6" s="26">
        <f>E6+F6</f>
        <v>24323.748103850157</v>
      </c>
      <c r="I6" s="2" t="s">
        <v>116</v>
      </c>
      <c r="V6" s="130"/>
      <c r="W6" s="130"/>
      <c r="X6" s="130"/>
      <c r="Y6" s="130"/>
      <c r="Z6" s="130"/>
      <c r="AA6" s="130"/>
      <c r="AB6" s="130"/>
      <c r="AC6" s="130"/>
      <c r="AD6" s="130"/>
      <c r="AE6" s="130"/>
      <c r="AF6" s="130"/>
      <c r="AG6" s="130"/>
      <c r="AH6" s="130"/>
      <c r="AI6" s="130"/>
      <c r="AJ6" s="130"/>
      <c r="AK6" s="130"/>
      <c r="AL6" s="130"/>
      <c r="AM6" s="130"/>
      <c r="AN6" s="130"/>
      <c r="AO6" s="130"/>
      <c r="BV6" s="36"/>
      <c r="CH6" s="36"/>
    </row>
    <row r="7" spans="1:108" x14ac:dyDescent="0.25">
      <c r="A7" s="19" t="s">
        <v>6</v>
      </c>
      <c r="B7" s="21">
        <f>+N69</f>
        <v>2477462</v>
      </c>
      <c r="C7" s="21">
        <f>SUM(B32:CT32)</f>
        <v>13580200.817590237</v>
      </c>
      <c r="D7" s="21">
        <f>SUM(B18:CT18)</f>
        <v>11112183.52490074</v>
      </c>
      <c r="E7" s="21">
        <f t="shared" si="0"/>
        <v>9444.7073105033487</v>
      </c>
      <c r="F7" s="21">
        <f>SUM(B59:CT59)</f>
        <v>-1646.3753215624361</v>
      </c>
      <c r="G7" s="26">
        <f>E7+F7</f>
        <v>7798.3319889409122</v>
      </c>
      <c r="I7" s="2" t="s">
        <v>81</v>
      </c>
      <c r="Q7" s="268"/>
      <c r="S7" s="267"/>
      <c r="T7" s="267"/>
      <c r="U7" s="267"/>
      <c r="V7" s="130"/>
      <c r="W7" s="130"/>
      <c r="X7" s="130"/>
      <c r="Y7" s="130"/>
      <c r="Z7" s="130"/>
      <c r="AA7" s="130"/>
      <c r="AB7" s="130"/>
      <c r="AC7" s="130"/>
      <c r="AD7" s="130"/>
      <c r="AE7" s="130"/>
      <c r="AF7" s="130"/>
      <c r="AG7" s="130"/>
      <c r="AH7" s="130"/>
      <c r="AI7" s="130"/>
      <c r="AJ7" s="130"/>
      <c r="AK7" s="130"/>
      <c r="AL7" s="130"/>
      <c r="AM7" s="130"/>
      <c r="AN7" s="130"/>
      <c r="AO7" s="130"/>
      <c r="BV7" s="36"/>
      <c r="CH7" s="36"/>
    </row>
    <row r="8" spans="1:108" ht="15.75" thickBot="1" x14ac:dyDescent="0.3">
      <c r="A8" s="19" t="s">
        <v>7</v>
      </c>
      <c r="B8" s="21">
        <f>+N70</f>
        <v>1878286</v>
      </c>
      <c r="C8" s="21">
        <f>SUM(B33:CT33)</f>
        <v>4146025.8812370477</v>
      </c>
      <c r="D8" s="21">
        <f>SUM(B19:CT19)</f>
        <v>2261157.9855773323</v>
      </c>
      <c r="E8" s="21">
        <f t="shared" si="0"/>
        <v>-6581.8956597154029</v>
      </c>
      <c r="F8" s="21">
        <f>SUM(B60:CT60)</f>
        <v>8029.3644707287649</v>
      </c>
      <c r="G8" s="26">
        <f>E8+F8</f>
        <v>1447.468811013362</v>
      </c>
      <c r="I8" s="2" t="s">
        <v>95</v>
      </c>
      <c r="Q8" s="268"/>
      <c r="S8" s="267"/>
      <c r="T8" s="267"/>
      <c r="U8" s="267"/>
      <c r="V8" s="130"/>
      <c r="W8" s="130"/>
      <c r="X8" s="130"/>
      <c r="Y8" s="130"/>
      <c r="Z8" s="130"/>
      <c r="AA8" s="130"/>
      <c r="AB8" s="130"/>
      <c r="AC8" s="130"/>
      <c r="AD8" s="130"/>
      <c r="AE8" s="130"/>
      <c r="AF8" s="130"/>
      <c r="AG8" s="130"/>
      <c r="AH8" s="130"/>
      <c r="AI8" s="130"/>
      <c r="AJ8" s="130"/>
      <c r="AK8" s="130"/>
      <c r="AL8" s="130"/>
      <c r="AM8" s="130"/>
      <c r="AN8" s="130"/>
      <c r="AO8" s="130"/>
      <c r="BV8" s="36"/>
      <c r="CH8" s="36"/>
    </row>
    <row r="9" spans="1:108" ht="16.5" thickTop="1" thickBot="1" x14ac:dyDescent="0.3">
      <c r="B9" s="54">
        <f>SUM(B4:B8)</f>
        <v>13541922</v>
      </c>
      <c r="C9" s="54">
        <f t="shared" ref="C9:G9" si="1">SUM(C4:C8)</f>
        <v>103687100.96000002</v>
      </c>
      <c r="D9" s="54">
        <f t="shared" si="1"/>
        <v>90235713.320000008</v>
      </c>
      <c r="E9" s="54">
        <f t="shared" si="1"/>
        <v>90534.359999984037</v>
      </c>
      <c r="F9" s="54">
        <f t="shared" si="1"/>
        <v>-21050.286205055789</v>
      </c>
      <c r="G9" s="54">
        <f t="shared" si="1"/>
        <v>69484.073794928248</v>
      </c>
      <c r="I9" s="2" t="s">
        <v>115</v>
      </c>
      <c r="Q9" s="268"/>
      <c r="S9" s="267"/>
      <c r="T9" s="267"/>
      <c r="U9" s="267"/>
      <c r="V9" s="130"/>
      <c r="W9" s="130"/>
      <c r="X9" s="130"/>
      <c r="Y9" s="130"/>
      <c r="Z9" s="130"/>
      <c r="AA9" s="130"/>
      <c r="AB9" s="130"/>
      <c r="AC9" s="130"/>
      <c r="AD9" s="130"/>
      <c r="AE9" s="130"/>
      <c r="AF9" s="130"/>
      <c r="AG9" s="130"/>
      <c r="AH9" s="130"/>
      <c r="AI9" s="130"/>
      <c r="AJ9" s="130"/>
      <c r="AK9" s="130"/>
      <c r="AL9" s="130"/>
      <c r="AM9" s="130"/>
      <c r="AN9" s="130"/>
      <c r="AO9" s="130"/>
      <c r="CH9" s="36"/>
    </row>
    <row r="10" spans="1:108" ht="16.5" thickTop="1" thickBot="1" x14ac:dyDescent="0.3">
      <c r="E10" s="198" t="s">
        <v>25</v>
      </c>
      <c r="F10" s="18">
        <f>F9-SUM(B39:CT39)</f>
        <v>3.3794944221881451E-2</v>
      </c>
      <c r="Q10" s="268"/>
      <c r="S10" s="267"/>
      <c r="T10" s="267"/>
      <c r="U10" s="267"/>
      <c r="V10" s="267"/>
      <c r="W10" s="267"/>
      <c r="CH10" s="36"/>
    </row>
    <row r="11" spans="1:108" ht="15.75" thickTop="1" x14ac:dyDescent="0.25">
      <c r="F11" s="3"/>
      <c r="G11" s="3"/>
      <c r="Q11" s="268"/>
      <c r="S11" s="267"/>
      <c r="T11" s="267"/>
      <c r="U11" s="267"/>
      <c r="V11" s="267"/>
      <c r="W11" s="267"/>
    </row>
    <row r="12" spans="1:108" ht="15.75" thickBot="1" x14ac:dyDescent="0.3">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row>
    <row r="13" spans="1:108" ht="15.75" thickBot="1" x14ac:dyDescent="0.3">
      <c r="B13" s="55"/>
      <c r="C13" s="56"/>
      <c r="D13" s="57" t="s">
        <v>88</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5"/>
      <c r="BZ13" s="56"/>
      <c r="CA13" s="56"/>
      <c r="CB13" s="56"/>
      <c r="CC13" s="56"/>
      <c r="CD13" s="56"/>
      <c r="CE13" s="56"/>
      <c r="CF13" s="56"/>
      <c r="CG13" s="56"/>
      <c r="CH13" s="56"/>
      <c r="CI13" s="56"/>
      <c r="CJ13" s="56"/>
      <c r="CK13" s="56"/>
      <c r="CL13" s="56"/>
      <c r="CM13" s="56"/>
      <c r="CN13" s="56"/>
      <c r="CO13" s="56"/>
      <c r="CP13" s="56"/>
      <c r="CQ13" s="56"/>
      <c r="CR13" s="56"/>
      <c r="CS13" s="56"/>
      <c r="CT13" s="290"/>
    </row>
    <row r="14" spans="1:108" x14ac:dyDescent="0.25">
      <c r="A14" t="s">
        <v>74</v>
      </c>
      <c r="B14" s="58">
        <v>42370</v>
      </c>
      <c r="C14" s="59">
        <f>EDATE(B14,1)</f>
        <v>42401</v>
      </c>
      <c r="D14" s="59">
        <f t="shared" ref="D14:K14" si="2">EDATE(C14,1)</f>
        <v>42430</v>
      </c>
      <c r="E14" s="59">
        <f t="shared" si="2"/>
        <v>42461</v>
      </c>
      <c r="F14" s="59">
        <f t="shared" si="2"/>
        <v>42491</v>
      </c>
      <c r="G14" s="59">
        <f t="shared" si="2"/>
        <v>42522</v>
      </c>
      <c r="H14" s="59">
        <f t="shared" si="2"/>
        <v>42552</v>
      </c>
      <c r="I14" s="59">
        <f t="shared" si="2"/>
        <v>42583</v>
      </c>
      <c r="J14" s="59">
        <f t="shared" si="2"/>
        <v>42614</v>
      </c>
      <c r="K14" s="59">
        <f t="shared" si="2"/>
        <v>42644</v>
      </c>
      <c r="L14" s="59">
        <f t="shared" ref="L14" si="3">EDATE(K14,1)</f>
        <v>42675</v>
      </c>
      <c r="M14" s="59">
        <f t="shared" ref="M14" si="4">EDATE(L14,1)</f>
        <v>42705</v>
      </c>
      <c r="N14" s="59">
        <f t="shared" ref="N14" si="5">EDATE(M14,1)</f>
        <v>42736</v>
      </c>
      <c r="O14" s="59">
        <f t="shared" ref="O14" si="6">EDATE(N14,1)</f>
        <v>42767</v>
      </c>
      <c r="P14" s="59">
        <f t="shared" ref="P14" si="7">EDATE(O14,1)</f>
        <v>42795</v>
      </c>
      <c r="Q14" s="59">
        <f t="shared" ref="Q14" si="8">EDATE(P14,1)</f>
        <v>42826</v>
      </c>
      <c r="R14" s="59">
        <f t="shared" ref="R14" si="9">EDATE(Q14,1)</f>
        <v>42856</v>
      </c>
      <c r="S14" s="59">
        <f t="shared" ref="S14" si="10">EDATE(R14,1)</f>
        <v>42887</v>
      </c>
      <c r="T14" s="59">
        <f t="shared" ref="T14" si="11">EDATE(S14,1)</f>
        <v>42917</v>
      </c>
      <c r="U14" s="59">
        <f t="shared" ref="U14" si="12">EDATE(T14,1)</f>
        <v>42948</v>
      </c>
      <c r="V14" s="59">
        <f t="shared" ref="V14" si="13">EDATE(U14,1)</f>
        <v>42979</v>
      </c>
      <c r="W14" s="59">
        <f t="shared" ref="W14" si="14">EDATE(V14,1)</f>
        <v>43009</v>
      </c>
      <c r="X14" s="59">
        <f t="shared" ref="X14" si="15">EDATE(W14,1)</f>
        <v>43040</v>
      </c>
      <c r="Y14" s="59">
        <f t="shared" ref="Y14" si="16">EDATE(X14,1)</f>
        <v>43070</v>
      </c>
      <c r="Z14" s="59">
        <f t="shared" ref="Z14" si="17">EDATE(Y14,1)</f>
        <v>43101</v>
      </c>
      <c r="AA14" s="59">
        <f t="shared" ref="AA14" si="18">EDATE(Z14,1)</f>
        <v>43132</v>
      </c>
      <c r="AB14" s="59">
        <f t="shared" ref="AB14" si="19">EDATE(AA14,1)</f>
        <v>43160</v>
      </c>
      <c r="AC14" s="59">
        <f t="shared" ref="AC14" si="20">EDATE(AB14,1)</f>
        <v>43191</v>
      </c>
      <c r="AD14" s="59">
        <f t="shared" ref="AD14" si="21">EDATE(AC14,1)</f>
        <v>43221</v>
      </c>
      <c r="AE14" s="59">
        <f t="shared" ref="AE14" si="22">EDATE(AD14,1)</f>
        <v>43252</v>
      </c>
      <c r="AF14" s="59">
        <f t="shared" ref="AF14" si="23">EDATE(AE14,1)</f>
        <v>43282</v>
      </c>
      <c r="AG14" s="59">
        <f t="shared" ref="AG14" si="24">EDATE(AF14,1)</f>
        <v>43313</v>
      </c>
      <c r="AH14" s="59">
        <f t="shared" ref="AH14:AI14" si="25">EDATE(AG14,1)</f>
        <v>43344</v>
      </c>
      <c r="AI14" s="59">
        <f t="shared" si="25"/>
        <v>43374</v>
      </c>
      <c r="AJ14" s="59">
        <f t="shared" ref="AJ14" si="26">EDATE(AI14,1)</f>
        <v>43405</v>
      </c>
      <c r="AK14" s="59">
        <f t="shared" ref="AK14" si="27">EDATE(AJ14,1)</f>
        <v>43435</v>
      </c>
      <c r="AL14" s="59">
        <f t="shared" ref="AL14" si="28">EDATE(AK14,1)</f>
        <v>43466</v>
      </c>
      <c r="AM14" s="59">
        <f t="shared" ref="AM14" si="29">EDATE(AL14,1)</f>
        <v>43497</v>
      </c>
      <c r="AN14" s="59">
        <f t="shared" ref="AN14" si="30">EDATE(AM14,1)</f>
        <v>43525</v>
      </c>
      <c r="AO14" s="59">
        <f t="shared" ref="AO14" si="31">EDATE(AN14,1)</f>
        <v>43556</v>
      </c>
      <c r="AP14" s="59">
        <f t="shared" ref="AP14" si="32">EDATE(AO14,1)</f>
        <v>43586</v>
      </c>
      <c r="AQ14" s="59">
        <f t="shared" ref="AQ14" si="33">EDATE(AP14,1)</f>
        <v>43617</v>
      </c>
      <c r="AR14" s="59">
        <f t="shared" ref="AR14" si="34">EDATE(AQ14,1)</f>
        <v>43647</v>
      </c>
      <c r="AS14" s="59">
        <f t="shared" ref="AS14" si="35">EDATE(AR14,1)</f>
        <v>43678</v>
      </c>
      <c r="AT14" s="59">
        <f t="shared" ref="AT14" si="36">EDATE(AS14,1)</f>
        <v>43709</v>
      </c>
      <c r="AU14" s="59">
        <f t="shared" ref="AU14" si="37">EDATE(AT14,1)</f>
        <v>43739</v>
      </c>
      <c r="AV14" s="59">
        <f t="shared" ref="AV14" si="38">EDATE(AU14,1)</f>
        <v>43770</v>
      </c>
      <c r="AW14" s="59">
        <f t="shared" ref="AW14" si="39">EDATE(AV14,1)</f>
        <v>43800</v>
      </c>
      <c r="AX14" s="59">
        <f t="shared" ref="AX14" si="40">EDATE(AW14,1)</f>
        <v>43831</v>
      </c>
      <c r="AY14" s="59">
        <f t="shared" ref="AY14" si="41">EDATE(AX14,1)</f>
        <v>43862</v>
      </c>
      <c r="AZ14" s="59">
        <f t="shared" ref="AZ14" si="42">EDATE(AY14,1)</f>
        <v>43891</v>
      </c>
      <c r="BA14" s="59">
        <f t="shared" ref="BA14" si="43">EDATE(AZ14,1)</f>
        <v>43922</v>
      </c>
      <c r="BB14" s="59">
        <f t="shared" ref="BB14" si="44">EDATE(BA14,1)</f>
        <v>43952</v>
      </c>
      <c r="BC14" s="59">
        <f t="shared" ref="BC14" si="45">EDATE(BB14,1)</f>
        <v>43983</v>
      </c>
      <c r="BD14" s="59">
        <f t="shared" ref="BD14" si="46">EDATE(BC14,1)</f>
        <v>44013</v>
      </c>
      <c r="BE14" s="59">
        <f t="shared" ref="BE14" si="47">EDATE(BD14,1)</f>
        <v>44044</v>
      </c>
      <c r="BF14" s="59">
        <f t="shared" ref="BF14" si="48">EDATE(BE14,1)</f>
        <v>44075</v>
      </c>
      <c r="BG14" s="59">
        <f t="shared" ref="BG14" si="49">EDATE(BF14,1)</f>
        <v>44105</v>
      </c>
      <c r="BH14" s="59">
        <f t="shared" ref="BH14" si="50">EDATE(BG14,1)</f>
        <v>44136</v>
      </c>
      <c r="BI14" s="59">
        <f t="shared" ref="BI14" si="51">EDATE(BH14,1)</f>
        <v>44166</v>
      </c>
      <c r="BJ14" s="59">
        <f t="shared" ref="BJ14" si="52">EDATE(BI14,1)</f>
        <v>44197</v>
      </c>
      <c r="BK14" s="59">
        <f t="shared" ref="BK14" si="53">EDATE(BJ14,1)</f>
        <v>44228</v>
      </c>
      <c r="BL14" s="59">
        <f t="shared" ref="BL14" si="54">EDATE(BK14,1)</f>
        <v>44256</v>
      </c>
      <c r="BM14" s="59">
        <f t="shared" ref="BM14" si="55">EDATE(BL14,1)</f>
        <v>44287</v>
      </c>
      <c r="BN14" s="59">
        <f t="shared" ref="BN14" si="56">EDATE(BM14,1)</f>
        <v>44317</v>
      </c>
      <c r="BO14" s="59">
        <f t="shared" ref="BO14" si="57">EDATE(BN14,1)</f>
        <v>44348</v>
      </c>
      <c r="BP14" s="59">
        <f t="shared" ref="BP14" si="58">EDATE(BO14,1)</f>
        <v>44378</v>
      </c>
      <c r="BQ14" s="59">
        <f t="shared" ref="BQ14" si="59">EDATE(BP14,1)</f>
        <v>44409</v>
      </c>
      <c r="BR14" s="59">
        <f t="shared" ref="BR14" si="60">EDATE(BQ14,1)</f>
        <v>44440</v>
      </c>
      <c r="BS14" s="59">
        <f t="shared" ref="BS14" si="61">EDATE(BR14,1)</f>
        <v>44470</v>
      </c>
      <c r="BT14" s="248">
        <f t="shared" ref="BT14" si="62">EDATE(BS14,1)</f>
        <v>44501</v>
      </c>
      <c r="BU14" s="248">
        <f t="shared" ref="BU14" si="63">EDATE(BT14,1)</f>
        <v>44531</v>
      </c>
      <c r="BV14" s="248">
        <f t="shared" ref="BV14" si="64">EDATE(BU14,1)</f>
        <v>44562</v>
      </c>
      <c r="BW14" s="248">
        <f t="shared" ref="BW14" si="65">EDATE(BV14,1)</f>
        <v>44593</v>
      </c>
      <c r="BX14" s="248">
        <f t="shared" ref="BX14" si="66">EDATE(BW14,1)</f>
        <v>44621</v>
      </c>
      <c r="BY14" s="306">
        <f t="shared" ref="BY14" si="67">EDATE(BX14,1)</f>
        <v>44652</v>
      </c>
      <c r="BZ14" s="248">
        <f t="shared" ref="BZ14" si="68">EDATE(BY14,1)</f>
        <v>44682</v>
      </c>
      <c r="CA14" s="248">
        <f t="shared" ref="CA14" si="69">EDATE(BZ14,1)</f>
        <v>44713</v>
      </c>
      <c r="CB14" s="248">
        <f t="shared" ref="CB14" si="70">EDATE(CA14,1)</f>
        <v>44743</v>
      </c>
      <c r="CC14" s="248">
        <f t="shared" ref="CC14" si="71">EDATE(CB14,1)</f>
        <v>44774</v>
      </c>
      <c r="CD14" s="248">
        <f t="shared" ref="CD14" si="72">EDATE(CC14,1)</f>
        <v>44805</v>
      </c>
      <c r="CE14" s="248">
        <f t="shared" ref="CE14" si="73">EDATE(CD14,1)</f>
        <v>44835</v>
      </c>
      <c r="CF14" s="248">
        <f t="shared" ref="CF14" si="74">EDATE(CE14,1)</f>
        <v>44866</v>
      </c>
      <c r="CG14" s="248">
        <f t="shared" ref="CG14" si="75">EDATE(CF14,1)</f>
        <v>44896</v>
      </c>
      <c r="CH14" s="248">
        <f t="shared" ref="CH14" si="76">EDATE(CG14,1)</f>
        <v>44927</v>
      </c>
      <c r="CI14" s="248">
        <f t="shared" ref="CI14" si="77">EDATE(CH14,1)</f>
        <v>44958</v>
      </c>
      <c r="CJ14" s="248">
        <f t="shared" ref="CJ14" si="78">EDATE(CI14,1)</f>
        <v>44986</v>
      </c>
      <c r="CK14" s="248">
        <f t="shared" ref="CK14" si="79">EDATE(CJ14,1)</f>
        <v>45017</v>
      </c>
      <c r="CL14" s="248">
        <f t="shared" ref="CL14" si="80">EDATE(CK14,1)</f>
        <v>45047</v>
      </c>
      <c r="CM14" s="248">
        <f t="shared" ref="CM14" si="81">EDATE(CL14,1)</f>
        <v>45078</v>
      </c>
      <c r="CN14" s="248">
        <f t="shared" ref="CN14" si="82">EDATE(CM14,1)</f>
        <v>45108</v>
      </c>
      <c r="CO14" s="248">
        <f t="shared" ref="CO14" si="83">EDATE(CN14,1)</f>
        <v>45139</v>
      </c>
      <c r="CP14" s="248">
        <f t="shared" ref="CP14" si="84">EDATE(CO14,1)</f>
        <v>45170</v>
      </c>
      <c r="CQ14" s="248">
        <f t="shared" ref="CQ14" si="85">EDATE(CP14,1)</f>
        <v>45200</v>
      </c>
      <c r="CR14" s="248">
        <f t="shared" ref="CR14" si="86">EDATE(CQ14,1)</f>
        <v>45231</v>
      </c>
      <c r="CS14" s="248">
        <f t="shared" ref="CS14" si="87">EDATE(CR14,1)</f>
        <v>45261</v>
      </c>
      <c r="CT14" s="291">
        <f t="shared" ref="CT14" si="88">EDATE(CS14,1)</f>
        <v>45292</v>
      </c>
      <c r="CV14" s="1"/>
      <c r="CW14" s="1"/>
      <c r="CX14" s="1"/>
      <c r="CY14" s="1"/>
      <c r="CZ14" s="1"/>
      <c r="DA14" s="1"/>
      <c r="DB14" s="1"/>
      <c r="DC14" s="1"/>
      <c r="DD14" s="1"/>
    </row>
    <row r="15" spans="1:108" x14ac:dyDescent="0.25">
      <c r="A15" t="s">
        <v>0</v>
      </c>
      <c r="B15" s="61">
        <v>0</v>
      </c>
      <c r="C15" s="62">
        <v>0</v>
      </c>
      <c r="D15" s="62">
        <v>0</v>
      </c>
      <c r="E15" s="62">
        <v>1328.78</v>
      </c>
      <c r="F15" s="62">
        <v>9526.5300000000007</v>
      </c>
      <c r="G15" s="62">
        <v>120352.88</v>
      </c>
      <c r="H15" s="62">
        <v>256080.65000000002</v>
      </c>
      <c r="I15" s="62">
        <v>373393.34435846674</v>
      </c>
      <c r="J15" s="62">
        <v>671736.21363575384</v>
      </c>
      <c r="K15" s="62">
        <v>120839.85</v>
      </c>
      <c r="L15" s="62">
        <v>185093.49881649271</v>
      </c>
      <c r="M15" s="62">
        <v>303285.19452852954</v>
      </c>
      <c r="N15" s="62">
        <v>329743.7910035231</v>
      </c>
      <c r="O15" s="62">
        <v>319589.12614734296</v>
      </c>
      <c r="P15" s="62">
        <v>307416.51622437377</v>
      </c>
      <c r="Q15" s="62">
        <v>202009.99758789604</v>
      </c>
      <c r="R15" s="62">
        <v>201518.00847600689</v>
      </c>
      <c r="S15" s="62">
        <v>884196.51701427973</v>
      </c>
      <c r="T15" s="62">
        <v>1282604.3399999999</v>
      </c>
      <c r="U15" s="62">
        <v>1412760.5841518985</v>
      </c>
      <c r="V15" s="62">
        <v>912043.87330211163</v>
      </c>
      <c r="W15" s="62">
        <v>279976.46619588812</v>
      </c>
      <c r="X15" s="62">
        <v>377438.47759872582</v>
      </c>
      <c r="Y15" s="62">
        <v>565267.94576951256</v>
      </c>
      <c r="Z15" s="62">
        <v>607215.02747681318</v>
      </c>
      <c r="AA15" s="62">
        <v>515316.53827609093</v>
      </c>
      <c r="AB15" s="62">
        <v>473150.50916160172</v>
      </c>
      <c r="AC15" s="62">
        <v>270731.77958850004</v>
      </c>
      <c r="AD15" s="62">
        <v>491596.14834248205</v>
      </c>
      <c r="AE15" s="62">
        <v>2024956.6659391024</v>
      </c>
      <c r="AF15" s="62">
        <v>2753783.435947692</v>
      </c>
      <c r="AG15" s="62">
        <v>2655187.2707727067</v>
      </c>
      <c r="AH15" s="62">
        <v>1585670.784126644</v>
      </c>
      <c r="AI15" s="62">
        <v>556118.7299202627</v>
      </c>
      <c r="AJ15" s="62">
        <v>513458.06050710165</v>
      </c>
      <c r="AK15" s="62">
        <v>702799.89768350183</v>
      </c>
      <c r="AL15" s="62">
        <v>705267.00941836974</v>
      </c>
      <c r="AM15" s="62">
        <v>626813.61963691877</v>
      </c>
      <c r="AN15" s="62">
        <v>733376.44916449382</v>
      </c>
      <c r="AO15" s="62">
        <v>579952.0325992658</v>
      </c>
      <c r="AP15" s="62">
        <v>371011.49182013981</v>
      </c>
      <c r="AQ15" s="62">
        <v>2723256.6958003566</v>
      </c>
      <c r="AR15" s="62">
        <v>3090240.1159956334</v>
      </c>
      <c r="AS15" s="62">
        <v>3319235.3330920129</v>
      </c>
      <c r="AT15" s="62">
        <v>1872423.9163418177</v>
      </c>
      <c r="AU15" s="62">
        <v>468639.40013933519</v>
      </c>
      <c r="AV15" s="62">
        <v>573430.06293424976</v>
      </c>
      <c r="AW15" s="62">
        <v>729001.68500178226</v>
      </c>
      <c r="AX15" s="62">
        <v>731448.99925192562</v>
      </c>
      <c r="AY15" s="62">
        <v>-1101511.7645830091</v>
      </c>
      <c r="AZ15" s="62">
        <v>502297.9307248104</v>
      </c>
      <c r="BA15" s="62">
        <v>0</v>
      </c>
      <c r="BB15" s="62">
        <v>-1201.9391278357582</v>
      </c>
      <c r="BC15" s="62">
        <v>0</v>
      </c>
      <c r="BD15" s="62">
        <v>0</v>
      </c>
      <c r="BE15" s="62">
        <v>0</v>
      </c>
      <c r="BF15" s="62">
        <v>0</v>
      </c>
      <c r="BG15" s="62">
        <v>0</v>
      </c>
      <c r="BH15" s="62">
        <v>0</v>
      </c>
      <c r="BI15" s="62">
        <v>0</v>
      </c>
      <c r="BJ15" s="62">
        <v>0</v>
      </c>
      <c r="BK15" s="62">
        <v>0</v>
      </c>
      <c r="BL15" s="62">
        <v>0</v>
      </c>
      <c r="BM15" s="62">
        <v>0</v>
      </c>
      <c r="BN15" s="62">
        <v>0</v>
      </c>
      <c r="BO15" s="62">
        <v>0</v>
      </c>
      <c r="BP15" s="62">
        <v>0</v>
      </c>
      <c r="BQ15" s="62">
        <v>0</v>
      </c>
      <c r="BR15" s="62">
        <v>0</v>
      </c>
      <c r="BS15" s="62">
        <v>0</v>
      </c>
      <c r="BT15" s="292">
        <v>0</v>
      </c>
      <c r="BU15" s="292">
        <v>0</v>
      </c>
      <c r="BV15" s="292">
        <v>0</v>
      </c>
      <c r="BW15" s="292">
        <v>0</v>
      </c>
      <c r="BX15" s="305">
        <v>0</v>
      </c>
      <c r="BY15" s="307">
        <v>0</v>
      </c>
      <c r="BZ15" s="292">
        <v>0</v>
      </c>
      <c r="CA15" s="292">
        <v>0</v>
      </c>
      <c r="CB15" s="292">
        <v>0</v>
      </c>
      <c r="CC15" s="292">
        <v>0</v>
      </c>
      <c r="CD15" s="292">
        <v>0</v>
      </c>
      <c r="CE15" s="292">
        <v>0</v>
      </c>
      <c r="CF15" s="292">
        <v>0</v>
      </c>
      <c r="CG15" s="292">
        <v>0</v>
      </c>
      <c r="CH15" s="292">
        <v>0</v>
      </c>
      <c r="CI15" s="292">
        <v>0</v>
      </c>
      <c r="CJ15" s="292">
        <v>0</v>
      </c>
      <c r="CK15" s="292">
        <v>0</v>
      </c>
      <c r="CL15" s="292">
        <v>0</v>
      </c>
      <c r="CM15" s="292">
        <v>0</v>
      </c>
      <c r="CN15" s="292">
        <v>0</v>
      </c>
      <c r="CO15" s="292">
        <v>0</v>
      </c>
      <c r="CP15" s="292">
        <v>0</v>
      </c>
      <c r="CQ15" s="292">
        <v>0</v>
      </c>
      <c r="CR15" s="292">
        <f>'[2]MEEIA 2 calcs'!CS27</f>
        <v>0</v>
      </c>
      <c r="CS15" s="292">
        <f>'[2]MEEIA 2 calcs'!CT27</f>
        <v>0</v>
      </c>
      <c r="CT15" s="293">
        <f>'[2]MEEIA 2 calcs'!CU27</f>
        <v>0</v>
      </c>
    </row>
    <row r="16" spans="1:108" x14ac:dyDescent="0.25">
      <c r="A16" t="s">
        <v>4</v>
      </c>
      <c r="B16" s="61">
        <v>0</v>
      </c>
      <c r="C16" s="62">
        <v>0</v>
      </c>
      <c r="D16" s="62">
        <v>0</v>
      </c>
      <c r="E16" s="62">
        <v>0</v>
      </c>
      <c r="F16" s="62">
        <v>0</v>
      </c>
      <c r="G16" s="62">
        <v>4167.9399999999996</v>
      </c>
      <c r="H16" s="62">
        <v>13357.940000000002</v>
      </c>
      <c r="I16" s="62">
        <v>14670.985238775314</v>
      </c>
      <c r="J16" s="62">
        <v>22602.465674921033</v>
      </c>
      <c r="K16" s="62">
        <v>23670.86</v>
      </c>
      <c r="L16" s="62">
        <v>27753.308601536653</v>
      </c>
      <c r="M16" s="62">
        <v>37258.575758638253</v>
      </c>
      <c r="N16" s="62">
        <v>47579.322188278435</v>
      </c>
      <c r="O16" s="62">
        <v>42911.041729266297</v>
      </c>
      <c r="P16" s="62">
        <v>52823.001162257649</v>
      </c>
      <c r="Q16" s="62">
        <v>25950.307634173645</v>
      </c>
      <c r="R16" s="62">
        <v>48983.559131334005</v>
      </c>
      <c r="S16" s="62">
        <v>90621.489340586311</v>
      </c>
      <c r="T16" s="62">
        <v>138931.90000000002</v>
      </c>
      <c r="U16" s="62">
        <v>133700.2685394297</v>
      </c>
      <c r="V16" s="62">
        <v>151757.81340251025</v>
      </c>
      <c r="W16" s="62">
        <v>116837.79257470783</v>
      </c>
      <c r="X16" s="62">
        <v>88133.517269885691</v>
      </c>
      <c r="Y16" s="62">
        <v>126989.00719390194</v>
      </c>
      <c r="Z16" s="62">
        <v>151376.91870679389</v>
      </c>
      <c r="AA16" s="62">
        <v>131012.65264951537</v>
      </c>
      <c r="AB16" s="62">
        <v>161984.73662810036</v>
      </c>
      <c r="AC16" s="62">
        <v>186884.98622710272</v>
      </c>
      <c r="AD16" s="62">
        <v>260709.07600105793</v>
      </c>
      <c r="AE16" s="62">
        <v>394275.90039880731</v>
      </c>
      <c r="AF16" s="62">
        <v>517564.58433629415</v>
      </c>
      <c r="AG16" s="62">
        <v>456642.37398614379</v>
      </c>
      <c r="AH16" s="62">
        <v>495377.09665466635</v>
      </c>
      <c r="AI16" s="62">
        <v>348239.88671273278</v>
      </c>
      <c r="AJ16" s="62">
        <v>315404.35918017995</v>
      </c>
      <c r="AK16" s="62">
        <v>349367.88347835495</v>
      </c>
      <c r="AL16" s="62">
        <v>376670.80776353204</v>
      </c>
      <c r="AM16" s="62">
        <v>315666.15712072933</v>
      </c>
      <c r="AN16" s="62">
        <v>426235.9958025862</v>
      </c>
      <c r="AO16" s="62">
        <v>429805.50677490461</v>
      </c>
      <c r="AP16" s="62">
        <v>425502.70439957909</v>
      </c>
      <c r="AQ16" s="62">
        <v>711026.13316380861</v>
      </c>
      <c r="AR16" s="62">
        <v>906630.75933951</v>
      </c>
      <c r="AS16" s="62">
        <v>735303.71734464087</v>
      </c>
      <c r="AT16" s="62">
        <v>765682.15647802898</v>
      </c>
      <c r="AU16" s="62">
        <v>522721.08210263157</v>
      </c>
      <c r="AV16" s="62">
        <v>445892.99890309712</v>
      </c>
      <c r="AW16" s="62">
        <v>380966.65670412086</v>
      </c>
      <c r="AX16" s="62">
        <v>451558.90985025105</v>
      </c>
      <c r="AY16" s="62">
        <v>349160.22599545511</v>
      </c>
      <c r="AZ16" s="62">
        <v>388715.00802980497</v>
      </c>
      <c r="BA16" s="62">
        <v>0</v>
      </c>
      <c r="BB16" s="62">
        <v>-280.76739666505853</v>
      </c>
      <c r="BC16" s="62">
        <v>0</v>
      </c>
      <c r="BD16" s="62">
        <v>0</v>
      </c>
      <c r="BE16" s="62">
        <v>0</v>
      </c>
      <c r="BF16" s="62">
        <v>0</v>
      </c>
      <c r="BG16" s="62">
        <v>0</v>
      </c>
      <c r="BH16" s="62">
        <v>0</v>
      </c>
      <c r="BI16" s="62">
        <v>0</v>
      </c>
      <c r="BJ16" s="62">
        <v>0</v>
      </c>
      <c r="BK16" s="62">
        <v>255.64000000059605</v>
      </c>
      <c r="BL16" s="62">
        <v>592.33999999985099</v>
      </c>
      <c r="BM16" s="62">
        <v>632.41000000014901</v>
      </c>
      <c r="BN16" s="62">
        <v>892.52999999932945</v>
      </c>
      <c r="BO16" s="62">
        <v>1958.390000000596</v>
      </c>
      <c r="BP16" s="62">
        <v>2575.9900000002235</v>
      </c>
      <c r="BQ16" s="62">
        <v>2901.589999999851</v>
      </c>
      <c r="BR16" s="62">
        <v>2255.2100000008941</v>
      </c>
      <c r="BS16" s="62">
        <v>1201.0499999988824</v>
      </c>
      <c r="BT16" s="292">
        <v>993.04000000096858</v>
      </c>
      <c r="BU16" s="292">
        <v>1022.7099999990314</v>
      </c>
      <c r="BV16" s="292">
        <v>1061.0999999996275</v>
      </c>
      <c r="BW16" s="292">
        <v>818.65000000037253</v>
      </c>
      <c r="BX16" s="305">
        <v>0</v>
      </c>
      <c r="BY16" s="307">
        <v>0</v>
      </c>
      <c r="BZ16" s="292">
        <v>0</v>
      </c>
      <c r="CA16" s="292">
        <v>0</v>
      </c>
      <c r="CB16" s="292">
        <v>0</v>
      </c>
      <c r="CC16" s="292">
        <v>0</v>
      </c>
      <c r="CD16" s="292">
        <v>0</v>
      </c>
      <c r="CE16" s="292">
        <v>0</v>
      </c>
      <c r="CF16" s="292">
        <v>0</v>
      </c>
      <c r="CG16" s="292">
        <v>0</v>
      </c>
      <c r="CH16" s="292">
        <v>0</v>
      </c>
      <c r="CI16" s="292">
        <v>0</v>
      </c>
      <c r="CJ16" s="292">
        <v>0</v>
      </c>
      <c r="CK16" s="292">
        <v>0</v>
      </c>
      <c r="CL16" s="292">
        <v>0</v>
      </c>
      <c r="CM16" s="292">
        <v>0</v>
      </c>
      <c r="CN16" s="292">
        <v>0</v>
      </c>
      <c r="CO16" s="292">
        <v>0</v>
      </c>
      <c r="CP16" s="292">
        <v>0</v>
      </c>
      <c r="CQ16" s="292">
        <v>0</v>
      </c>
      <c r="CR16" s="292">
        <f>'[2]MEEIA 2 calcs'!CS37</f>
        <v>0</v>
      </c>
      <c r="CS16" s="292">
        <f>'[2]MEEIA 2 calcs'!CT37</f>
        <v>0</v>
      </c>
      <c r="CT16" s="293">
        <f>'[2]MEEIA 2 calcs'!CU37</f>
        <v>0</v>
      </c>
    </row>
    <row r="17" spans="1:99" x14ac:dyDescent="0.25">
      <c r="A17" t="s">
        <v>5</v>
      </c>
      <c r="B17" s="61">
        <v>0</v>
      </c>
      <c r="C17" s="62">
        <v>0</v>
      </c>
      <c r="D17" s="62">
        <v>0</v>
      </c>
      <c r="E17" s="62">
        <v>0</v>
      </c>
      <c r="F17" s="62">
        <v>0</v>
      </c>
      <c r="G17" s="62">
        <v>6853.38</v>
      </c>
      <c r="H17" s="62">
        <v>24493.5</v>
      </c>
      <c r="I17" s="62">
        <v>33902.946879751129</v>
      </c>
      <c r="J17" s="62">
        <v>57130.941306139037</v>
      </c>
      <c r="K17" s="62">
        <v>48568.43</v>
      </c>
      <c r="L17" s="62">
        <v>56402.832716238408</v>
      </c>
      <c r="M17" s="62">
        <v>76416.403445979842</v>
      </c>
      <c r="N17" s="62">
        <v>98464.472713338357</v>
      </c>
      <c r="O17" s="62">
        <v>92820.247439449406</v>
      </c>
      <c r="P17" s="62">
        <v>115878.51859125202</v>
      </c>
      <c r="Q17" s="62">
        <v>64178.344243350926</v>
      </c>
      <c r="R17" s="62">
        <v>102867.21859456625</v>
      </c>
      <c r="S17" s="62">
        <v>225026.10782354834</v>
      </c>
      <c r="T17" s="62">
        <v>332206.05000000005</v>
      </c>
      <c r="U17" s="62">
        <v>326565.43828407576</v>
      </c>
      <c r="V17" s="62">
        <v>357152.1332604558</v>
      </c>
      <c r="W17" s="62">
        <v>233165.34998028661</v>
      </c>
      <c r="X17" s="62">
        <v>242735.19909115109</v>
      </c>
      <c r="Y17" s="62">
        <v>270260.8911173091</v>
      </c>
      <c r="Z17" s="62">
        <v>318931.98735694966</v>
      </c>
      <c r="AA17" s="62">
        <v>278425.9450890508</v>
      </c>
      <c r="AB17" s="62">
        <v>325174.04680208978</v>
      </c>
      <c r="AC17" s="62">
        <v>343158.29248776339</v>
      </c>
      <c r="AD17" s="62">
        <v>457118.03014316031</v>
      </c>
      <c r="AE17" s="62">
        <v>886825.58305134752</v>
      </c>
      <c r="AF17" s="62">
        <v>1197518.2821251666</v>
      </c>
      <c r="AG17" s="62">
        <v>1030275.3853313371</v>
      </c>
      <c r="AH17" s="62">
        <v>1033786.813176945</v>
      </c>
      <c r="AI17" s="62">
        <v>565137.42472021224</v>
      </c>
      <c r="AJ17" s="62">
        <v>515386.54786655982</v>
      </c>
      <c r="AK17" s="62">
        <v>600621.60749234632</v>
      </c>
      <c r="AL17" s="62">
        <v>677840.83886779845</v>
      </c>
      <c r="AM17" s="62">
        <v>590569.34077565547</v>
      </c>
      <c r="AN17" s="62">
        <v>785533.21729427099</v>
      </c>
      <c r="AO17" s="62">
        <v>759722.89069128735</v>
      </c>
      <c r="AP17" s="62">
        <v>730573.86433008127</v>
      </c>
      <c r="AQ17" s="62">
        <v>1701261.2984572235</v>
      </c>
      <c r="AR17" s="62">
        <v>2138329.3142225798</v>
      </c>
      <c r="AS17" s="62">
        <v>1807748.5219926799</v>
      </c>
      <c r="AT17" s="62">
        <v>1650674.4488178033</v>
      </c>
      <c r="AU17" s="62">
        <v>846164.39074269368</v>
      </c>
      <c r="AV17" s="62">
        <v>722912.52035272913</v>
      </c>
      <c r="AW17" s="62">
        <v>787449.04813982907</v>
      </c>
      <c r="AX17" s="62">
        <v>821876.98404895363</v>
      </c>
      <c r="AY17" s="62">
        <v>663143.00246334542</v>
      </c>
      <c r="AZ17" s="62">
        <v>717865.1381538827</v>
      </c>
      <c r="BA17" s="62">
        <v>2286.3100000023842</v>
      </c>
      <c r="BB17" s="62">
        <v>1973.3555017490889</v>
      </c>
      <c r="BC17" s="62">
        <v>12223.310000002384</v>
      </c>
      <c r="BD17" s="62">
        <v>22853.179999999702</v>
      </c>
      <c r="BE17" s="62">
        <v>20540.269999999553</v>
      </c>
      <c r="BF17" s="62">
        <v>15022.210000000894</v>
      </c>
      <c r="BG17" s="62">
        <v>6711.089999999851</v>
      </c>
      <c r="BH17" s="62">
        <v>6702.839999999851</v>
      </c>
      <c r="BI17" s="62">
        <v>8127.0399999991059</v>
      </c>
      <c r="BJ17" s="62">
        <v>8329.3000000007451</v>
      </c>
      <c r="BK17" s="62">
        <v>8800.269999999553</v>
      </c>
      <c r="BL17" s="62">
        <v>10333.070000000298</v>
      </c>
      <c r="BM17" s="62">
        <v>8760.0100000016391</v>
      </c>
      <c r="BN17" s="62">
        <v>11044.909999996424</v>
      </c>
      <c r="BO17" s="62">
        <v>31907.310000002384</v>
      </c>
      <c r="BP17" s="62">
        <v>40946.179999999702</v>
      </c>
      <c r="BQ17" s="62">
        <v>36410.359999999404</v>
      </c>
      <c r="BR17" s="62">
        <v>22318.39999999851</v>
      </c>
      <c r="BS17" s="62">
        <v>8944.2900000028312</v>
      </c>
      <c r="BT17" s="292">
        <v>9312.6499999985099</v>
      </c>
      <c r="BU17" s="292">
        <v>11751.719999998808</v>
      </c>
      <c r="BV17" s="292">
        <v>12005.310000002384</v>
      </c>
      <c r="BW17" s="292">
        <v>10126.529999997467</v>
      </c>
      <c r="BX17" s="305">
        <v>0</v>
      </c>
      <c r="BY17" s="307">
        <v>0</v>
      </c>
      <c r="BZ17" s="292">
        <v>0</v>
      </c>
      <c r="CA17" s="292">
        <v>0</v>
      </c>
      <c r="CB17" s="292">
        <v>0</v>
      </c>
      <c r="CC17" s="292">
        <v>0</v>
      </c>
      <c r="CD17" s="292">
        <v>0</v>
      </c>
      <c r="CE17" s="292">
        <v>0</v>
      </c>
      <c r="CF17" s="292">
        <v>0</v>
      </c>
      <c r="CG17" s="292">
        <v>0</v>
      </c>
      <c r="CH17" s="292">
        <v>0</v>
      </c>
      <c r="CI17" s="292">
        <v>0</v>
      </c>
      <c r="CJ17" s="292">
        <v>0</v>
      </c>
      <c r="CK17" s="292">
        <v>0</v>
      </c>
      <c r="CL17" s="292">
        <v>0</v>
      </c>
      <c r="CM17" s="292">
        <v>0</v>
      </c>
      <c r="CN17" s="292">
        <v>0</v>
      </c>
      <c r="CO17" s="292">
        <v>0</v>
      </c>
      <c r="CP17" s="292">
        <v>0</v>
      </c>
      <c r="CQ17" s="292">
        <v>0</v>
      </c>
      <c r="CR17" s="292">
        <f>'[2]MEEIA 2 calcs'!CS47</f>
        <v>0</v>
      </c>
      <c r="CS17" s="292">
        <f>'[2]MEEIA 2 calcs'!CT47</f>
        <v>0</v>
      </c>
      <c r="CT17" s="293">
        <f>'[2]MEEIA 2 calcs'!CU47</f>
        <v>0</v>
      </c>
    </row>
    <row r="18" spans="1:99" x14ac:dyDescent="0.25">
      <c r="A18" t="s">
        <v>6</v>
      </c>
      <c r="B18" s="61">
        <v>0</v>
      </c>
      <c r="C18" s="62">
        <v>0</v>
      </c>
      <c r="D18" s="62">
        <v>0</v>
      </c>
      <c r="E18" s="62">
        <v>0</v>
      </c>
      <c r="F18" s="62">
        <v>0</v>
      </c>
      <c r="G18" s="62">
        <v>526.23</v>
      </c>
      <c r="H18" s="62">
        <v>1707.2399999999998</v>
      </c>
      <c r="I18" s="62">
        <v>2230.0207254609436</v>
      </c>
      <c r="J18" s="62">
        <v>4794.6581417484167</v>
      </c>
      <c r="K18" s="62">
        <v>4373.8599999999997</v>
      </c>
      <c r="L18" s="62">
        <v>7453.242982336099</v>
      </c>
      <c r="M18" s="62">
        <v>18084.577784318448</v>
      </c>
      <c r="N18" s="62">
        <v>27963.810761260709</v>
      </c>
      <c r="O18" s="62">
        <v>24456.059952649921</v>
      </c>
      <c r="P18" s="62">
        <v>29615.310672687767</v>
      </c>
      <c r="Q18" s="62">
        <v>12166.436689655247</v>
      </c>
      <c r="R18" s="62">
        <v>28108.084360485296</v>
      </c>
      <c r="S18" s="62">
        <v>128148.15141495112</v>
      </c>
      <c r="T18" s="62">
        <v>175689.74</v>
      </c>
      <c r="U18" s="62">
        <v>218402.52810095585</v>
      </c>
      <c r="V18" s="62">
        <v>205067.89849978662</v>
      </c>
      <c r="W18" s="62">
        <v>101187.08297273742</v>
      </c>
      <c r="X18" s="62">
        <v>97773.438006020719</v>
      </c>
      <c r="Y18" s="62">
        <v>113746.10309897989</v>
      </c>
      <c r="Z18" s="62">
        <v>131796.02801249109</v>
      </c>
      <c r="AA18" s="62">
        <v>116090.38160247794</v>
      </c>
      <c r="AB18" s="62">
        <v>132068.16497570253</v>
      </c>
      <c r="AC18" s="62">
        <v>133321.08677453059</v>
      </c>
      <c r="AD18" s="62">
        <v>180104.81791441111</v>
      </c>
      <c r="AE18" s="62">
        <v>422991.61425343697</v>
      </c>
      <c r="AF18" s="62">
        <v>543609.86073367961</v>
      </c>
      <c r="AG18" s="62">
        <v>486263.01132460969</v>
      </c>
      <c r="AH18" s="62">
        <v>414107.44556621916</v>
      </c>
      <c r="AI18" s="62">
        <v>207208.35422995902</v>
      </c>
      <c r="AJ18" s="62">
        <v>191307.18426831797</v>
      </c>
      <c r="AK18" s="62">
        <v>223825.29632810416</v>
      </c>
      <c r="AL18" s="62">
        <v>251714.86075436554</v>
      </c>
      <c r="AM18" s="62">
        <v>220841.99668727524</v>
      </c>
      <c r="AN18" s="62">
        <v>305651.11265488941</v>
      </c>
      <c r="AO18" s="62">
        <v>284274.24631552736</v>
      </c>
      <c r="AP18" s="62">
        <v>294781.80288519792</v>
      </c>
      <c r="AQ18" s="62">
        <v>791914.33120203775</v>
      </c>
      <c r="AR18" s="62">
        <v>978344.05317777325</v>
      </c>
      <c r="AS18" s="62">
        <v>874777.66117086785</v>
      </c>
      <c r="AT18" s="62">
        <v>686805.48036969628</v>
      </c>
      <c r="AU18" s="62">
        <v>321802.45107933023</v>
      </c>
      <c r="AV18" s="62">
        <v>280028.89151037188</v>
      </c>
      <c r="AW18" s="62">
        <v>274144.21732121875</v>
      </c>
      <c r="AX18" s="62">
        <v>303711.11912158254</v>
      </c>
      <c r="AY18" s="62">
        <v>251998.46611210689</v>
      </c>
      <c r="AZ18" s="62">
        <v>276069.3565741299</v>
      </c>
      <c r="BA18" s="62">
        <v>0</v>
      </c>
      <c r="BB18" s="62">
        <v>-315.01218360235936</v>
      </c>
      <c r="BC18" s="62">
        <v>0</v>
      </c>
      <c r="BD18" s="62">
        <v>0</v>
      </c>
      <c r="BE18" s="62">
        <v>16813.580000000075</v>
      </c>
      <c r="BF18" s="62">
        <v>19387.400000000373</v>
      </c>
      <c r="BG18" s="62">
        <v>6785.070000000298</v>
      </c>
      <c r="BH18" s="62">
        <v>6167.2299999985844</v>
      </c>
      <c r="BI18" s="62">
        <v>9586.9900000002235</v>
      </c>
      <c r="BJ18" s="62">
        <v>12497.580000000075</v>
      </c>
      <c r="BK18" s="62">
        <v>10043.310000000522</v>
      </c>
      <c r="BL18" s="62">
        <v>10496.050000000745</v>
      </c>
      <c r="BM18" s="62">
        <v>9775.9599999990314</v>
      </c>
      <c r="BN18" s="62">
        <v>13527.650000000373</v>
      </c>
      <c r="BO18" s="62">
        <v>36494.849999999627</v>
      </c>
      <c r="BP18" s="62">
        <v>47679.970000000671</v>
      </c>
      <c r="BQ18" s="62">
        <v>45288.439999999478</v>
      </c>
      <c r="BR18" s="62">
        <v>29486.400000000373</v>
      </c>
      <c r="BS18" s="62">
        <v>11833.289999999106</v>
      </c>
      <c r="BT18" s="292">
        <v>10374.580000000075</v>
      </c>
      <c r="BU18" s="292">
        <v>12057.450000001118</v>
      </c>
      <c r="BV18" s="292">
        <v>12824.789999999106</v>
      </c>
      <c r="BW18" s="292">
        <v>10330.179999999702</v>
      </c>
      <c r="BX18" s="305">
        <v>0</v>
      </c>
      <c r="BY18" s="307">
        <v>0</v>
      </c>
      <c r="BZ18" s="292">
        <v>0</v>
      </c>
      <c r="CA18" s="292">
        <v>0</v>
      </c>
      <c r="CB18" s="292">
        <v>0</v>
      </c>
      <c r="CC18" s="292">
        <v>0</v>
      </c>
      <c r="CD18" s="292">
        <v>0</v>
      </c>
      <c r="CE18" s="292">
        <v>0</v>
      </c>
      <c r="CF18" s="292">
        <v>0</v>
      </c>
      <c r="CG18" s="292">
        <v>0</v>
      </c>
      <c r="CH18" s="292">
        <v>0</v>
      </c>
      <c r="CI18" s="292">
        <v>0</v>
      </c>
      <c r="CJ18" s="292">
        <v>0</v>
      </c>
      <c r="CK18" s="292">
        <v>0</v>
      </c>
      <c r="CL18" s="292">
        <v>0</v>
      </c>
      <c r="CM18" s="292">
        <v>0</v>
      </c>
      <c r="CN18" s="292">
        <v>0</v>
      </c>
      <c r="CO18" s="292">
        <v>0</v>
      </c>
      <c r="CP18" s="292">
        <v>0</v>
      </c>
      <c r="CQ18" s="292">
        <v>0</v>
      </c>
      <c r="CR18" s="292">
        <f>'[2]MEEIA 2 calcs'!CS57</f>
        <v>0</v>
      </c>
      <c r="CS18" s="292">
        <f>'[2]MEEIA 2 calcs'!CT57</f>
        <v>0</v>
      </c>
      <c r="CT18" s="293">
        <f>'[2]MEEIA 2 calcs'!CU57</f>
        <v>0</v>
      </c>
    </row>
    <row r="19" spans="1:99" x14ac:dyDescent="0.25">
      <c r="A19" t="s">
        <v>7</v>
      </c>
      <c r="B19" s="61">
        <v>0</v>
      </c>
      <c r="C19" s="62">
        <v>0</v>
      </c>
      <c r="D19" s="62">
        <v>0</v>
      </c>
      <c r="E19" s="62">
        <v>0</v>
      </c>
      <c r="F19" s="62">
        <v>0</v>
      </c>
      <c r="G19" s="62">
        <v>0</v>
      </c>
      <c r="H19" s="62">
        <v>360.22</v>
      </c>
      <c r="I19" s="62">
        <v>1356.5027975457876</v>
      </c>
      <c r="J19" s="62">
        <v>2255.3712414377201</v>
      </c>
      <c r="K19" s="62">
        <v>1897.72</v>
      </c>
      <c r="L19" s="62">
        <v>2405.4668833960245</v>
      </c>
      <c r="M19" s="62">
        <v>3262.8984825339485</v>
      </c>
      <c r="N19" s="62">
        <v>5909.4833335993335</v>
      </c>
      <c r="O19" s="62">
        <v>6425.014731291647</v>
      </c>
      <c r="P19" s="62">
        <v>9106.0133494287093</v>
      </c>
      <c r="Q19" s="62">
        <v>8390.7638449238184</v>
      </c>
      <c r="R19" s="62">
        <v>10997.379437607351</v>
      </c>
      <c r="S19" s="62">
        <v>20856.094406634937</v>
      </c>
      <c r="T19" s="62">
        <v>29338.039999999994</v>
      </c>
      <c r="U19" s="62">
        <v>27923.370923640025</v>
      </c>
      <c r="V19" s="62">
        <v>26983.721535135461</v>
      </c>
      <c r="W19" s="62">
        <v>19471.188276380515</v>
      </c>
      <c r="X19" s="62">
        <v>18971.478034215677</v>
      </c>
      <c r="Y19" s="62">
        <v>20838.032820297231</v>
      </c>
      <c r="Z19" s="62">
        <v>24107.448446951264</v>
      </c>
      <c r="AA19" s="62">
        <v>21893.062382864882</v>
      </c>
      <c r="AB19" s="62">
        <v>24080.232432507251</v>
      </c>
      <c r="AC19" s="62">
        <v>25697.334922102909</v>
      </c>
      <c r="AD19" s="62">
        <v>34703.027598888038</v>
      </c>
      <c r="AE19" s="62">
        <v>75519.476357307751</v>
      </c>
      <c r="AF19" s="62">
        <v>100273.42685716876</v>
      </c>
      <c r="AG19" s="62">
        <v>85499.508585205374</v>
      </c>
      <c r="AH19" s="62">
        <v>69397.820475524379</v>
      </c>
      <c r="AI19" s="62">
        <v>37821.144416831085</v>
      </c>
      <c r="AJ19" s="62">
        <v>35865.098177838852</v>
      </c>
      <c r="AK19" s="62">
        <v>42905.24501769265</v>
      </c>
      <c r="AL19" s="62">
        <v>48941.253195931422</v>
      </c>
      <c r="AM19" s="62">
        <v>45736.205779424003</v>
      </c>
      <c r="AN19" s="62">
        <v>61794.995083764363</v>
      </c>
      <c r="AO19" s="62">
        <v>56159.323619014431</v>
      </c>
      <c r="AP19" s="62">
        <v>66116.096564999927</v>
      </c>
      <c r="AQ19" s="62">
        <v>196336.18137657503</v>
      </c>
      <c r="AR19" s="62">
        <v>261767.5472645007</v>
      </c>
      <c r="AS19" s="62">
        <v>232206.9863998002</v>
      </c>
      <c r="AT19" s="62">
        <v>149701.48799265211</v>
      </c>
      <c r="AU19" s="62">
        <v>63981.67593600769</v>
      </c>
      <c r="AV19" s="62">
        <v>56131.256299554763</v>
      </c>
      <c r="AW19" s="62">
        <v>57173.072833048078</v>
      </c>
      <c r="AX19" s="62">
        <v>61251.937727286851</v>
      </c>
      <c r="AY19" s="62">
        <v>54765.460012100484</v>
      </c>
      <c r="AZ19" s="62">
        <v>55225.416517369085</v>
      </c>
      <c r="BA19" s="62">
        <v>0</v>
      </c>
      <c r="BB19" s="62">
        <v>-142.24679364857641</v>
      </c>
      <c r="BC19" s="62">
        <v>0</v>
      </c>
      <c r="BD19" s="62">
        <v>0</v>
      </c>
      <c r="BE19" s="62">
        <v>0</v>
      </c>
      <c r="BF19" s="62">
        <v>0</v>
      </c>
      <c r="BG19" s="62">
        <v>0</v>
      </c>
      <c r="BH19" s="62">
        <v>0</v>
      </c>
      <c r="BI19" s="62">
        <v>0</v>
      </c>
      <c r="BJ19" s="62">
        <v>0</v>
      </c>
      <c r="BK19" s="62">
        <v>0</v>
      </c>
      <c r="BL19" s="62">
        <v>0</v>
      </c>
      <c r="BM19" s="62">
        <v>0</v>
      </c>
      <c r="BN19" s="62">
        <v>0</v>
      </c>
      <c r="BO19" s="62">
        <v>0</v>
      </c>
      <c r="BP19" s="62">
        <v>0</v>
      </c>
      <c r="BQ19" s="62">
        <v>-101.14999999990687</v>
      </c>
      <c r="BR19" s="62">
        <v>-108.16000000014901</v>
      </c>
      <c r="BS19" s="62">
        <v>-67.520000000018626</v>
      </c>
      <c r="BT19" s="292">
        <v>-54.189999999944121</v>
      </c>
      <c r="BU19" s="292">
        <v>-56.580000000074506</v>
      </c>
      <c r="BV19" s="292">
        <v>-61.179999999701977</v>
      </c>
      <c r="BW19" s="292">
        <v>-51.470000000204891</v>
      </c>
      <c r="BX19" s="305">
        <v>0</v>
      </c>
      <c r="BY19" s="307">
        <v>0</v>
      </c>
      <c r="BZ19" s="292">
        <v>0</v>
      </c>
      <c r="CA19" s="292">
        <v>0</v>
      </c>
      <c r="CB19" s="292">
        <v>0</v>
      </c>
      <c r="CC19" s="292">
        <v>0</v>
      </c>
      <c r="CD19" s="292">
        <v>0</v>
      </c>
      <c r="CE19" s="292">
        <v>0</v>
      </c>
      <c r="CF19" s="292">
        <v>0</v>
      </c>
      <c r="CG19" s="292">
        <v>0</v>
      </c>
      <c r="CH19" s="292">
        <v>0</v>
      </c>
      <c r="CI19" s="292">
        <v>0</v>
      </c>
      <c r="CJ19" s="292">
        <v>0</v>
      </c>
      <c r="CK19" s="292">
        <v>0</v>
      </c>
      <c r="CL19" s="292">
        <v>0</v>
      </c>
      <c r="CM19" s="292">
        <v>0</v>
      </c>
      <c r="CN19" s="292">
        <v>0</v>
      </c>
      <c r="CO19" s="292">
        <v>0</v>
      </c>
      <c r="CP19" s="292">
        <v>0</v>
      </c>
      <c r="CQ19" s="292">
        <v>0</v>
      </c>
      <c r="CR19" s="292">
        <f>'[2]MEEIA 2 calcs'!CS67</f>
        <v>0</v>
      </c>
      <c r="CS19" s="292">
        <f>'[2]MEEIA 2 calcs'!CT67</f>
        <v>0</v>
      </c>
      <c r="CT19" s="293">
        <f>'[2]MEEIA 2 calcs'!CU67</f>
        <v>0</v>
      </c>
    </row>
    <row r="20" spans="1:99" x14ac:dyDescent="0.25">
      <c r="B20" s="65"/>
      <c r="G20" s="3"/>
      <c r="BY20" s="65"/>
      <c r="CT20" s="67"/>
    </row>
    <row r="21" spans="1:99" x14ac:dyDescent="0.25">
      <c r="A21" t="s">
        <v>117</v>
      </c>
      <c r="B21" s="65"/>
      <c r="D21" s="68" t="s">
        <v>67</v>
      </c>
      <c r="G21" s="3"/>
      <c r="BY21" s="65"/>
      <c r="CT21" s="67"/>
    </row>
    <row r="22" spans="1:99" x14ac:dyDescent="0.25">
      <c r="A22" t="s">
        <v>0</v>
      </c>
      <c r="B22" s="61">
        <v>0</v>
      </c>
      <c r="C22" s="62">
        <v>0</v>
      </c>
      <c r="D22" s="62">
        <v>0</v>
      </c>
      <c r="E22" s="62">
        <v>0</v>
      </c>
      <c r="F22" s="62">
        <v>12454.76</v>
      </c>
      <c r="G22" s="62">
        <v>191642.45</v>
      </c>
      <c r="H22" s="62">
        <v>257925.06</v>
      </c>
      <c r="I22" s="62">
        <v>258848.42</v>
      </c>
      <c r="J22" s="62">
        <v>234125.18</v>
      </c>
      <c r="K22" s="62">
        <v>166948.49</v>
      </c>
      <c r="L22" s="62">
        <v>136842.14000000001</v>
      </c>
      <c r="M22" s="62">
        <v>210493.55</v>
      </c>
      <c r="N22" s="62">
        <v>406285.42</v>
      </c>
      <c r="O22" s="62">
        <v>1369889.78</v>
      </c>
      <c r="P22" s="62">
        <v>1103029.06</v>
      </c>
      <c r="Q22" s="62">
        <v>964230.74</v>
      </c>
      <c r="R22" s="62">
        <v>918986.9</v>
      </c>
      <c r="S22" s="62">
        <v>1235335.3500000001</v>
      </c>
      <c r="T22" s="62">
        <v>1643710.03</v>
      </c>
      <c r="U22" s="62">
        <v>1663991.32</v>
      </c>
      <c r="V22" s="62">
        <v>1315722.52</v>
      </c>
      <c r="W22" s="62">
        <v>1155142.76</v>
      </c>
      <c r="X22" s="62">
        <v>1008647.72</v>
      </c>
      <c r="Y22" s="62">
        <v>1300717.95</v>
      </c>
      <c r="Z22" s="62">
        <v>1995202.44</v>
      </c>
      <c r="AA22" s="62">
        <v>1361606.16</v>
      </c>
      <c r="AB22" s="62">
        <v>1097480.82</v>
      </c>
      <c r="AC22" s="62">
        <v>1059578.1200000001</v>
      </c>
      <c r="AD22" s="62">
        <v>862980.65</v>
      </c>
      <c r="AE22" s="62">
        <v>1281774.72</v>
      </c>
      <c r="AF22" s="62">
        <v>1502957.34</v>
      </c>
      <c r="AG22" s="62">
        <v>1346919.46</v>
      </c>
      <c r="AH22" s="62">
        <v>1295482.8999999999</v>
      </c>
      <c r="AI22" s="62">
        <v>1002485.52</v>
      </c>
      <c r="AJ22" s="62">
        <v>930228.6</v>
      </c>
      <c r="AK22" s="62">
        <v>1294357.3</v>
      </c>
      <c r="AL22" s="62">
        <v>1435395.83</v>
      </c>
      <c r="AM22" s="62">
        <v>1500360.52</v>
      </c>
      <c r="AN22" s="62">
        <v>1351205.92</v>
      </c>
      <c r="AO22" s="62">
        <v>930965.27</v>
      </c>
      <c r="AP22" s="62">
        <v>791487</v>
      </c>
      <c r="AQ22" s="62">
        <v>1054075.57</v>
      </c>
      <c r="AR22" s="62">
        <v>1341002.6200000001</v>
      </c>
      <c r="AS22" s="62">
        <v>1411567.5</v>
      </c>
      <c r="AT22" s="62">
        <v>1302183.99</v>
      </c>
      <c r="AU22" s="62">
        <v>1070055.19</v>
      </c>
      <c r="AV22" s="191">
        <v>960017.17000000016</v>
      </c>
      <c r="AW22" s="191">
        <v>1291710.2399999998</v>
      </c>
      <c r="AX22" s="191">
        <v>1426440.21</v>
      </c>
      <c r="AY22" s="191">
        <v>836821.82000000007</v>
      </c>
      <c r="AZ22" s="191">
        <v>123502.59999999999</v>
      </c>
      <c r="BA22" s="191">
        <v>92675.74</v>
      </c>
      <c r="BB22" s="191">
        <v>82719.98000000001</v>
      </c>
      <c r="BC22" s="191">
        <v>109517.12</v>
      </c>
      <c r="BD22" s="191">
        <v>147043.66000000003</v>
      </c>
      <c r="BE22" s="191">
        <v>137831</v>
      </c>
      <c r="BF22" s="191">
        <v>124319.87000000002</v>
      </c>
      <c r="BG22" s="191">
        <v>84008.529999999984</v>
      </c>
      <c r="BH22" s="191">
        <v>89633.179999999978</v>
      </c>
      <c r="BI22" s="191">
        <v>118817.26999999997</v>
      </c>
      <c r="BJ22" s="191">
        <v>154664.07999999996</v>
      </c>
      <c r="BK22" s="191">
        <v>-113458.01000000001</v>
      </c>
      <c r="BL22" s="191">
        <v>-325175.89</v>
      </c>
      <c r="BM22" s="191">
        <v>-219552.88999999998</v>
      </c>
      <c r="BN22" s="191">
        <v>-206267.21999999997</v>
      </c>
      <c r="BO22" s="191">
        <v>-270595.87</v>
      </c>
      <c r="BP22" s="191">
        <v>-357386.66</v>
      </c>
      <c r="BQ22" s="191">
        <v>-364675.44</v>
      </c>
      <c r="BR22" s="191">
        <v>-358208.47</v>
      </c>
      <c r="BS22" s="191">
        <v>-248050.57999999996</v>
      </c>
      <c r="BT22" s="191">
        <v>-232428.06</v>
      </c>
      <c r="BU22" s="191">
        <v>-290836.60999999993</v>
      </c>
      <c r="BV22" s="191">
        <v>-375935.37</v>
      </c>
      <c r="BW22" s="191">
        <v>-242680.23</v>
      </c>
      <c r="BX22" s="208">
        <v>-13830.450000000003</v>
      </c>
      <c r="BY22" s="61">
        <v>-7909.1399999999994</v>
      </c>
      <c r="BZ22" s="191">
        <v>-7927.25</v>
      </c>
      <c r="CA22" s="191">
        <v>-10363.710000000001</v>
      </c>
      <c r="CB22" s="191">
        <v>-14271.869999999999</v>
      </c>
      <c r="CC22" s="191">
        <v>-13453.179999999998</v>
      </c>
      <c r="CD22" s="191">
        <v>-11260.050000000003</v>
      </c>
      <c r="CE22" s="191">
        <v>-8003.9400000000014</v>
      </c>
      <c r="CF22" s="191">
        <v>-7297.6799999999994</v>
      </c>
      <c r="CG22" s="191">
        <v>-11546.44</v>
      </c>
      <c r="CH22" s="191">
        <v>-13951.26</v>
      </c>
      <c r="CI22" s="191">
        <v>1126.4100000000001</v>
      </c>
      <c r="CJ22" s="191">
        <v>16692.440000000002</v>
      </c>
      <c r="CK22" s="191">
        <v>14494.89</v>
      </c>
      <c r="CL22" s="191">
        <v>12335.799999999997</v>
      </c>
      <c r="CM22" s="191">
        <v>15962.84</v>
      </c>
      <c r="CN22" s="191">
        <v>20902.030000000002</v>
      </c>
      <c r="CO22" s="191">
        <v>21552.200000000019</v>
      </c>
      <c r="CP22" s="191">
        <v>19936.31000000003</v>
      </c>
      <c r="CQ22" s="191">
        <v>14454.450000000017</v>
      </c>
      <c r="CR22" s="191">
        <f>-'[1]TDR.2 (M2)'!CN7</f>
        <v>12652.239999999994</v>
      </c>
      <c r="CS22" s="191">
        <f>-'[1]TDR.2 (M2)'!CO7</f>
        <v>17636.480000000032</v>
      </c>
      <c r="CT22" s="294">
        <f>-'[1]TDR.2 (M2)'!CP7</f>
        <v>23087.030000000035</v>
      </c>
      <c r="CU22" s="3"/>
    </row>
    <row r="23" spans="1:99" x14ac:dyDescent="0.25">
      <c r="A23" t="s">
        <v>4</v>
      </c>
      <c r="B23" s="61">
        <v>0</v>
      </c>
      <c r="C23" s="62">
        <v>0</v>
      </c>
      <c r="D23" s="62">
        <v>0</v>
      </c>
      <c r="E23" s="62">
        <v>0</v>
      </c>
      <c r="F23" s="62">
        <v>856.28</v>
      </c>
      <c r="G23" s="62">
        <v>12419.27</v>
      </c>
      <c r="H23" s="62">
        <v>14760.05</v>
      </c>
      <c r="I23" s="62">
        <v>14736.25</v>
      </c>
      <c r="J23" s="62">
        <v>14174.52</v>
      </c>
      <c r="K23" s="62">
        <v>12053.27</v>
      </c>
      <c r="L23" s="62">
        <v>10707.26</v>
      </c>
      <c r="M23" s="62">
        <v>12431.58</v>
      </c>
      <c r="N23" s="62">
        <v>27338.89</v>
      </c>
      <c r="O23" s="62">
        <v>144726.28</v>
      </c>
      <c r="P23" s="62">
        <v>128485.97</v>
      </c>
      <c r="Q23" s="62">
        <v>121597.62</v>
      </c>
      <c r="R23" s="62">
        <v>120360.92</v>
      </c>
      <c r="S23" s="62">
        <v>143026.74</v>
      </c>
      <c r="T23" s="62">
        <v>165801.25</v>
      </c>
      <c r="U23" s="62">
        <v>167384.09</v>
      </c>
      <c r="V23" s="62">
        <v>149701.24</v>
      </c>
      <c r="W23" s="62">
        <v>141748.14000000001</v>
      </c>
      <c r="X23" s="62">
        <v>126699.78</v>
      </c>
      <c r="Y23" s="62">
        <v>139926.94</v>
      </c>
      <c r="Z23" s="62">
        <v>202221.15</v>
      </c>
      <c r="AA23" s="62">
        <v>343067.75</v>
      </c>
      <c r="AB23" s="62">
        <v>300632.48</v>
      </c>
      <c r="AC23" s="62">
        <v>296300.02</v>
      </c>
      <c r="AD23" s="62">
        <v>268199.42</v>
      </c>
      <c r="AE23" s="62">
        <v>337634.86</v>
      </c>
      <c r="AF23" s="62">
        <v>372521.79</v>
      </c>
      <c r="AG23" s="62">
        <v>348089.17</v>
      </c>
      <c r="AH23" s="62">
        <v>342034.51</v>
      </c>
      <c r="AI23" s="62">
        <v>301373.81</v>
      </c>
      <c r="AJ23" s="62">
        <v>271517.73</v>
      </c>
      <c r="AK23" s="62">
        <v>328156.33</v>
      </c>
      <c r="AL23" s="62">
        <v>377703.97</v>
      </c>
      <c r="AM23" s="62">
        <v>708077.88</v>
      </c>
      <c r="AN23" s="62">
        <v>666764.85</v>
      </c>
      <c r="AO23" s="62">
        <v>540522.54</v>
      </c>
      <c r="AP23" s="62">
        <v>509584.1</v>
      </c>
      <c r="AQ23" s="62">
        <v>594934.36</v>
      </c>
      <c r="AR23" s="62">
        <v>680484</v>
      </c>
      <c r="AS23" s="62">
        <v>699354.09</v>
      </c>
      <c r="AT23" s="62">
        <v>675136.56</v>
      </c>
      <c r="AU23" s="62">
        <v>608437.81999999995</v>
      </c>
      <c r="AV23" s="191">
        <v>545178.31000000006</v>
      </c>
      <c r="AW23" s="191">
        <v>640578.34</v>
      </c>
      <c r="AX23" s="191">
        <v>683111.7200000002</v>
      </c>
      <c r="AY23" s="191">
        <v>419075.86999999994</v>
      </c>
      <c r="AZ23" s="191">
        <v>88037.890000000014</v>
      </c>
      <c r="BA23" s="191">
        <v>65160.170000000013</v>
      </c>
      <c r="BB23" s="191">
        <v>59309.859999999993</v>
      </c>
      <c r="BC23" s="191">
        <v>74165.440000000017</v>
      </c>
      <c r="BD23" s="191">
        <v>92442.400000000009</v>
      </c>
      <c r="BE23" s="191">
        <v>90973.54</v>
      </c>
      <c r="BF23" s="191">
        <v>86398.800000000047</v>
      </c>
      <c r="BG23" s="191">
        <v>70150.48000000001</v>
      </c>
      <c r="BH23" s="191">
        <v>70037.790000000008</v>
      </c>
      <c r="BI23" s="191">
        <v>80808.38</v>
      </c>
      <c r="BJ23" s="191">
        <v>96369.710000000021</v>
      </c>
      <c r="BK23" s="191">
        <v>-2328.37</v>
      </c>
      <c r="BL23" s="191">
        <v>-103760.54000000001</v>
      </c>
      <c r="BM23" s="191">
        <v>-82575.289999999994</v>
      </c>
      <c r="BN23" s="191">
        <v>-81377.440000000002</v>
      </c>
      <c r="BO23" s="191">
        <v>-96431.960000000021</v>
      </c>
      <c r="BP23" s="191">
        <v>-113596.04</v>
      </c>
      <c r="BQ23" s="191">
        <v>-114121.57000000002</v>
      </c>
      <c r="BR23" s="191">
        <v>-115328.91</v>
      </c>
      <c r="BS23" s="191">
        <v>-96228.189999999973</v>
      </c>
      <c r="BT23" s="191">
        <v>-85982.199999999983</v>
      </c>
      <c r="BU23" s="191">
        <v>-98041.830000000016</v>
      </c>
      <c r="BV23" s="191">
        <v>-115723.73999999999</v>
      </c>
      <c r="BW23" s="191">
        <v>-71353.679999999993</v>
      </c>
      <c r="BX23" s="208">
        <v>-3857.4300000000007</v>
      </c>
      <c r="BY23" s="61">
        <v>-3467.3700000000013</v>
      </c>
      <c r="BZ23" s="191">
        <v>-3190.6100000000006</v>
      </c>
      <c r="CA23" s="191">
        <v>-3616.7400000000002</v>
      </c>
      <c r="CB23" s="191">
        <v>-4165.8599999999997</v>
      </c>
      <c r="CC23" s="191">
        <v>-4368.6100000000006</v>
      </c>
      <c r="CD23" s="191">
        <v>-3971.1800000000007</v>
      </c>
      <c r="CE23" s="191">
        <v>-3310.57</v>
      </c>
      <c r="CF23" s="191">
        <v>-3161.7500000000005</v>
      </c>
      <c r="CG23" s="191">
        <v>-3849.25</v>
      </c>
      <c r="CH23" s="191">
        <v>-4431.0499999999993</v>
      </c>
      <c r="CI23" s="191">
        <v>-58.870000000000005</v>
      </c>
      <c r="CJ23" s="191">
        <v>4613.01</v>
      </c>
      <c r="CK23" s="191">
        <v>4219.75</v>
      </c>
      <c r="CL23" s="191">
        <v>3905.7799999999997</v>
      </c>
      <c r="CM23" s="191">
        <v>4751.5499999999993</v>
      </c>
      <c r="CN23" s="191">
        <v>5463.5399999999991</v>
      </c>
      <c r="CO23" s="191">
        <v>5606.4499999999953</v>
      </c>
      <c r="CP23" s="191">
        <v>5658.0300000000007</v>
      </c>
      <c r="CQ23" s="191">
        <v>4599.6799999999985</v>
      </c>
      <c r="CR23" s="191">
        <f>-'[1]TDR.2 (M2)'!CN8</f>
        <v>4218.810000000004</v>
      </c>
      <c r="CS23" s="191">
        <f>-'[1]TDR.2 (M2)'!CO8</f>
        <v>4872.9000000000033</v>
      </c>
      <c r="CT23" s="294">
        <f>-'[1]TDR.2 (M2)'!CP8</f>
        <v>5883.7200000000039</v>
      </c>
      <c r="CU23" s="3"/>
    </row>
    <row r="24" spans="1:99" x14ac:dyDescent="0.25">
      <c r="A24" t="s">
        <v>5</v>
      </c>
      <c r="B24" s="61">
        <v>0</v>
      </c>
      <c r="C24" s="62">
        <v>0</v>
      </c>
      <c r="D24" s="62">
        <v>0</v>
      </c>
      <c r="E24" s="62">
        <v>0</v>
      </c>
      <c r="F24" s="62">
        <v>2460.2199999999998</v>
      </c>
      <c r="G24" s="62">
        <v>40611.43</v>
      </c>
      <c r="H24" s="62">
        <v>46133.34</v>
      </c>
      <c r="I24" s="62">
        <v>46227.56</v>
      </c>
      <c r="J24" s="62">
        <v>46423.360000000001</v>
      </c>
      <c r="K24" s="62">
        <v>40852.160000000003</v>
      </c>
      <c r="L24" s="62">
        <v>37249.85</v>
      </c>
      <c r="M24" s="62">
        <v>38727.83</v>
      </c>
      <c r="N24" s="62">
        <v>63808.639999999999</v>
      </c>
      <c r="O24" s="62">
        <v>334912.75</v>
      </c>
      <c r="P24" s="62">
        <v>311859.65000000002</v>
      </c>
      <c r="Q24" s="62">
        <v>306431.03999999998</v>
      </c>
      <c r="R24" s="62">
        <v>315079.21999999997</v>
      </c>
      <c r="S24" s="62">
        <v>357143.49</v>
      </c>
      <c r="T24" s="62">
        <v>388918.74</v>
      </c>
      <c r="U24" s="62">
        <v>396209.91</v>
      </c>
      <c r="V24" s="62">
        <v>373506.75</v>
      </c>
      <c r="W24" s="62">
        <v>358646.38</v>
      </c>
      <c r="X24" s="62">
        <v>321927.84000000003</v>
      </c>
      <c r="Y24" s="62">
        <v>337190.07</v>
      </c>
      <c r="Z24" s="62">
        <v>406112.33</v>
      </c>
      <c r="AA24" s="62">
        <v>569283.56999999995</v>
      </c>
      <c r="AB24" s="62">
        <v>530638.37</v>
      </c>
      <c r="AC24" s="62">
        <v>535419.43000000005</v>
      </c>
      <c r="AD24" s="62">
        <v>530865.09</v>
      </c>
      <c r="AE24" s="62">
        <v>632987.31999999995</v>
      </c>
      <c r="AF24" s="62">
        <v>672168.03</v>
      </c>
      <c r="AG24" s="62">
        <v>636130.80000000005</v>
      </c>
      <c r="AH24" s="62">
        <v>647286.31999999995</v>
      </c>
      <c r="AI24" s="62">
        <v>588134.43000000005</v>
      </c>
      <c r="AJ24" s="62">
        <v>523066.9</v>
      </c>
      <c r="AK24" s="62">
        <v>569652.57999999996</v>
      </c>
      <c r="AL24" s="62">
        <v>622149.86</v>
      </c>
      <c r="AM24" s="62">
        <v>1121084.3899999999</v>
      </c>
      <c r="AN24" s="62">
        <v>1064143.96</v>
      </c>
      <c r="AO24" s="62">
        <v>956310.33</v>
      </c>
      <c r="AP24" s="62">
        <v>988397.62</v>
      </c>
      <c r="AQ24" s="62">
        <v>1099738.51</v>
      </c>
      <c r="AR24" s="62">
        <v>1183208.1399999999</v>
      </c>
      <c r="AS24" s="62">
        <v>1210589.8</v>
      </c>
      <c r="AT24" s="62">
        <v>1222150.02</v>
      </c>
      <c r="AU24" s="62">
        <v>1122226.3600000001</v>
      </c>
      <c r="AV24" s="191">
        <v>990572.77999999991</v>
      </c>
      <c r="AW24" s="191">
        <v>1074771.6100000001</v>
      </c>
      <c r="AX24" s="191">
        <v>1111703.5</v>
      </c>
      <c r="AY24" s="191">
        <v>772025.25999999966</v>
      </c>
      <c r="AZ24" s="191">
        <v>319798.53000000003</v>
      </c>
      <c r="BA24" s="191">
        <v>269033.2</v>
      </c>
      <c r="BB24" s="191">
        <v>249777.14000000004</v>
      </c>
      <c r="BC24" s="191">
        <v>297315.92999999988</v>
      </c>
      <c r="BD24" s="191">
        <v>347144.50999999989</v>
      </c>
      <c r="BE24" s="191">
        <v>345440.08999999991</v>
      </c>
      <c r="BF24" s="191">
        <v>344230.10999999993</v>
      </c>
      <c r="BG24" s="191">
        <v>293731.97000000003</v>
      </c>
      <c r="BH24" s="191">
        <v>286094.81999999995</v>
      </c>
      <c r="BI24" s="191">
        <v>307534.56999999995</v>
      </c>
      <c r="BJ24" s="191">
        <v>329595.59000000008</v>
      </c>
      <c r="BK24" s="191">
        <v>128230.92000000003</v>
      </c>
      <c r="BL24" s="191">
        <v>-119113.35999999999</v>
      </c>
      <c r="BM24" s="191">
        <v>-106709.26000000002</v>
      </c>
      <c r="BN24" s="191">
        <v>-108656.28</v>
      </c>
      <c r="BO24" s="191">
        <v>-121205.96</v>
      </c>
      <c r="BP24" s="191">
        <v>-141073.83000000002</v>
      </c>
      <c r="BQ24" s="191">
        <v>-140301.07</v>
      </c>
      <c r="BR24" s="191">
        <v>-142985.78</v>
      </c>
      <c r="BS24" s="191">
        <v>-125672.79000000004</v>
      </c>
      <c r="BT24" s="191">
        <v>-111672.41</v>
      </c>
      <c r="BU24" s="191">
        <v>-122048.8</v>
      </c>
      <c r="BV24" s="191">
        <v>-130402.89999999998</v>
      </c>
      <c r="BW24" s="191">
        <v>-91979.270000000019</v>
      </c>
      <c r="BX24" s="208">
        <v>-29965.900000000005</v>
      </c>
      <c r="BY24" s="61">
        <v>-27757.9</v>
      </c>
      <c r="BZ24" s="191">
        <v>-28438.250000000004</v>
      </c>
      <c r="CA24" s="191">
        <v>-31790.6</v>
      </c>
      <c r="CB24" s="191">
        <v>-36362.75</v>
      </c>
      <c r="CC24" s="191">
        <v>-35481.11</v>
      </c>
      <c r="CD24" s="191">
        <v>-33868.720000000001</v>
      </c>
      <c r="CE24" s="191">
        <v>-29154.440000000006</v>
      </c>
      <c r="CF24" s="191">
        <v>-27512.629999999997</v>
      </c>
      <c r="CG24" s="191">
        <v>-31793.77</v>
      </c>
      <c r="CH24" s="191">
        <v>-32743.360000000001</v>
      </c>
      <c r="CI24" s="191">
        <v>-16554.350000000002</v>
      </c>
      <c r="CJ24" s="191">
        <v>3415.88</v>
      </c>
      <c r="CK24" s="191">
        <v>3374.69</v>
      </c>
      <c r="CL24" s="191">
        <v>3515.7200000000003</v>
      </c>
      <c r="CM24" s="191">
        <v>3850.08</v>
      </c>
      <c r="CN24" s="191">
        <v>4146.47</v>
      </c>
      <c r="CO24" s="191">
        <v>4258.5400000000009</v>
      </c>
      <c r="CP24" s="191">
        <v>4280.5900000000011</v>
      </c>
      <c r="CQ24" s="191">
        <v>3781.2100000000005</v>
      </c>
      <c r="CR24" s="191">
        <f>-'[1]TDR.2 (M2)'!CN9</f>
        <v>3484.9999999999986</v>
      </c>
      <c r="CS24" s="191">
        <f>-'[1]TDR.2 (M2)'!CO9</f>
        <v>3454.2799999999997</v>
      </c>
      <c r="CT24" s="294">
        <f>-'[1]TDR.2 (M2)'!CP9</f>
        <v>4096.0199999999995</v>
      </c>
      <c r="CU24" s="3"/>
    </row>
    <row r="25" spans="1:99" x14ac:dyDescent="0.25">
      <c r="A25" t="s">
        <v>6</v>
      </c>
      <c r="B25" s="61">
        <v>0</v>
      </c>
      <c r="C25" s="62">
        <v>0</v>
      </c>
      <c r="D25" s="62">
        <v>0</v>
      </c>
      <c r="E25" s="62">
        <v>0</v>
      </c>
      <c r="F25" s="62">
        <v>1621.85</v>
      </c>
      <c r="G25" s="62">
        <v>15413.06</v>
      </c>
      <c r="H25" s="62">
        <v>19333.560000000001</v>
      </c>
      <c r="I25" s="62">
        <v>18858.009999999998</v>
      </c>
      <c r="J25" s="62">
        <v>20468.599999999999</v>
      </c>
      <c r="K25" s="62">
        <v>17365.72</v>
      </c>
      <c r="L25" s="62">
        <v>16669.060000000001</v>
      </c>
      <c r="M25" s="62">
        <v>16712.28</v>
      </c>
      <c r="N25" s="62">
        <v>31958.9</v>
      </c>
      <c r="O25" s="62">
        <v>328456.90999999997</v>
      </c>
      <c r="P25" s="62">
        <v>267175.5</v>
      </c>
      <c r="Q25" s="62">
        <v>287500.39</v>
      </c>
      <c r="R25" s="62">
        <v>291239.59000000003</v>
      </c>
      <c r="S25" s="62">
        <v>334700.84000000003</v>
      </c>
      <c r="T25" s="62">
        <v>327858.78000000003</v>
      </c>
      <c r="U25" s="62">
        <v>345877.98</v>
      </c>
      <c r="V25" s="62">
        <v>332796.82</v>
      </c>
      <c r="W25" s="62">
        <v>325738.77</v>
      </c>
      <c r="X25" s="62">
        <v>293261.37</v>
      </c>
      <c r="Y25" s="62">
        <v>307322.53000000003</v>
      </c>
      <c r="Z25" s="62">
        <v>339565.96</v>
      </c>
      <c r="AA25" s="62">
        <v>307869.25</v>
      </c>
      <c r="AB25" s="62">
        <v>306963.45</v>
      </c>
      <c r="AC25" s="62">
        <v>283370.14</v>
      </c>
      <c r="AD25" s="62">
        <v>326351.34000000003</v>
      </c>
      <c r="AE25" s="62">
        <v>353914.84</v>
      </c>
      <c r="AF25" s="62">
        <v>366503.78</v>
      </c>
      <c r="AG25" s="62">
        <v>360257.72</v>
      </c>
      <c r="AH25" s="62">
        <v>350605.05</v>
      </c>
      <c r="AI25" s="62">
        <v>328773.59000000003</v>
      </c>
      <c r="AJ25" s="62">
        <v>305971.46999999997</v>
      </c>
      <c r="AK25" s="62">
        <v>329009.21000000002</v>
      </c>
      <c r="AL25" s="62">
        <v>301972.13</v>
      </c>
      <c r="AM25" s="62">
        <v>361271.84</v>
      </c>
      <c r="AN25" s="62">
        <v>357649</v>
      </c>
      <c r="AO25" s="62">
        <v>342832.09</v>
      </c>
      <c r="AP25" s="62">
        <v>342002.7</v>
      </c>
      <c r="AQ25" s="62">
        <v>397393.17</v>
      </c>
      <c r="AR25" s="62">
        <v>399370.7</v>
      </c>
      <c r="AS25" s="62">
        <v>419257.53</v>
      </c>
      <c r="AT25" s="62">
        <v>416719</v>
      </c>
      <c r="AU25" s="62">
        <v>386141.21</v>
      </c>
      <c r="AV25" s="191">
        <v>357086.62000000005</v>
      </c>
      <c r="AW25" s="191">
        <v>359534.38999999996</v>
      </c>
      <c r="AX25" s="191">
        <v>369865.83</v>
      </c>
      <c r="AY25" s="191">
        <v>293791.12000000011</v>
      </c>
      <c r="AZ25" s="191">
        <v>123483.39000000001</v>
      </c>
      <c r="BA25" s="191">
        <v>118999.09</v>
      </c>
      <c r="BB25" s="191">
        <v>112027.34</v>
      </c>
      <c r="BC25" s="191">
        <v>130470.39999999999</v>
      </c>
      <c r="BD25" s="191">
        <v>137323.88</v>
      </c>
      <c r="BE25" s="191">
        <v>143937.83000000002</v>
      </c>
      <c r="BF25" s="191">
        <v>143974.57</v>
      </c>
      <c r="BG25" s="191">
        <v>127974.64999999998</v>
      </c>
      <c r="BH25" s="191">
        <v>127068.07999999999</v>
      </c>
      <c r="BI25" s="191">
        <v>132955.77000000002</v>
      </c>
      <c r="BJ25" s="191">
        <v>130544.62999999999</v>
      </c>
      <c r="BK25" s="191">
        <v>73117.320000000007</v>
      </c>
      <c r="BL25" s="191">
        <v>-23752.07</v>
      </c>
      <c r="BM25" s="191">
        <v>-25347.519999999997</v>
      </c>
      <c r="BN25" s="191">
        <v>-27081.250000000004</v>
      </c>
      <c r="BO25" s="191">
        <v>-24437.949999999997</v>
      </c>
      <c r="BP25" s="191">
        <v>-33816.269999999997</v>
      </c>
      <c r="BQ25" s="191">
        <v>-31047.429999999997</v>
      </c>
      <c r="BR25" s="191">
        <v>-31441.61</v>
      </c>
      <c r="BS25" s="191">
        <v>-27149.440000000002</v>
      </c>
      <c r="BT25" s="191">
        <v>-23682.34</v>
      </c>
      <c r="BU25" s="191">
        <v>-31128.820000000003</v>
      </c>
      <c r="BV25" s="191">
        <v>-30061.68</v>
      </c>
      <c r="BW25" s="191">
        <v>-21727.82</v>
      </c>
      <c r="BX25" s="208">
        <v>-9411.08</v>
      </c>
      <c r="BY25" s="61">
        <v>-9472.94</v>
      </c>
      <c r="BZ25" s="191">
        <v>-9265.8999999999978</v>
      </c>
      <c r="CA25" s="191">
        <v>-10540.89</v>
      </c>
      <c r="CB25" s="191">
        <v>-10967.710000000001</v>
      </c>
      <c r="CC25" s="191">
        <v>-10879.65</v>
      </c>
      <c r="CD25" s="191">
        <v>-10597.96</v>
      </c>
      <c r="CE25" s="191">
        <v>-9396.31</v>
      </c>
      <c r="CF25" s="191">
        <v>-9489.08</v>
      </c>
      <c r="CG25" s="191">
        <v>-9849.86</v>
      </c>
      <c r="CH25" s="191">
        <v>-9377.19</v>
      </c>
      <c r="CI25" s="191">
        <v>-6080.4400000000005</v>
      </c>
      <c r="CJ25" s="191">
        <v>667.65</v>
      </c>
      <c r="CK25" s="191">
        <v>877.65000000000009</v>
      </c>
      <c r="CL25" s="191">
        <v>877.06</v>
      </c>
      <c r="CM25" s="191">
        <v>917.12</v>
      </c>
      <c r="CN25" s="191">
        <v>941.31</v>
      </c>
      <c r="CO25" s="191">
        <v>1063.2999999999997</v>
      </c>
      <c r="CP25" s="191">
        <v>1016.7600000000001</v>
      </c>
      <c r="CQ25" s="191">
        <v>882.84999999999991</v>
      </c>
      <c r="CR25" s="191">
        <f>-'[1]TDR.2 (M2)'!CN10</f>
        <v>889.04</v>
      </c>
      <c r="CS25" s="191">
        <f>-'[1]TDR.2 (M2)'!CO10</f>
        <v>874.10000000000014</v>
      </c>
      <c r="CT25" s="294">
        <f>-'[1]TDR.2 (M2)'!CP10</f>
        <v>923.35</v>
      </c>
      <c r="CU25" s="3"/>
    </row>
    <row r="26" spans="1:99" x14ac:dyDescent="0.25">
      <c r="A26" t="s">
        <v>7</v>
      </c>
      <c r="B26" s="61">
        <v>0</v>
      </c>
      <c r="C26" s="62">
        <v>0</v>
      </c>
      <c r="D26" s="62">
        <v>0</v>
      </c>
      <c r="E26" s="62">
        <v>0</v>
      </c>
      <c r="F26" s="62"/>
      <c r="G26" s="62">
        <v>4867.8</v>
      </c>
      <c r="H26" s="62">
        <v>9528.7800000000007</v>
      </c>
      <c r="I26" s="62">
        <v>9622.07</v>
      </c>
      <c r="J26" s="62">
        <v>10571.65</v>
      </c>
      <c r="K26" s="62">
        <v>9276.2800000000007</v>
      </c>
      <c r="L26" s="62">
        <v>8552.14</v>
      </c>
      <c r="M26" s="62">
        <v>8040.28</v>
      </c>
      <c r="N26" s="62">
        <v>7958.8</v>
      </c>
      <c r="O26" s="62">
        <v>202699.47</v>
      </c>
      <c r="P26" s="62">
        <v>167678.56</v>
      </c>
      <c r="Q26" s="62">
        <v>185826.61</v>
      </c>
      <c r="R26" s="62">
        <v>189002.31</v>
      </c>
      <c r="S26" s="62">
        <v>225674.13</v>
      </c>
      <c r="T26" s="62">
        <v>213450.91</v>
      </c>
      <c r="U26" s="62">
        <v>236566.37</v>
      </c>
      <c r="V26" s="62">
        <v>225419.26</v>
      </c>
      <c r="W26" s="62">
        <v>214922.7</v>
      </c>
      <c r="X26" s="62">
        <v>204773.48</v>
      </c>
      <c r="Y26" s="62">
        <v>187770.83</v>
      </c>
      <c r="Z26" s="62">
        <v>190411.74</v>
      </c>
      <c r="AA26" s="62">
        <v>104692.59</v>
      </c>
      <c r="AB26" s="62">
        <v>18094.560000000001</v>
      </c>
      <c r="AC26" s="62">
        <v>17212.91</v>
      </c>
      <c r="AD26" s="62">
        <v>19682.41</v>
      </c>
      <c r="AE26" s="62">
        <v>21781.17</v>
      </c>
      <c r="AF26" s="62">
        <v>13233.54</v>
      </c>
      <c r="AG26" s="62">
        <v>22431.52</v>
      </c>
      <c r="AH26" s="62">
        <v>21067.32</v>
      </c>
      <c r="AI26" s="62">
        <v>20801.22</v>
      </c>
      <c r="AJ26" s="62">
        <v>19547.939999999999</v>
      </c>
      <c r="AK26" s="62">
        <v>19036.14</v>
      </c>
      <c r="AL26" s="62">
        <v>21300.85</v>
      </c>
      <c r="AM26" s="62">
        <v>41051.660000000003</v>
      </c>
      <c r="AN26" s="62">
        <v>64352.88</v>
      </c>
      <c r="AO26" s="62">
        <v>64072.1</v>
      </c>
      <c r="AP26" s="62">
        <v>62519.33</v>
      </c>
      <c r="AQ26" s="62">
        <v>78748.960000000006</v>
      </c>
      <c r="AR26" s="62">
        <v>73304.259999999995</v>
      </c>
      <c r="AS26" s="62">
        <v>81170.33</v>
      </c>
      <c r="AT26" s="62">
        <v>82260.42</v>
      </c>
      <c r="AU26" s="62">
        <v>77599.5</v>
      </c>
      <c r="AV26" s="191">
        <v>68913.849999999991</v>
      </c>
      <c r="AW26" s="191">
        <v>64843.479999999981</v>
      </c>
      <c r="AX26" s="191">
        <v>68622.930000000008</v>
      </c>
      <c r="AY26" s="191">
        <v>67842.5</v>
      </c>
      <c r="AZ26" s="191">
        <v>38688.329999999994</v>
      </c>
      <c r="BA26" s="191">
        <v>44298.869999999988</v>
      </c>
      <c r="BB26" s="191">
        <v>44976.560000000012</v>
      </c>
      <c r="BC26" s="191">
        <v>11431.369999999999</v>
      </c>
      <c r="BD26" s="191">
        <v>50558.239999999998</v>
      </c>
      <c r="BE26" s="191">
        <v>52075.91</v>
      </c>
      <c r="BF26" s="191">
        <v>52816.959999999999</v>
      </c>
      <c r="BG26" s="191">
        <v>46523.240000000005</v>
      </c>
      <c r="BH26" s="191">
        <v>45630.69</v>
      </c>
      <c r="BI26" s="191">
        <v>46596.579999999994</v>
      </c>
      <c r="BJ26" s="191">
        <v>42614.78</v>
      </c>
      <c r="BK26" s="191">
        <v>37690.370000000003</v>
      </c>
      <c r="BL26" s="191">
        <v>-999.06</v>
      </c>
      <c r="BM26" s="191">
        <v>1068.3500000000001</v>
      </c>
      <c r="BN26" s="191">
        <v>1085.3800000000001</v>
      </c>
      <c r="BO26" s="191">
        <v>1047.53</v>
      </c>
      <c r="BP26" s="191">
        <v>1336.8500000000001</v>
      </c>
      <c r="BQ26" s="191">
        <v>1272.6199999999999</v>
      </c>
      <c r="BR26" s="191">
        <v>1376.1</v>
      </c>
      <c r="BS26" s="191">
        <v>1261.3000000000002</v>
      </c>
      <c r="BT26" s="191">
        <v>837.34000000000015</v>
      </c>
      <c r="BU26" s="191">
        <v>1174.03</v>
      </c>
      <c r="BV26" s="191">
        <v>1093.94</v>
      </c>
      <c r="BW26" s="191">
        <v>596.12000000000012</v>
      </c>
      <c r="BX26" s="208">
        <v>-2115.3000000000002</v>
      </c>
      <c r="BY26" s="61">
        <v>-9955.1299999999992</v>
      </c>
      <c r="BZ26" s="191">
        <v>-1926.46</v>
      </c>
      <c r="CA26" s="191">
        <v>-2348.3700000000003</v>
      </c>
      <c r="CB26" s="191">
        <v>-2694.11</v>
      </c>
      <c r="CC26" s="191">
        <v>-2663.9100000000003</v>
      </c>
      <c r="CD26" s="191">
        <v>-2777.2000000000003</v>
      </c>
      <c r="CE26" s="191">
        <v>-2385.87</v>
      </c>
      <c r="CF26" s="191">
        <v>-2383.12</v>
      </c>
      <c r="CG26" s="191">
        <v>-2339.5099999999998</v>
      </c>
      <c r="CH26" s="191">
        <v>-1974.96</v>
      </c>
      <c r="CI26" s="191">
        <v>-1623.8199999999997</v>
      </c>
      <c r="CJ26" s="191">
        <v>-8.4700000000000006</v>
      </c>
      <c r="CK26" s="191">
        <v>0</v>
      </c>
      <c r="CL26" s="191">
        <v>0</v>
      </c>
      <c r="CM26" s="191">
        <v>0</v>
      </c>
      <c r="CN26" s="191">
        <v>0</v>
      </c>
      <c r="CO26" s="191">
        <v>0</v>
      </c>
      <c r="CP26" s="191">
        <v>0</v>
      </c>
      <c r="CQ26" s="191">
        <v>0</v>
      </c>
      <c r="CR26" s="191">
        <f>-'[1]TDR.2 (M2)'!CN11</f>
        <v>0</v>
      </c>
      <c r="CS26" s="191">
        <f>-'[1]TDR.2 (M2)'!CO11</f>
        <v>0</v>
      </c>
      <c r="CT26" s="294">
        <f>-'[1]TDR.2 (M2)'!CP11</f>
        <v>0</v>
      </c>
      <c r="CU26" s="3"/>
    </row>
    <row r="27" spans="1:99" x14ac:dyDescent="0.2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71"/>
      <c r="BZ27" s="3"/>
      <c r="CA27" s="3"/>
      <c r="CB27" s="3"/>
      <c r="CC27" s="3"/>
      <c r="CD27" s="3"/>
      <c r="CE27" s="3"/>
      <c r="CF27" s="3"/>
      <c r="CG27" s="3"/>
      <c r="CH27" s="3"/>
      <c r="CI27" s="3"/>
      <c r="CJ27" s="3"/>
      <c r="CK27" s="3"/>
      <c r="CL27" s="3"/>
      <c r="CM27" s="3"/>
      <c r="CN27" s="3"/>
      <c r="CO27" s="3"/>
      <c r="CP27" s="3"/>
      <c r="CQ27" s="3"/>
      <c r="CR27" s="3"/>
      <c r="CS27" s="3"/>
      <c r="CT27" s="295"/>
      <c r="CU27" s="3"/>
    </row>
    <row r="28" spans="1:99" x14ac:dyDescent="0.25">
      <c r="A28" t="s">
        <v>100</v>
      </c>
      <c r="B28" s="66"/>
      <c r="D28" s="68"/>
      <c r="K28" s="3"/>
      <c r="L28" s="3"/>
      <c r="M28" s="3"/>
      <c r="N28" s="3"/>
      <c r="BY28" s="65"/>
      <c r="CT28" s="67"/>
    </row>
    <row r="29" spans="1:99" x14ac:dyDescent="0.25">
      <c r="A29" t="s">
        <v>0</v>
      </c>
      <c r="B29" s="210">
        <v>0</v>
      </c>
      <c r="C29" s="73">
        <v>0</v>
      </c>
      <c r="D29" s="73">
        <v>0</v>
      </c>
      <c r="E29" s="73">
        <v>0</v>
      </c>
      <c r="F29" s="73">
        <f>+(F22-F36)+(F36*F22/SUM(F22:F26))</f>
        <v>12454.76</v>
      </c>
      <c r="G29" s="73">
        <f>+(G22-G36)+(G36*G22/SUM(G22:G26))</f>
        <v>191642.45</v>
      </c>
      <c r="H29" s="73">
        <f t="shared" ref="H29:P29" si="89">+(H22-H36)+(H36*H22/SUM(H22:H26))</f>
        <v>257925.06</v>
      </c>
      <c r="I29" s="73">
        <f t="shared" si="89"/>
        <v>258848.42</v>
      </c>
      <c r="J29" s="73">
        <f t="shared" si="89"/>
        <v>234125.18</v>
      </c>
      <c r="K29" s="73">
        <f t="shared" si="89"/>
        <v>166948.49</v>
      </c>
      <c r="L29" s="73">
        <f t="shared" si="89"/>
        <v>136842.14000000001</v>
      </c>
      <c r="M29" s="73">
        <f t="shared" si="89"/>
        <v>210493.55</v>
      </c>
      <c r="N29" s="73">
        <f t="shared" si="89"/>
        <v>406285.42</v>
      </c>
      <c r="O29" s="73">
        <f>+(O22-O36)+(O36*O22/SUM(O22:O26))</f>
        <v>1369889.78</v>
      </c>
      <c r="P29" s="73">
        <f t="shared" si="89"/>
        <v>1103029.06</v>
      </c>
      <c r="Q29" s="73">
        <f>+(Q22-Q36)+(Q36*'[1]PPC.3, PCR.2'!P30/SUM('[1]PPC.3, PCR.2'!P30:P34))</f>
        <v>983976.8055998187</v>
      </c>
      <c r="R29" s="73">
        <f>+(R22-R36)+(R36*'[1]PPC.3, PCR.2'!Q30/SUM('[1]PPC.3, PCR.2'!Q30:Q34))</f>
        <v>936126.67058040295</v>
      </c>
      <c r="S29" s="73">
        <f>+(S22-S36)+(S36*'[1]PPC.3, PCR.2'!R30/SUM('[1]PPC.3, PCR.2'!R30:R34))</f>
        <v>1254886.244789884</v>
      </c>
      <c r="T29" s="73">
        <f>+(T22-T36)+(T36*'[1]PPC.3, PCR.2'!S30/SUM('[1]PPC.3, PCR.2'!S30:S34))</f>
        <v>1666724.2213379955</v>
      </c>
      <c r="U29" s="73">
        <f>+(U22-U36)+(U36*'[1]PPC.3, PCR.2'!T30/SUM('[1]PPC.3, PCR.2'!T30:T34))</f>
        <v>1687867.967739454</v>
      </c>
      <c r="V29" s="73">
        <f>+(V22-V36)+(V36*'[1]PPC.3, PCR.2'!U30/SUM('[1]PPC.3, PCR.2'!U30:U34))</f>
        <v>1336984.8118306769</v>
      </c>
      <c r="W29" s="73">
        <f>+(W22-W36)+(W36*'[1]PPC.3, PCR.2'!V30/SUM('[1]PPC.3, PCR.2'!V30:V34))</f>
        <v>1174985.3507627479</v>
      </c>
      <c r="X29" s="73">
        <f>+(X22-X36)+(X36*'[1]PPC.3, PCR.2'!W30/SUM('[1]PPC.3, PCR.2'!W30:W34))</f>
        <v>1029531.6444714632</v>
      </c>
      <c r="Y29" s="73">
        <f>+(Y22-Y36)+(Y36*'[1]PPC.3, PCR.2'!X30/SUM('[1]PPC.3, PCR.2'!X30:X34))</f>
        <v>1326453.2350570641</v>
      </c>
      <c r="Z29" s="73">
        <f>+(Z22-Z36)+(Z36*'[1]PPC.3, PCR.2'!Y30/SUM('[1]PPC.3, PCR.2'!Y30:Y34))</f>
        <v>2030661.7411402338</v>
      </c>
      <c r="AA29" s="73">
        <f>+(AA22-AA36)+(AA36*'[1]PPC.3, PCR.2'!Z30/SUM('[1]PPC.3, PCR.2'!Z30:Z34))</f>
        <v>1388250.351917315</v>
      </c>
      <c r="AB29" s="73">
        <f>+(AB22-AB36)+(AB36*'[1]PPC.3, PCR.2'!AA30/SUM('[1]PPC.3, PCR.2'!AA30:AA34))</f>
        <v>1120654.6531242458</v>
      </c>
      <c r="AC29" s="73">
        <f>+(AC22-AC36)+(AC36*'[1]PPC.3, PCR.2'!AB30/SUM('[1]PPC.3, PCR.2'!AB30:AB34))</f>
        <v>1082451.6725849968</v>
      </c>
      <c r="AD29" s="73">
        <f>+(AD22-AD36)+(AD36*'[1]PPC.3, PCR.2'!AC30/SUM('[1]PPC.3, PCR.2'!AC30:AC34))</f>
        <v>880251.85351460415</v>
      </c>
      <c r="AE29" s="73">
        <f>+(AE22-AE36)+(AE36*'[1]PPC.3, PCR.2'!AD30/SUM('[1]PPC.3, PCR.2'!AD30:AD34))</f>
        <v>1301284.1891339927</v>
      </c>
      <c r="AF29" s="73">
        <f>+(AF22-AF36)+(AF36*'[1]PPC.3, PCR.2'!AE30/SUM('[1]PPC.3, PCR.2'!AE30:AE34))</f>
        <v>1524704.8572049867</v>
      </c>
      <c r="AG29" s="73">
        <f>+(AG22-AG36)+(AG36*'[1]PPC.3, PCR.2'!AF30/SUM('[1]PPC.3, PCR.2'!AF30:AF34))</f>
        <v>1366723.6950669868</v>
      </c>
      <c r="AH29" s="73">
        <f>+(AH22-AH36)+(AH36*'[1]PPC.3, PCR.2'!AG30/SUM('[1]PPC.3, PCR.2'!AG30:AG34))</f>
        <v>1314605.108458352</v>
      </c>
      <c r="AI29" s="73">
        <f>+(AI22-AI36)+(AI36*'[1]PPC.3, PCR.2'!AH30/SUM('[1]PPC.3, PCR.2'!AH30:AH34))</f>
        <v>1020432.9529194708</v>
      </c>
      <c r="AJ29" s="73">
        <f>+(AJ22-AJ36)+(AJ36*'[1]PPC.3, PCR.2'!AI30/SUM('[1]PPC.3, PCR.2'!AI30:AI34))</f>
        <v>950195.40735321853</v>
      </c>
      <c r="AK29" s="73">
        <f>+(AK22-AK36)+(AK36*'[1]PPC.3, PCR.2'!AJ30/SUM('[1]PPC.3, PCR.2'!AJ30:AJ34))</f>
        <v>1320371.9817385538</v>
      </c>
      <c r="AL29" s="73">
        <f>+(AL22-AL36)+(AL36*'[1]PPC.3, PCR.2'!AK30/SUM('[1]PPC.3, PCR.2'!AK30:AK34))</f>
        <v>1462433.5546846255</v>
      </c>
      <c r="AM29" s="73">
        <f>+(AM22-AM36)+(AM36*'[1]PPC.3, PCR.2'!AL30/SUM('[1]PPC.3, PCR.2'!AL30:AL34))</f>
        <v>1529137.4028414818</v>
      </c>
      <c r="AN29" s="73">
        <f>+(AN22-AN36)+(AN36*'[1]PPC.3, PCR.2'!AM30/SUM('[1]PPC.3, PCR.2'!AM30:AM34))</f>
        <v>1378360.7270812315</v>
      </c>
      <c r="AO29" s="73">
        <f>+(AO22-AO36)+(AO36*'[1]PPC.3, PCR.2'!AN30/SUM('[1]PPC.3, PCR.2'!AN30:AN34))</f>
        <v>951160.98963883938</v>
      </c>
      <c r="AP29" s="73">
        <f>+(AP22-AP36)+(AP36*'PCR (M3)'!G28/SUM('PCR (M3)'!G28:G32))</f>
        <v>807723.67786616471</v>
      </c>
      <c r="AQ29" s="73">
        <f>+(AQ22-AQ36)+(AQ36*'PCR (M3)'!H28/SUM('PCR (M3)'!H28:H32))</f>
        <v>1071830.4459348798</v>
      </c>
      <c r="AR29" s="73">
        <f>+(AR22-AR36)+(AR36*'PCR (M3)'!I28/SUM('PCR (M3)'!I28:I32))</f>
        <v>1361027.792333117</v>
      </c>
      <c r="AS29" s="73">
        <f>+(AS22-AS36)+(AS36*'PCR (M3)'!J28/SUM('PCR (M3)'!J28:J32))</f>
        <v>1432733.48651519</v>
      </c>
      <c r="AT29" s="73">
        <f>+(AT22-AT36)+(AT36*'PCR (M3)'!K28/SUM('PCR (M3)'!K28:K32))</f>
        <v>1322179.2642833879</v>
      </c>
      <c r="AU29" s="73">
        <f>+(AU22-AU36)+(AU36*'PCR (M3)'!L28/SUM('PCR (M3)'!L28:L32))</f>
        <v>1087865.4265500808</v>
      </c>
      <c r="AV29" s="73">
        <f>+(AV22-AV36)+(AV36*'PCR (M3)'!M28/SUM('PCR (M3)'!M28:M32))</f>
        <v>979499.93887924915</v>
      </c>
      <c r="AW29" s="73">
        <f>+(AW22-AW36)+(AW36*'PCR (M3)'!N28/SUM('PCR (M3)'!N28:N32))</f>
        <v>1315854.6359199635</v>
      </c>
      <c r="AX29" s="73">
        <f>+(AX22-AX36)+(AX36*'PCR (M3)'!O28/SUM('PCR (M3)'!O28:O32))</f>
        <v>1452342.8430098211</v>
      </c>
      <c r="AY29" s="73">
        <f>+(AY22-AY36)+(AY36*'PCR (M3)'!P28/SUM('PCR (M3)'!P28:P32))</f>
        <v>852786.52127385815</v>
      </c>
      <c r="AZ29" s="73">
        <f>+(AZ22-AZ36)+(AZ36*'PCR (M3)'!Q28/SUM('PCR (M3)'!Q28:Q32))</f>
        <v>125873.38282544474</v>
      </c>
      <c r="BA29" s="73">
        <f>+(BA22-BA36)+(BA36*'PCR (M3)'!R28/SUM('PCR (M3)'!R28:R32))</f>
        <v>94402.787188311384</v>
      </c>
      <c r="BB29" s="73">
        <f>+(BB22-BB36)+(BB36*'PCR (M3)'!S28/SUM('PCR (M3)'!S28:S32))</f>
        <v>84175.513069788285</v>
      </c>
      <c r="BC29" s="73">
        <f>+(BC22-BC36)+(BC36*'PCR (M3)'!T28/SUM('PCR (M3)'!T28:T32))</f>
        <v>111088.05405709325</v>
      </c>
      <c r="BD29" s="73">
        <f>+(BD22-BD36)+(BD36*'PCR (M3)'!U28/SUM('PCR (M3)'!U28:U32))</f>
        <v>148912.49147732253</v>
      </c>
      <c r="BE29" s="73">
        <f>+(BE22-BE36)+(BE36*'PCR (M3)'!V28/SUM('PCR (M3)'!V28:V32))</f>
        <v>139614.44094102815</v>
      </c>
      <c r="BF29" s="73">
        <f>+(BF22-BF36)+(BF36*'PCR (M3)'!W28/SUM('PCR (M3)'!W28:W32))</f>
        <v>125976.71022904468</v>
      </c>
      <c r="BG29" s="73">
        <f>+(BG22-BG36)+(BG36*'PCR (M3)'!X28/SUM('PCR (M3)'!X28:X32))</f>
        <v>85433.845861912763</v>
      </c>
      <c r="BH29" s="73">
        <f>+(BH22-BH36)+(BH36*'PCR (M3)'!Y28/SUM('PCR (M3)'!Y28:Y32))</f>
        <v>91258.917890257682</v>
      </c>
      <c r="BI29" s="73">
        <f>+(BI22-BI36)+(BI36*'PCR (M3)'!Z28/SUM('PCR (M3)'!Z28:Z32))</f>
        <v>120857.06275512141</v>
      </c>
      <c r="BJ29" s="73">
        <f>+(BJ22-BJ36)+(BJ36*'PCR (M3)'!AA28/SUM('PCR (M3)'!AA28:AA32))</f>
        <v>157131.76386056474</v>
      </c>
      <c r="BK29" s="73">
        <f>+(BK22-BK36)+(BK36*'PCR (M3)'!AB28/SUM('PCR (M3)'!AB28:AB32))</f>
        <v>-115197.03218943031</v>
      </c>
      <c r="BL29" s="73">
        <f>+(BL22-BL36)+(BL36*'PCR (M3)'!AC28/SUM('PCR (M3)'!AC28:AC32))</f>
        <v>-330846.44785598782</v>
      </c>
      <c r="BM29" s="73">
        <f>+(BM22-BM36)+(BM36*'PCR (M3)'!AD28/SUM('PCR (M3)'!AD28:AD32))</f>
        <v>-223865.36362995685</v>
      </c>
      <c r="BN29" s="73">
        <f>+(BN22-BN36)+(BN36*'PCR (M3)'!AE28/SUM('PCR (M3)'!AE28:AE32))</f>
        <v>-210176.78057078714</v>
      </c>
      <c r="BO29" s="73">
        <f>+(BO22-BO36)+(BO36*'PCR (M3)'!AF28/SUM('PCR (M3)'!AF28:AF32))</f>
        <v>-274664.86631310626</v>
      </c>
      <c r="BP29" s="73">
        <f>+(BP22-BP36)+(BP36*'PCR (M3)'!AG28/SUM('PCR (M3)'!AG28:AG32))</f>
        <v>-362529.15554440091</v>
      </c>
      <c r="BQ29" s="73">
        <f>+(BQ22-BQ36)+(BQ36*'PCR (M3)'!AH28/SUM('PCR (M3)'!AH28:AH32))</f>
        <v>-369792.94310600177</v>
      </c>
      <c r="BR29" s="73">
        <f>+(BR22-BR36)+(BR36*'PCR (M3)'!AI28/SUM('PCR (M3)'!AI28:AI32))</f>
        <v>-363385.55298456381</v>
      </c>
      <c r="BS29" s="73">
        <f>+(BS22-BS36)+(BS36*'PCR (M3)'!AJ28/SUM('PCR (M3)'!AJ28:AJ32))</f>
        <v>-252118.80647925977</v>
      </c>
      <c r="BT29" s="73">
        <f>+(BT22-BT36)+(BT36*'PCR (M3)'!AK28/SUM('PCR (M3)'!AK28:AK32))</f>
        <v>-237271.91053566517</v>
      </c>
      <c r="BU29" s="73">
        <f>+(BU22-BU36)+(BU36*'PCR (M3)'!AL28/SUM('PCR (M3)'!AL28:AL32))</f>
        <v>-297440.02156472037</v>
      </c>
      <c r="BV29" s="73">
        <f>+(BV22-BV36)+(BV36*'PCR (M3)'!AM28/SUM('PCR (M3)'!AM28:AM32))</f>
        <v>-384027.55955538503</v>
      </c>
      <c r="BW29" s="73">
        <f>+(BW22-BW36)+(BW36*'PCR (M3)'!AN28/SUM('PCR (M3)'!AN28:AN32))</f>
        <v>-248448.70779312411</v>
      </c>
      <c r="BX29" s="73">
        <f>+(BX22-BX36)+(BX36*'PCR (M3)'!AO28/SUM('PCR (M3)'!AO28:AO32))</f>
        <v>-14142.518065753949</v>
      </c>
      <c r="BY29" s="210">
        <f>+(BY22-BY36)+(BY36*'PCR (M3)'!AP28/SUM('PCR (M3)'!AP28:AP32))</f>
        <v>-8108.3955144196925</v>
      </c>
      <c r="BZ29" s="73">
        <f>+(BZ22-BZ36)+(BZ36*'PCR (M3)'!AQ28/SUM('PCR (M3)'!AQ28:AQ32))</f>
        <v>-8073.3360940229468</v>
      </c>
      <c r="CA29" s="73">
        <f>+(CA22-CA36)+(CA36*'PCR (M3)'!AR28/SUM('PCR (M3)'!AR28:AR32))</f>
        <v>-10522.970092720119</v>
      </c>
      <c r="CB29" s="73">
        <f>+(CB22-CB36)+(CB36*'PCR (M3)'!AS28/SUM('PCR (M3)'!AS28:AS32))</f>
        <v>-14468.941204805697</v>
      </c>
      <c r="CC29" s="73">
        <f>+(CC22-CC36)+(CC36*'PCR (M3)'!AT28/SUM('PCR (M3)'!AT28:AT32))</f>
        <v>-13654.530108070916</v>
      </c>
      <c r="CD29" s="73">
        <f>+(CD22-CD36)+(CD36*'PCR (M3)'!AU28/SUM('PCR (M3)'!AU28:AU32))</f>
        <v>-11445.528735503305</v>
      </c>
      <c r="CE29" s="73">
        <f>+(CE22-CE36)+(CE36*'PCR (M3)'!AV28/SUM('PCR (M3)'!AV28:AV32))</f>
        <v>-8161.2905921701904</v>
      </c>
      <c r="CF29" s="73">
        <f>+(CF22-CF36)+(CF36*'PCR (M3)'!AW28/SUM('PCR (M3)'!AW28:AW32))</f>
        <v>-7466.174053637701</v>
      </c>
      <c r="CG29" s="73">
        <f>+(CG22-CG36)+(CG36*'PCR (M3)'!AX28/SUM('PCR (M3)'!AX28:AX32))</f>
        <v>-11799.60123590958</v>
      </c>
      <c r="CH29" s="73">
        <f>+(CH22-CH36)+(CH36*'PCR (M3)'!AY28/SUM('PCR (M3)'!AY28:AY32))</f>
        <v>-14218.800814047187</v>
      </c>
      <c r="CI29" s="73">
        <f>+(CI22-CI36)+(CI36*'PCR (M3)'!AZ28/SUM('PCR (M3)'!AZ28:AZ32))</f>
        <v>1128.7472916282129</v>
      </c>
      <c r="CJ29" s="73">
        <f>+(CJ22-CJ36)+(CJ36*'PCR (M3)'!BA28/SUM('PCR (M3)'!BA28:BA32))</f>
        <v>17063.412176146547</v>
      </c>
      <c r="CK29" s="73">
        <f>+(CK22-CK36)+(CK36*'PCR (M3)'!BB28/SUM('PCR (M3)'!BB28:BB32))</f>
        <v>14834.032673913982</v>
      </c>
      <c r="CL29" s="73">
        <f>+(CL22-CL36)+(CL36*'PCR (M3)'!BC28/SUM('PCR (M3)'!BC28:BC32))</f>
        <v>12618.250319023462</v>
      </c>
      <c r="CM29" s="73">
        <f>+(CM22-CM36)+(CM36*'PCR (M3)'!BD28/SUM('PCR (M3)'!BD28:BD32))</f>
        <v>16278.292305872981</v>
      </c>
      <c r="CN29" s="73">
        <f>+(CN22-CN36)+(CN36*'PCR (M3)'!BE28/SUM('PCR (M3)'!BE28:BE32))</f>
        <v>21270.906790485864</v>
      </c>
      <c r="CO29" s="73">
        <f>+(CO22-CO36)+(CO36*'PCR (M3)'!BF28/SUM('PCR (M3)'!BF28:BF32))</f>
        <v>21946.695895800665</v>
      </c>
      <c r="CP29" s="73">
        <f>+(CP22-CP36)+(CP36*'PCR (M3)'!BG28/SUM('PCR (M3)'!BG28:BG32))</f>
        <v>20318.68032976161</v>
      </c>
      <c r="CQ29" s="73">
        <f>+(CQ22-CQ36)+(CQ36*'PCR (M3)'!BH28/SUM('PCR (M3)'!BH28:BH32))</f>
        <v>14782.334123161972</v>
      </c>
      <c r="CR29" s="73">
        <f>+(CR22-CR36)+(CR36*'PCR (M3)'!BI28/SUM('PCR (M3)'!BI28:BI32))</f>
        <v>12971.488360059217</v>
      </c>
      <c r="CS29" s="73">
        <f>+(CS22-CS36)+(CS36*'PCR (M3)'!BJ28/SUM('PCR (M3)'!BJ28:BJ32))</f>
        <v>18052.481850703167</v>
      </c>
      <c r="CT29" s="75">
        <f>+(CT22-CT36)+(CT36*'PCR (M3)'!BK28/SUM('PCR (M3)'!BK28:BK32))</f>
        <v>23582.01268907174</v>
      </c>
      <c r="CU29" s="3"/>
    </row>
    <row r="30" spans="1:99" x14ac:dyDescent="0.25">
      <c r="A30" t="s">
        <v>4</v>
      </c>
      <c r="B30" s="210">
        <v>0</v>
      </c>
      <c r="C30" s="73">
        <v>0</v>
      </c>
      <c r="D30" s="73">
        <v>0</v>
      </c>
      <c r="E30" s="73">
        <v>0</v>
      </c>
      <c r="F30" s="73">
        <f>+F23+(F36*F23/SUM(F22:F26))</f>
        <v>856.28</v>
      </c>
      <c r="G30" s="73">
        <f t="shared" ref="G30:P30" si="90">+G23+(G36*G23/SUM(G22:G26))</f>
        <v>12419.27</v>
      </c>
      <c r="H30" s="73">
        <f t="shared" si="90"/>
        <v>14760.05</v>
      </c>
      <c r="I30" s="73">
        <f t="shared" si="90"/>
        <v>14736.25</v>
      </c>
      <c r="J30" s="73">
        <f t="shared" si="90"/>
        <v>14174.52</v>
      </c>
      <c r="K30" s="73">
        <f t="shared" si="90"/>
        <v>12053.27</v>
      </c>
      <c r="L30" s="73">
        <f t="shared" si="90"/>
        <v>10707.26</v>
      </c>
      <c r="M30" s="73">
        <f t="shared" si="90"/>
        <v>12431.58</v>
      </c>
      <c r="N30" s="73">
        <f t="shared" si="90"/>
        <v>27338.89</v>
      </c>
      <c r="O30" s="73">
        <f t="shared" si="90"/>
        <v>144726.28</v>
      </c>
      <c r="P30" s="73">
        <f t="shared" si="90"/>
        <v>128485.97</v>
      </c>
      <c r="Q30" s="73">
        <f>+Q23+(Q36*'[1]PPC.3, PCR.2'!P31/SUM('[1]PPC.3, PCR.2'!P30:P34))</f>
        <v>117754.86766427531</v>
      </c>
      <c r="R30" s="73">
        <f>+R23+(R36*'[1]PPC.3, PCR.2'!Q31/SUM('[1]PPC.3, PCR.2'!Q30:Q34))</f>
        <v>117111.78358657917</v>
      </c>
      <c r="S30" s="73">
        <f>+S23+(S36*'[1]PPC.3, PCR.2'!R31/SUM('[1]PPC.3, PCR.2'!R30:R34))</f>
        <v>139211.1271761941</v>
      </c>
      <c r="T30" s="73">
        <f>+T23+(T36*'[1]PPC.3, PCR.2'!S31/SUM('[1]PPC.3, PCR.2'!S30:S34))</f>
        <v>160900.46992761682</v>
      </c>
      <c r="U30" s="73">
        <f>+U23+(U36*'[1]PPC.3, PCR.2'!T31/SUM('[1]PPC.3, PCR.2'!T30:T34))</f>
        <v>162415.72720926077</v>
      </c>
      <c r="V30" s="73">
        <f>+V23+(V36*'[1]PPC.3, PCR.2'!U31/SUM('[1]PPC.3, PCR.2'!U30:U34))</f>
        <v>145481.1603029698</v>
      </c>
      <c r="W30" s="73">
        <f>+W23+(W36*'[1]PPC.3, PCR.2'!V31/SUM('[1]PPC.3, PCR.2'!V30:V34))</f>
        <v>137867.15538119225</v>
      </c>
      <c r="X30" s="73">
        <f>+X23+(X36*'[1]PPC.3, PCR.2'!W31/SUM('[1]PPC.3, PCR.2'!W30:W34))</f>
        <v>122671.59779667509</v>
      </c>
      <c r="Y30" s="73">
        <f>+Y23+(Y36*'[1]PPC.3, PCR.2'!X31/SUM('[1]PPC.3, PCR.2'!X30:X34))</f>
        <v>134648.09810155624</v>
      </c>
      <c r="Z30" s="73">
        <f>+Z23+(Z36*'[1]PPC.3, PCR.2'!Y31/SUM('[1]PPC.3, PCR.2'!Y30:Y34))</f>
        <v>193970.45230344273</v>
      </c>
      <c r="AA30" s="73">
        <f>+AA23+(AA36*'[1]PPC.3, PCR.2'!Z31/SUM('[1]PPC.3, PCR.2'!Z30:Z34))</f>
        <v>337014.48620173347</v>
      </c>
      <c r="AB30" s="73">
        <f>+AB23+(AB36*'[1]PPC.3, PCR.2'!AA31/SUM('[1]PPC.3, PCR.2'!AA30:AA34))</f>
        <v>295708.57620644657</v>
      </c>
      <c r="AC30" s="73">
        <f>+AC23+(AC36*'[1]PPC.3, PCR.2'!AB31/SUM('[1]PPC.3, PCR.2'!AB30:AB34))</f>
        <v>291406.59328999976</v>
      </c>
      <c r="AD30" s="73">
        <f>+AD23+(AD36*'[1]PPC.3, PCR.2'!AC31/SUM('[1]PPC.3, PCR.2'!AC30:AC34))</f>
        <v>264923.25566753082</v>
      </c>
      <c r="AE30" s="73">
        <f>+AE23+(AE36*'[1]PPC.3, PCR.2'!AD31/SUM('[1]PPC.3, PCR.2'!AD30:AD34))</f>
        <v>333657.21503767214</v>
      </c>
      <c r="AF30" s="73">
        <f>+AF23+(AF36*'[1]PPC.3, PCR.2'!AE31/SUM('[1]PPC.3, PCR.2'!AE30:AE34))</f>
        <v>367915.86365673423</v>
      </c>
      <c r="AG30" s="73">
        <f>+AG23+(AG36*'[1]PPC.3, PCR.2'!AF31/SUM('[1]PPC.3, PCR.2'!AF30:AF34))</f>
        <v>344001.06732957577</v>
      </c>
      <c r="AH30" s="73">
        <f>+AH23+(AH36*'[1]PPC.3, PCR.2'!AG31/SUM('[1]PPC.3, PCR.2'!AG30:AG34))</f>
        <v>338126.29031171976</v>
      </c>
      <c r="AI30" s="73">
        <f>+AI23+(AI36*'[1]PPC.3, PCR.2'!AH31/SUM('[1]PPC.3, PCR.2'!AH30:AH34))</f>
        <v>297845.76900715684</v>
      </c>
      <c r="AJ30" s="73">
        <f>+AJ23+(AJ36*'[1]PPC.3, PCR.2'!AI31/SUM('[1]PPC.3, PCR.2'!AI30:AI34))</f>
        <v>267618.62093979405</v>
      </c>
      <c r="AK30" s="73">
        <f>+AK23+(AK36*'[1]PPC.3, PCR.2'!AJ31/SUM('[1]PPC.3, PCR.2'!AJ30:AJ34))</f>
        <v>322555.10705520917</v>
      </c>
      <c r="AL30" s="73">
        <f>+AL23+(AL36*'[1]PPC.3, PCR.2'!AK31/SUM('[1]PPC.3, PCR.2'!AK30:AK34))</f>
        <v>371341.16797562933</v>
      </c>
      <c r="AM30" s="73">
        <f>+AM23+(AM36*'[1]PPC.3, PCR.2'!AL31/SUM('[1]PPC.3, PCR.2'!AL30:AL34))</f>
        <v>701136.2388481237</v>
      </c>
      <c r="AN30" s="73">
        <f>+AN23+(AN36*'[1]PPC.3, PCR.2'!AM31/SUM('[1]PPC.3, PCR.2'!AM30:AM34))</f>
        <v>660367.02395744435</v>
      </c>
      <c r="AO30" s="73">
        <f>+AO23+(AO36*'[1]PPC.3, PCR.2'!AN31/SUM('[1]PPC.3, PCR.2'!AN30:AN34))</f>
        <v>536256.50994038768</v>
      </c>
      <c r="AP30" s="73">
        <f>+AP23+(AP36*'PCR (M3)'!G29/SUM('PCR (M3)'!G28:G32))</f>
        <v>506299.41162084811</v>
      </c>
      <c r="AQ30" s="73">
        <f>+AQ23+(AQ36*'PCR (M3)'!H29/SUM('PCR (M3)'!H28:H32))</f>
        <v>591277.49932374491</v>
      </c>
      <c r="AR30" s="73">
        <f>+AR23+(AR36*'PCR (M3)'!I29/SUM('PCR (M3)'!I28:I32))</f>
        <v>676039.62753147224</v>
      </c>
      <c r="AS30" s="73">
        <f>+AS23+(AS36*'PCR (M3)'!J29/SUM('PCR (M3)'!J28:J32))</f>
        <v>694696.60025960801</v>
      </c>
      <c r="AT30" s="73">
        <f>+AT23+(AT36*'PCR (M3)'!K29/SUM('PCR (M3)'!K28:K32))</f>
        <v>670877.10139883822</v>
      </c>
      <c r="AU30" s="73">
        <f>+AU23+(AU36*'PCR (M3)'!L29/SUM('PCR (M3)'!L28:L32))</f>
        <v>604713.02387172775</v>
      </c>
      <c r="AV30" s="73">
        <f>+AV23+(AV36*'PCR (M3)'!M29/SUM('PCR (M3)'!M28:M32))</f>
        <v>541098.36747130833</v>
      </c>
      <c r="AW30" s="73">
        <f>+AW23+(AW36*'PCR (M3)'!N29/SUM('PCR (M3)'!N28:N32))</f>
        <v>635047.56064080668</v>
      </c>
      <c r="AX30" s="73">
        <f>+AX23+(AX36*'PCR (M3)'!O29/SUM('PCR (M3)'!O28:O32))</f>
        <v>677042.48835283821</v>
      </c>
      <c r="AY30" s="73">
        <f>+AY23+(AY36*'PCR (M3)'!P29/SUM('PCR (M3)'!P28:P32))</f>
        <v>415381.06618172344</v>
      </c>
      <c r="AZ30" s="73">
        <f>+AZ23+(AZ36*'PCR (M3)'!Q29/SUM('PCR (M3)'!Q28:Q32))</f>
        <v>87488.365088698498</v>
      </c>
      <c r="BA30" s="73">
        <f>+BA23+(BA36*'PCR (M3)'!R29/SUM('PCR (M3)'!R28:R32))</f>
        <v>64808.481988011001</v>
      </c>
      <c r="BB30" s="73">
        <f>+BB23+(BB36*'PCR (M3)'!S29/SUM('PCR (M3)'!S28:S32))</f>
        <v>59023.185490174168</v>
      </c>
      <c r="BC30" s="73">
        <f>+BC23+(BC36*'PCR (M3)'!T29/SUM('PCR (M3)'!T28:T32))</f>
        <v>73834.94972054036</v>
      </c>
      <c r="BD30" s="73">
        <f>+BD23+(BD36*'PCR (M3)'!U29/SUM('PCR (M3)'!U28:U32))</f>
        <v>92018.552084119598</v>
      </c>
      <c r="BE30" s="73">
        <f>+BE23+(BE36*'PCR (M3)'!V29/SUM('PCR (M3)'!V28:V32))</f>
        <v>90580.739582948823</v>
      </c>
      <c r="BF30" s="73">
        <f>+BF23+(BF36*'PCR (M3)'!W29/SUM('PCR (M3)'!W28:W32))</f>
        <v>86046.105340623835</v>
      </c>
      <c r="BG30" s="73">
        <f>+BG23+(BG36*'PCR (M3)'!X29/SUM('PCR (M3)'!X28:X32))</f>
        <v>69862.512633552542</v>
      </c>
      <c r="BH30" s="73">
        <f>+BH23+(BH36*'PCR (M3)'!Y29/SUM('PCR (M3)'!Y28:Y32))</f>
        <v>69704.108724079604</v>
      </c>
      <c r="BI30" s="73">
        <f>+BI23+(BI36*'PCR (M3)'!Z29/SUM('PCR (M3)'!Z28:Z32))</f>
        <v>80360.687024982573</v>
      </c>
      <c r="BJ30" s="73">
        <f>+BJ23+(BJ36*'PCR (M3)'!AA29/SUM('PCR (M3)'!AA28:AA32))</f>
        <v>95761.440926806681</v>
      </c>
      <c r="BK30" s="73">
        <f>+BK23+(BK36*'PCR (M3)'!AB29/SUM('PCR (M3)'!AB28:AB32))</f>
        <v>-1907.9937762007746</v>
      </c>
      <c r="BL30" s="73">
        <f>+BL23+(BL36*'PCR (M3)'!AC29/SUM('PCR (M3)'!AC28:AC32))</f>
        <v>-102362.10040602236</v>
      </c>
      <c r="BM30" s="73">
        <f>+BM23+(BM36*'PCR (M3)'!AD29/SUM('PCR (M3)'!AD28:AD32))</f>
        <v>-81659.759942022312</v>
      </c>
      <c r="BN30" s="73">
        <f>+BN23+(BN36*'PCR (M3)'!AE29/SUM('PCR (M3)'!AE28:AE32))</f>
        <v>-80583.41964173934</v>
      </c>
      <c r="BO30" s="73">
        <f>+BO23+(BO36*'PCR (M3)'!AF29/SUM('PCR (M3)'!AF28:AF32))</f>
        <v>-95520.020947600307</v>
      </c>
      <c r="BP30" s="73">
        <f>+BP23+(BP36*'PCR (M3)'!AG29/SUM('PCR (M3)'!AG28:AG32))</f>
        <v>-112468.59809397052</v>
      </c>
      <c r="BQ30" s="73">
        <f>+BQ23+(BQ36*'PCR (M3)'!AH29/SUM('PCR (M3)'!AH28:AH32))</f>
        <v>-112970.2964743077</v>
      </c>
      <c r="BR30" s="73">
        <f>+BR23+(BR36*'PCR (M3)'!AI29/SUM('PCR (M3)'!AI28:AI32))</f>
        <v>-114176.56432782451</v>
      </c>
      <c r="BS30" s="73">
        <f>+BS23+(BS36*'PCR (M3)'!AJ29/SUM('PCR (M3)'!AJ28:AJ32))</f>
        <v>-95359.199900074513</v>
      </c>
      <c r="BT30" s="73">
        <f>+BT23+(BT36*'PCR (M3)'!AK29/SUM('PCR (M3)'!AK28:AK32))</f>
        <v>-84913.526641125733</v>
      </c>
      <c r="BU30" s="73">
        <f>+BU23+(BU36*'PCR (M3)'!AL29/SUM('PCR (M3)'!AL28:AL32))</f>
        <v>-96636.184986975437</v>
      </c>
      <c r="BV30" s="73">
        <f>+BV23+(BV36*'PCR (M3)'!AM29/SUM('PCR (M3)'!AM28:AM32))</f>
        <v>-113783.6694985327</v>
      </c>
      <c r="BW30" s="73">
        <f>+BW23+(BW36*'PCR (M3)'!AN29/SUM('PCR (M3)'!AN28:AN32))</f>
        <v>-69912.247064021896</v>
      </c>
      <c r="BX30" s="73">
        <f>+BX23+(BX36*'PCR (M3)'!AO29/SUM('PCR (M3)'!AO28:AO32))</f>
        <v>-3783.1481282858344</v>
      </c>
      <c r="BY30" s="210">
        <f>+BY23+(BY36*'PCR (M3)'!AP29/SUM('PCR (M3)'!AP28:AP32))</f>
        <v>-3423.5497542955172</v>
      </c>
      <c r="BZ30" s="73">
        <f>+BZ23+(BZ36*'PCR (M3)'!AQ29/SUM('PCR (M3)'!AQ28:AQ32))</f>
        <v>-3159.0651251823292</v>
      </c>
      <c r="CA30" s="73">
        <f>+CA23+(CA36*'PCR (M3)'!AR29/SUM('PCR (M3)'!AR28:AR32))</f>
        <v>-3581.516211305307</v>
      </c>
      <c r="CB30" s="73">
        <f>+CB23+(CB36*'PCR (M3)'!AS29/SUM('PCR (M3)'!AS28:AS32))</f>
        <v>-4119.5944291965261</v>
      </c>
      <c r="CC30" s="73">
        <f>+CC23+(CC36*'PCR (M3)'!AT29/SUM('PCR (M3)'!AT28:AT32))</f>
        <v>-4322.0730845019016</v>
      </c>
      <c r="CD30" s="73">
        <f>+CD23+(CD36*'PCR (M3)'!AU29/SUM('PCR (M3)'!AU28:AU32))</f>
        <v>-3929.9254185913214</v>
      </c>
      <c r="CE30" s="73">
        <f>+CE23+(CE36*'PCR (M3)'!AV29/SUM('PCR (M3)'!AV28:AV32))</f>
        <v>-3276.9745441742421</v>
      </c>
      <c r="CF30" s="73">
        <f>+CF23+(CF36*'PCR (M3)'!AW29/SUM('PCR (M3)'!AW28:AW32))</f>
        <v>-3126.7202336261676</v>
      </c>
      <c r="CG30" s="73">
        <f>+CG23+(CG36*'PCR (M3)'!AX29/SUM('PCR (M3)'!AX28:AX32))</f>
        <v>-3790.1875290561552</v>
      </c>
      <c r="CH30" s="73">
        <f>+CH23+(CH36*'PCR (M3)'!AY29/SUM('PCR (M3)'!AY28:AY32))</f>
        <v>-4362.5285377816381</v>
      </c>
      <c r="CI30" s="73">
        <f>+CI23+(CI36*'PCR (M3)'!AZ29/SUM('PCR (M3)'!AZ28:AZ32))</f>
        <v>-59.450608927867222</v>
      </c>
      <c r="CJ30" s="73">
        <f>+CJ23+(CJ36*'PCR (M3)'!BA29/SUM('PCR (M3)'!BA28:BA32))</f>
        <v>4524.2006448409011</v>
      </c>
      <c r="CK30" s="73">
        <f>+CK23+(CK36*'PCR (M3)'!BB29/SUM('PCR (M3)'!BB28:BB32))</f>
        <v>4143.0276488103909</v>
      </c>
      <c r="CL30" s="73">
        <f>+CL23+(CL36*'PCR (M3)'!BC29/SUM('PCR (M3)'!BC28:BC32))</f>
        <v>3845.733714226018</v>
      </c>
      <c r="CM30" s="73">
        <f>+CM23+(CM36*'PCR (M3)'!BD29/SUM('PCR (M3)'!BD28:BD32))</f>
        <v>4680.4644940813669</v>
      </c>
      <c r="CN30" s="73">
        <f>+CN23+(CN36*'PCR (M3)'!BE29/SUM('PCR (M3)'!BE28:BE32))</f>
        <v>5373.5914931444331</v>
      </c>
      <c r="CO30" s="73">
        <f>+CO23+(CO36*'PCR (M3)'!BF29/SUM('PCR (M3)'!BF28:BF32))</f>
        <v>5513.3199284737557</v>
      </c>
      <c r="CP30" s="73">
        <f>+CP23+(CP36*'PCR (M3)'!BG29/SUM('PCR (M3)'!BG28:BG32))</f>
        <v>5569.4194265403476</v>
      </c>
      <c r="CQ30" s="73">
        <f>+CQ23+(CQ36*'PCR (M3)'!BH29/SUM('PCR (M3)'!BH28:BH32))</f>
        <v>4526.9681321419785</v>
      </c>
      <c r="CR30" s="73">
        <f>+CR23+(CR36*'PCR (M3)'!BI29/SUM('PCR (M3)'!BI28:BI32))</f>
        <v>4148.9419096512765</v>
      </c>
      <c r="CS30" s="73">
        <f>+CS23+(CS36*'PCR (M3)'!BJ29/SUM('PCR (M3)'!BJ28:BJ32))</f>
        <v>4775.9042873143017</v>
      </c>
      <c r="CT30" s="75">
        <f>+CT23+(CT36*'PCR (M3)'!BK29/SUM('PCR (M3)'!BK28:BK32))</f>
        <v>5756.9554438203668</v>
      </c>
      <c r="CU30" s="3"/>
    </row>
    <row r="31" spans="1:99" x14ac:dyDescent="0.25">
      <c r="A31" t="s">
        <v>5</v>
      </c>
      <c r="B31" s="210">
        <v>0</v>
      </c>
      <c r="C31" s="73">
        <v>0</v>
      </c>
      <c r="D31" s="73">
        <v>0</v>
      </c>
      <c r="E31" s="73">
        <v>0</v>
      </c>
      <c r="F31" s="73">
        <f t="shared" ref="F31:P31" si="91">+F24+(F36*F24/SUM(F22:F26))</f>
        <v>2460.2199999999998</v>
      </c>
      <c r="G31" s="73">
        <f t="shared" si="91"/>
        <v>40611.43</v>
      </c>
      <c r="H31" s="73">
        <f t="shared" si="91"/>
        <v>46133.34</v>
      </c>
      <c r="I31" s="73">
        <f t="shared" si="91"/>
        <v>46227.56</v>
      </c>
      <c r="J31" s="73">
        <f t="shared" si="91"/>
        <v>46423.360000000001</v>
      </c>
      <c r="K31" s="73">
        <f t="shared" si="91"/>
        <v>40852.160000000003</v>
      </c>
      <c r="L31" s="73">
        <f t="shared" si="91"/>
        <v>37249.85</v>
      </c>
      <c r="M31" s="73">
        <f t="shared" si="91"/>
        <v>38727.83</v>
      </c>
      <c r="N31" s="73">
        <f t="shared" si="91"/>
        <v>63808.639999999999</v>
      </c>
      <c r="O31" s="73">
        <f t="shared" si="91"/>
        <v>334912.75</v>
      </c>
      <c r="P31" s="73">
        <f t="shared" si="91"/>
        <v>311859.65000000002</v>
      </c>
      <c r="Q31" s="73">
        <f>+Q24+(Q36*'[1]PPC.3, PCR.2'!P32/SUM('[1]PPC.3, PCR.2'!P30:P34))</f>
        <v>297067.25661237026</v>
      </c>
      <c r="R31" s="73">
        <f>+R24+(R36*'[1]PPC.3, PCR.2'!Q32/SUM('[1]PPC.3, PCR.2'!Q30:Q34))</f>
        <v>306858.76704664429</v>
      </c>
      <c r="S31" s="73">
        <f>+S24+(S36*'[1]PPC.3, PCR.2'!R32/SUM('[1]PPC.3, PCR.2'!R30:R34))</f>
        <v>347930.82125503593</v>
      </c>
      <c r="T31" s="73">
        <f>+T24+(T36*'[1]PPC.3, PCR.2'!S32/SUM('[1]PPC.3, PCR.2'!S30:S34))</f>
        <v>377801.41744412482</v>
      </c>
      <c r="U31" s="73">
        <f>+U24+(U36*'[1]PPC.3, PCR.2'!T32/SUM('[1]PPC.3, PCR.2'!T30:T34))</f>
        <v>384838.10767902108</v>
      </c>
      <c r="V31" s="73">
        <f>+V24+(V36*'[1]PPC.3, PCR.2'!U32/SUM('[1]PPC.3, PCR.2'!U30:U34))</f>
        <v>363327.24534638016</v>
      </c>
      <c r="W31" s="73">
        <f>+W24+(W36*'[1]PPC.3, PCR.2'!V32/SUM('[1]PPC.3, PCR.2'!V30:V34))</f>
        <v>349151.70540680212</v>
      </c>
      <c r="X31" s="73">
        <f>+X24+(X36*'[1]PPC.3, PCR.2'!W32/SUM('[1]PPC.3, PCR.2'!W30:W34))</f>
        <v>312029.63241835893</v>
      </c>
      <c r="Y31" s="73">
        <f>+Y24+(Y36*'[1]PPC.3, PCR.2'!X32/SUM('[1]PPC.3, PCR.2'!X30:X34))</f>
        <v>324930.27431740938</v>
      </c>
      <c r="Z31" s="73">
        <f>+Z24+(Z36*'[1]PPC.3, PCR.2'!Y32/SUM('[1]PPC.3, PCR.2'!Y30:Y34))</f>
        <v>389339.8693849984</v>
      </c>
      <c r="AA31" s="73">
        <f>+AA24+(AA36*'[1]PPC.3, PCR.2'!Z32/SUM('[1]PPC.3, PCR.2'!Z30:Z34))</f>
        <v>556625.85708732984</v>
      </c>
      <c r="AB31" s="73">
        <f>+AB24+(AB36*'[1]PPC.3, PCR.2'!AA32/SUM('[1]PPC.3, PCR.2'!AA30:AA34))</f>
        <v>519727.84944586566</v>
      </c>
      <c r="AC31" s="73">
        <f>+AC24+(AC36*'[1]PPC.3, PCR.2'!AB32/SUM('[1]PPC.3, PCR.2'!AB30:AB34))</f>
        <v>524323.57207482436</v>
      </c>
      <c r="AD31" s="73">
        <f>+AD24+(AD36*'[1]PPC.3, PCR.2'!AC32/SUM('[1]PPC.3, PCR.2'!AC30:AC34))</f>
        <v>522730.47478252684</v>
      </c>
      <c r="AE31" s="73">
        <f>+AE24+(AE36*'[1]PPC.3, PCR.2'!AD32/SUM('[1]PPC.3, PCR.2'!AD30:AD34))</f>
        <v>623624.8655420111</v>
      </c>
      <c r="AF31" s="73">
        <f>+AF24+(AF36*'[1]PPC.3, PCR.2'!AE32/SUM('[1]PPC.3, PCR.2'!AE30:AE34))</f>
        <v>661725.50586693978</v>
      </c>
      <c r="AG31" s="73">
        <f>+AG24+(AG36*'[1]PPC.3, PCR.2'!AF32/SUM('[1]PPC.3, PCR.2'!AF30:AF34))</f>
        <v>626757.48216571088</v>
      </c>
      <c r="AH31" s="73">
        <f>+AH24+(AH36*'[1]PPC.3, PCR.2'!AG32/SUM('[1]PPC.3, PCR.2'!AG30:AG34))</f>
        <v>638007.84216665139</v>
      </c>
      <c r="AI31" s="73">
        <f>+AI24+(AI36*'[1]PPC.3, PCR.2'!AH32/SUM('[1]PPC.3, PCR.2'!AH30:AH34))</f>
        <v>579490.47761485481</v>
      </c>
      <c r="AJ31" s="73">
        <f>+AJ24+(AJ36*'[1]PPC.3, PCR.2'!AI32/SUM('[1]PPC.3, PCR.2'!AI30:AI34))</f>
        <v>513641.84877388977</v>
      </c>
      <c r="AK31" s="73">
        <f>+AK24+(AK36*'[1]PPC.3, PCR.2'!AJ32/SUM('[1]PPC.3, PCR.2'!AJ30:AJ34))</f>
        <v>557457.11362508603</v>
      </c>
      <c r="AL31" s="73">
        <f>+AL24+(AL36*'[1]PPC.3, PCR.2'!AK32/SUM('[1]PPC.3, PCR.2'!AK30:AK34))</f>
        <v>608808.22123092401</v>
      </c>
      <c r="AM31" s="73">
        <f>+AM24+(AM36*'[1]PPC.3, PCR.2'!AL32/SUM('[1]PPC.3, PCR.2'!AL30:AL34))</f>
        <v>1107018.1450648431</v>
      </c>
      <c r="AN31" s="73">
        <f>+AN24+(AN36*'[1]PPC.3, PCR.2'!AM32/SUM('[1]PPC.3, PCR.2'!AM30:AM34))</f>
        <v>1050923.1514029966</v>
      </c>
      <c r="AO31" s="73">
        <f>+AO24+(AO36*'[1]PPC.3, PCR.2'!AN32/SUM('[1]PPC.3, PCR.2'!AN30:AN34))</f>
        <v>946394.49189445085</v>
      </c>
      <c r="AP31" s="73">
        <f>+AP24+(AP36*'PCR (M3)'!G30/SUM('PCR (M3)'!G28:G32))</f>
        <v>980269.66694109701</v>
      </c>
      <c r="AQ31" s="73">
        <f>+AQ24+(AQ36*'PCR (M3)'!H30/SUM('PCR (M3)'!H28:H32))</f>
        <v>1091122.5576982794</v>
      </c>
      <c r="AR31" s="73">
        <f>+AR24+(AR36*'PCR (M3)'!I30/SUM('PCR (M3)'!I28:I32))</f>
        <v>1173345.4165751</v>
      </c>
      <c r="AS31" s="73">
        <f>+AS24+(AS36*'PCR (M3)'!J30/SUM('PCR (M3)'!J28:J32))</f>
        <v>1200301.9882335844</v>
      </c>
      <c r="AT31" s="73">
        <f>+AT24+(AT36*'PCR (M3)'!K30/SUM('PCR (M3)'!K28:K32))</f>
        <v>1212308.9277305761</v>
      </c>
      <c r="AU31" s="73">
        <f>+AU24+(AU36*'PCR (M3)'!L30/SUM('PCR (M3)'!L28:L32))</f>
        <v>1113467.1918631792</v>
      </c>
      <c r="AV31" s="73">
        <f>+AV24+(AV36*'PCR (M3)'!M30/SUM('PCR (M3)'!M28:M32))</f>
        <v>981117.22422696988</v>
      </c>
      <c r="AW31" s="73">
        <f>+AW24+(AW36*'PCR (M3)'!N30/SUM('PCR (M3)'!N28:N32))</f>
        <v>1062930.0447087046</v>
      </c>
      <c r="AX31" s="73">
        <f>+AX24+(AX36*'PCR (M3)'!O30/SUM('PCR (M3)'!O28:O32))</f>
        <v>1099098.7608177634</v>
      </c>
      <c r="AY31" s="73">
        <f>+AY24+(AY36*'PCR (M3)'!P30/SUM('PCR (M3)'!P28:P32))</f>
        <v>764411.3959813976</v>
      </c>
      <c r="AZ31" s="73">
        <f>+AZ24+(AZ36*'PCR (M3)'!Q30/SUM('PCR (M3)'!Q28:Q32))</f>
        <v>318623.73714683513</v>
      </c>
      <c r="BA31" s="73">
        <f>+BA24+(BA36*'PCR (M3)'!R30/SUM('PCR (M3)'!R28:R32))</f>
        <v>268197.12227908301</v>
      </c>
      <c r="BB31" s="73">
        <f>+BB24+(BB36*'PCR (M3)'!S30/SUM('PCR (M3)'!S28:S32))</f>
        <v>249075.16076692485</v>
      </c>
      <c r="BC31" s="73">
        <f>+BC24+(BC36*'PCR (M3)'!T30/SUM('PCR (M3)'!T28:T32))</f>
        <v>296551.86746010324</v>
      </c>
      <c r="BD31" s="73">
        <f>+BD24+(BD36*'PCR (M3)'!U30/SUM('PCR (M3)'!U28:U32))</f>
        <v>346227.00320999842</v>
      </c>
      <c r="BE31" s="73">
        <f>+BE24+(BE36*'PCR (M3)'!V30/SUM('PCR (M3)'!V28:V32))</f>
        <v>344571.98080537352</v>
      </c>
      <c r="BF31" s="73">
        <f>+BF24+(BF36*'PCR (M3)'!W30/SUM('PCR (M3)'!W28:W32))</f>
        <v>343418.65957003593</v>
      </c>
      <c r="BG31" s="73">
        <f>+BG24+(BG36*'PCR (M3)'!X30/SUM('PCR (M3)'!X28:X32))</f>
        <v>293034.59528354998</v>
      </c>
      <c r="BH31" s="73">
        <f>+BH24+(BH36*'PCR (M3)'!Y30/SUM('PCR (M3)'!Y28:Y32))</f>
        <v>285307.32387213997</v>
      </c>
      <c r="BI31" s="73">
        <f>+BI24+(BI36*'PCR (M3)'!Z30/SUM('PCR (M3)'!Z28:Z32))</f>
        <v>306551.462101474</v>
      </c>
      <c r="BJ31" s="73">
        <f>+BJ24+(BJ36*'PCR (M3)'!AA30/SUM('PCR (M3)'!AA28:AA32))</f>
        <v>328395.30665898888</v>
      </c>
      <c r="BK31" s="73">
        <f>+BK24+(BK36*'PCR (M3)'!AB30/SUM('PCR (M3)'!AB28:AB32))</f>
        <v>129041.97894362175</v>
      </c>
      <c r="BL31" s="73">
        <f>+BL24+(BL36*'PCR (M3)'!AC30/SUM('PCR (M3)'!AC28:AC32))</f>
        <v>-116248.37555983225</v>
      </c>
      <c r="BM31" s="73">
        <f>+BM24+(BM36*'PCR (M3)'!AD30/SUM('PCR (M3)'!AD28:AD32))</f>
        <v>-104613.38045356747</v>
      </c>
      <c r="BN31" s="73">
        <f>+BN24+(BN36*'PCR (M3)'!AE30/SUM('PCR (M3)'!AE28:AE32))</f>
        <v>-106758.31587632833</v>
      </c>
      <c r="BO31" s="73">
        <f>+BO24+(BO36*'PCR (M3)'!AF30/SUM('PCR (M3)'!AF28:AF32))</f>
        <v>-119183.41184852651</v>
      </c>
      <c r="BP31" s="73">
        <f>+BP24+(BP36*'PCR (M3)'!AG30/SUM('PCR (M3)'!AG28:AG32))</f>
        <v>-138596.39079341321</v>
      </c>
      <c r="BQ31" s="73">
        <f>+BQ24+(BQ36*'PCR (M3)'!AH30/SUM('PCR (M3)'!AH28:AH32))</f>
        <v>-137793.28735156739</v>
      </c>
      <c r="BR31" s="73">
        <f>+BR24+(BR36*'PCR (M3)'!AI30/SUM('PCR (M3)'!AI28:AI32))</f>
        <v>-140452.99254978076</v>
      </c>
      <c r="BS31" s="73">
        <f>+BS24+(BS36*'PCR (M3)'!AJ30/SUM('PCR (M3)'!AJ28:AJ32))</f>
        <v>-123659.88827741767</v>
      </c>
      <c r="BT31" s="73">
        <f>+BT24+(BT36*'PCR (M3)'!AK30/SUM('PCR (M3)'!AK28:AK32))</f>
        <v>-109213.44913716688</v>
      </c>
      <c r="BU31" s="73">
        <f>+BU24+(BU36*'PCR (M3)'!AL30/SUM('PCR (M3)'!AL28:AL32))</f>
        <v>-118950.08683599679</v>
      </c>
      <c r="BV31" s="73">
        <f>+BV24+(BV36*'PCR (M3)'!AM30/SUM('PCR (M3)'!AM28:AM32))</f>
        <v>-126522.54456751022</v>
      </c>
      <c r="BW31" s="73">
        <f>+BW24+(BW36*'PCR (M3)'!AN30/SUM('PCR (M3)'!AN28:AN32))</f>
        <v>-89191.62769017533</v>
      </c>
      <c r="BX31" s="73">
        <f>+BX24+(BX36*'PCR (M3)'!AO30/SUM('PCR (M3)'!AO28:AO32))</f>
        <v>-29813.934940734489</v>
      </c>
      <c r="BY31" s="210">
        <f>+BY24+(BY36*'PCR (M3)'!AP30/SUM('PCR (M3)'!AP28:AP32))</f>
        <v>-27661.804594547866</v>
      </c>
      <c r="BZ31" s="73">
        <f>+BZ24+(BZ36*'PCR (M3)'!AQ30/SUM('PCR (M3)'!AQ28:AQ32))</f>
        <v>-28365.583171593848</v>
      </c>
      <c r="CA31" s="73">
        <f>+CA24+(CA36*'PCR (M3)'!AR30/SUM('PCR (M3)'!AR28:AR32))</f>
        <v>-31712.240190643679</v>
      </c>
      <c r="CB31" s="73">
        <f>+CB24+(CB36*'PCR (M3)'!AS30/SUM('PCR (M3)'!AS28:AS32))</f>
        <v>-36266.351017925241</v>
      </c>
      <c r="CC31" s="73">
        <f>+CC24+(CC36*'PCR (M3)'!AT30/SUM('PCR (M3)'!AT28:AT32))</f>
        <v>-35382.790747787352</v>
      </c>
      <c r="CD31" s="73">
        <f>+CD24+(CD36*'PCR (M3)'!AU30/SUM('PCR (M3)'!AU28:AU32))</f>
        <v>-33777.721147319782</v>
      </c>
      <c r="CE31" s="73">
        <f>+CE24+(CE36*'PCR (M3)'!AV30/SUM('PCR (M3)'!AV28:AV32))</f>
        <v>-29077.038685363292</v>
      </c>
      <c r="CF31" s="73">
        <f>+CF24+(CF36*'PCR (M3)'!AW30/SUM('PCR (M3)'!AW28:AW32))</f>
        <v>-27430.212146395079</v>
      </c>
      <c r="CG31" s="73">
        <f>+CG24+(CG36*'PCR (M3)'!AX30/SUM('PCR (M3)'!AX28:AX32))</f>
        <v>-31670.308000207406</v>
      </c>
      <c r="CH31" s="73">
        <f>+CH24+(CH36*'PCR (M3)'!AY30/SUM('PCR (M3)'!AY28:AY32))</f>
        <v>-32611.705138027606</v>
      </c>
      <c r="CI31" s="73">
        <f>+CI24+(CI36*'PCR (M3)'!AZ30/SUM('PCR (M3)'!AZ28:AZ32))</f>
        <v>-16555.481068991827</v>
      </c>
      <c r="CJ31" s="73">
        <f>+CJ24+(CJ36*'PCR (M3)'!BA30/SUM('PCR (M3)'!BA28:BA32))</f>
        <v>3230.8735523843402</v>
      </c>
      <c r="CK31" s="73">
        <f>+CK24+(CK36*'PCR (M3)'!BB30/SUM('PCR (M3)'!BB28:BB32))</f>
        <v>3208.5524523745844</v>
      </c>
      <c r="CL31" s="73">
        <f>+CL24+(CL36*'PCR (M3)'!BC30/SUM('PCR (M3)'!BC28:BC32))</f>
        <v>3375.7446884847045</v>
      </c>
      <c r="CM31" s="73">
        <f>+CM24+(CM36*'PCR (M3)'!BD30/SUM('PCR (M3)'!BD28:BD32))</f>
        <v>3694.4912721367164</v>
      </c>
      <c r="CN31" s="73">
        <f>+CN24+(CN36*'PCR (M3)'!BE30/SUM('PCR (M3)'!BE28:BE32))</f>
        <v>3963.639586443905</v>
      </c>
      <c r="CO31" s="73">
        <f>+CO24+(CO36*'PCR (M3)'!BF30/SUM('PCR (M3)'!BF28:BF32))</f>
        <v>4066.5380749420347</v>
      </c>
      <c r="CP31" s="73">
        <f>+CP24+(CP36*'PCR (M3)'!BG30/SUM('PCR (M3)'!BG28:BG32))</f>
        <v>4093.3570486550029</v>
      </c>
      <c r="CQ31" s="73">
        <f>+CQ24+(CQ36*'PCR (M3)'!BH30/SUM('PCR (M3)'!BH28:BH32))</f>
        <v>3620.3664611839195</v>
      </c>
      <c r="CR31" s="73">
        <f>+CR24+(CR36*'PCR (M3)'!BI30/SUM('PCR (M3)'!BI28:BI32))</f>
        <v>3330.5779273524149</v>
      </c>
      <c r="CS31" s="73">
        <f>+CS24+(CS36*'PCR (M3)'!BJ30/SUM('PCR (M3)'!BJ28:BJ32))</f>
        <v>3253.6495836108097</v>
      </c>
      <c r="CT31" s="75">
        <f>+CT24+(CT36*'PCR (M3)'!BK30/SUM('PCR (M3)'!BK28:BK32))</f>
        <v>3857.7983746408045</v>
      </c>
      <c r="CU31" s="3"/>
    </row>
    <row r="32" spans="1:99" x14ac:dyDescent="0.25">
      <c r="A32" t="s">
        <v>6</v>
      </c>
      <c r="B32" s="210">
        <v>0</v>
      </c>
      <c r="C32" s="73">
        <v>0</v>
      </c>
      <c r="D32" s="73">
        <v>0</v>
      </c>
      <c r="E32" s="73">
        <v>0</v>
      </c>
      <c r="F32" s="73">
        <f t="shared" ref="F32:P32" si="92">+F25+(F36*F25/SUM(F22:F26))</f>
        <v>1621.85</v>
      </c>
      <c r="G32" s="73">
        <f t="shared" si="92"/>
        <v>15413.06</v>
      </c>
      <c r="H32" s="73">
        <f t="shared" si="92"/>
        <v>19333.560000000001</v>
      </c>
      <c r="I32" s="73">
        <f t="shared" si="92"/>
        <v>18858.009999999998</v>
      </c>
      <c r="J32" s="73">
        <f t="shared" si="92"/>
        <v>20468.599999999999</v>
      </c>
      <c r="K32" s="73">
        <f t="shared" si="92"/>
        <v>17365.72</v>
      </c>
      <c r="L32" s="73">
        <f t="shared" si="92"/>
        <v>16669.060000000001</v>
      </c>
      <c r="M32" s="73">
        <f t="shared" si="92"/>
        <v>16712.28</v>
      </c>
      <c r="N32" s="73">
        <f t="shared" si="92"/>
        <v>31958.9</v>
      </c>
      <c r="O32" s="73">
        <f t="shared" si="92"/>
        <v>328456.90999999997</v>
      </c>
      <c r="P32" s="73">
        <f t="shared" si="92"/>
        <v>267175.5</v>
      </c>
      <c r="Q32" s="73">
        <f>+Q25+(Q36*'[1]PPC.3, PCR.2'!P33/SUM('[1]PPC.3, PCR.2'!P30:P34))</f>
        <v>283136.40886630391</v>
      </c>
      <c r="R32" s="73">
        <f>+R25+(R36*'[1]PPC.3, PCR.2'!Q33/SUM('[1]PPC.3, PCR.2'!Q30:Q34))</f>
        <v>287460.81327816768</v>
      </c>
      <c r="S32" s="73">
        <f>+S25+(S36*'[1]PPC.3, PCR.2'!R33/SUM('[1]PPC.3, PCR.2'!R30:R34))</f>
        <v>330409.77575572423</v>
      </c>
      <c r="T32" s="73">
        <f>+T25+(T36*'[1]PPC.3, PCR.2'!S33/SUM('[1]PPC.3, PCR.2'!S30:S34))</f>
        <v>323201.37525993661</v>
      </c>
      <c r="U32" s="73">
        <f>+U25+(U36*'[1]PPC.3, PCR.2'!T33/SUM('[1]PPC.3, PCR.2'!T30:T34))</f>
        <v>340944.20704658219</v>
      </c>
      <c r="V32" s="73">
        <f>+V25+(V36*'[1]PPC.3, PCR.2'!U33/SUM('[1]PPC.3, PCR.2'!U30:U34))</f>
        <v>328289.08781066153</v>
      </c>
      <c r="W32" s="73">
        <f>+W25+(W36*'[1]PPC.3, PCR.2'!V33/SUM('[1]PPC.3, PCR.2'!V30:V34))</f>
        <v>321452.90171375725</v>
      </c>
      <c r="X32" s="73">
        <f>+X25+(X36*'[1]PPC.3, PCR.2'!W33/SUM('[1]PPC.3, PCR.2'!W30:W34))</f>
        <v>288778.65587559086</v>
      </c>
      <c r="Y32" s="73">
        <f>+Y25+(Y36*'[1]PPC.3, PCR.2'!X33/SUM('[1]PPC.3, PCR.2'!X30:X34))</f>
        <v>301751.31193612184</v>
      </c>
      <c r="Z32" s="73">
        <f>+Z25+(Z36*'[1]PPC.3, PCR.2'!Y33/SUM('[1]PPC.3, PCR.2'!Y30:Y34))</f>
        <v>332299.53125242464</v>
      </c>
      <c r="AA32" s="73">
        <f>+AA25+(AA36*'[1]PPC.3, PCR.2'!Z33/SUM('[1]PPC.3, PCR.2'!Z30:Z34))</f>
        <v>302428.95514228137</v>
      </c>
      <c r="AB32" s="73">
        <f>+AB25+(AB36*'[1]PPC.3, PCR.2'!AA33/SUM('[1]PPC.3, PCR.2'!AA30:AA34))</f>
        <v>301943.60981245001</v>
      </c>
      <c r="AC32" s="73">
        <f>+AC25+(AC36*'[1]PPC.3, PCR.2'!AB33/SUM('[1]PPC.3, PCR.2'!AB30:AB34))</f>
        <v>278699.7057611302</v>
      </c>
      <c r="AD32" s="73">
        <f>+AD25+(AD36*'[1]PPC.3, PCR.2'!AC33/SUM('[1]PPC.3, PCR.2'!AC30:AC34))</f>
        <v>322370.88601313852</v>
      </c>
      <c r="AE32" s="73">
        <f>+AE25+(AE36*'[1]PPC.3, PCR.2'!AD33/SUM('[1]PPC.3, PCR.2'!AD30:AD34))</f>
        <v>349751.02773569047</v>
      </c>
      <c r="AF32" s="73">
        <f>+AF25+(AF36*'[1]PPC.3, PCR.2'!AE33/SUM('[1]PPC.3, PCR.2'!AE30:AE34))</f>
        <v>361975.97928185289</v>
      </c>
      <c r="AG32" s="73">
        <f>+AG25+(AG36*'[1]PPC.3, PCR.2'!AF33/SUM('[1]PPC.3, PCR.2'!AF30:AF34))</f>
        <v>356032.65352996916</v>
      </c>
      <c r="AH32" s="73">
        <f>+AH25+(AH36*'[1]PPC.3, PCR.2'!AG33/SUM('[1]PPC.3, PCR.2'!AG30:AG34))</f>
        <v>346604.60421828728</v>
      </c>
      <c r="AI32" s="73">
        <f>+AI25+(AI36*'[1]PPC.3, PCR.2'!AH33/SUM('[1]PPC.3, PCR.2'!AH30:AH34))</f>
        <v>324956.79952393915</v>
      </c>
      <c r="AJ32" s="73">
        <f>+AJ25+(AJ36*'[1]PPC.3, PCR.2'!AI33/SUM('[1]PPC.3, PCR.2'!AI30:AI34))</f>
        <v>301584.85459624138</v>
      </c>
      <c r="AK32" s="73">
        <f>+AK25+(AK36*'[1]PPC.3, PCR.2'!AJ33/SUM('[1]PPC.3, PCR.2'!AJ30:AJ34))</f>
        <v>323402.5858220082</v>
      </c>
      <c r="AL32" s="73">
        <f>+AL25+(AL36*'[1]PPC.3, PCR.2'!AK33/SUM('[1]PPC.3, PCR.2'!AK30:AK34))</f>
        <v>296745.40272335312</v>
      </c>
      <c r="AM32" s="73">
        <f>+AM25+(AM36*'[1]PPC.3, PCR.2'!AL33/SUM('[1]PPC.3, PCR.2'!AL30:AL34))</f>
        <v>355667.68860749144</v>
      </c>
      <c r="AN32" s="73">
        <f>+AN25+(AN36*'[1]PPC.3, PCR.2'!AM33/SUM('[1]PPC.3, PCR.2'!AM30:AM34))</f>
        <v>352302.39917248994</v>
      </c>
      <c r="AO32" s="73">
        <f>+AO25+(AO36*'[1]PPC.3, PCR.2'!AN33/SUM('[1]PPC.3, PCR.2'!AN30:AN34))</f>
        <v>338612.44673821039</v>
      </c>
      <c r="AP32" s="73">
        <f>+AP25+(AP36*'PCR (M3)'!G31/SUM('PCR (M3)'!G28:G32))</f>
        <v>338607.64249172056</v>
      </c>
      <c r="AQ32" s="73">
        <f>+AQ25+(AQ36*'PCR (M3)'!H31/SUM('PCR (M3)'!H28:H32))</f>
        <v>393628.70516997529</v>
      </c>
      <c r="AR32" s="73">
        <f>+AR25+(AR36*'PCR (M3)'!I31/SUM('PCR (M3)'!I28:I32))</f>
        <v>395351.29305083206</v>
      </c>
      <c r="AS32" s="73">
        <f>+AS25+(AS36*'PCR (M3)'!J31/SUM('PCR (M3)'!J28:J32))</f>
        <v>414954.8489846529</v>
      </c>
      <c r="AT32" s="73">
        <f>+AT25+(AT36*'PCR (M3)'!K31/SUM('PCR (M3)'!K28:K32))</f>
        <v>412666.27260449337</v>
      </c>
      <c r="AU32" s="73">
        <f>+AU25+(AU36*'PCR (M3)'!L31/SUM('PCR (M3)'!L28:L32))</f>
        <v>382499.83186560834</v>
      </c>
      <c r="AV32" s="73">
        <f>+AV25+(AV36*'PCR (M3)'!M31/SUM('PCR (M3)'!M28:M32))</f>
        <v>352969.01405759115</v>
      </c>
      <c r="AW32" s="73">
        <f>+AW25+(AW36*'PCR (M3)'!N31/SUM('PCR (M3)'!N28:N32))</f>
        <v>354749.07044000475</v>
      </c>
      <c r="AX32" s="73">
        <f>+AX25+(AX36*'PCR (M3)'!O31/SUM('PCR (M3)'!O28:O32))</f>
        <v>364800.86761435715</v>
      </c>
      <c r="AY32" s="73">
        <f>+AY25+(AY36*'PCR (M3)'!P31/SUM('PCR (M3)'!P28:P32))</f>
        <v>290547.34153219225</v>
      </c>
      <c r="AZ32" s="73">
        <f>+AZ25+(AZ36*'PCR (M3)'!Q31/SUM('PCR (M3)'!Q28:Q32))</f>
        <v>123016.66955581114</v>
      </c>
      <c r="BA32" s="73">
        <f>+BA25+(BA36*'PCR (M3)'!R31/SUM('PCR (M3)'!R28:R32))</f>
        <v>118618.96587713738</v>
      </c>
      <c r="BB32" s="73">
        <f>+BB25+(BB36*'PCR (M3)'!S31/SUM('PCR (M3)'!S28:S32))</f>
        <v>111705.70022132192</v>
      </c>
      <c r="BC32" s="73">
        <f>+BC25+(BC36*'PCR (M3)'!T31/SUM('PCR (M3)'!T28:T32))</f>
        <v>130125.71091968814</v>
      </c>
      <c r="BD32" s="73">
        <f>+BD25+(BD36*'PCR (M3)'!U31/SUM('PCR (M3)'!U28:U32))</f>
        <v>136950.86579751672</v>
      </c>
      <c r="BE32" s="73">
        <f>+BE25+(BE36*'PCR (M3)'!V31/SUM('PCR (M3)'!V28:V32))</f>
        <v>143566.43039610711</v>
      </c>
      <c r="BF32" s="73">
        <f>+BF25+(BF36*'PCR (M3)'!W31/SUM('PCR (M3)'!W28:W32))</f>
        <v>143625.78644107448</v>
      </c>
      <c r="BG32" s="73">
        <f>+BG25+(BG36*'PCR (M3)'!X31/SUM('PCR (M3)'!X28:X32))</f>
        <v>127662.31996824291</v>
      </c>
      <c r="BH32" s="73">
        <f>+BH25+(BH36*'PCR (M3)'!Y31/SUM('PCR (M3)'!Y28:Y32))</f>
        <v>126708.68055025721</v>
      </c>
      <c r="BI32" s="73">
        <f>+BI25+(BI36*'PCR (M3)'!Z31/SUM('PCR (M3)'!Z28:Z32))</f>
        <v>132518.96109209553</v>
      </c>
      <c r="BJ32" s="73">
        <f>+BJ25+(BJ36*'PCR (M3)'!AA31/SUM('PCR (M3)'!AA28:AA32))</f>
        <v>130056.06716620011</v>
      </c>
      <c r="BK32" s="73">
        <f>+BK25+(BK36*'PCR (M3)'!AB31/SUM('PCR (M3)'!AB28:AB32))</f>
        <v>73469.336246691571</v>
      </c>
      <c r="BL32" s="73">
        <f>+BL25+(BL36*'PCR (M3)'!AC31/SUM('PCR (M3)'!AC28:AC32))</f>
        <v>-22612.659176541922</v>
      </c>
      <c r="BM32" s="73">
        <f>+BM25+(BM36*'PCR (M3)'!AD31/SUM('PCR (M3)'!AD28:AD32))</f>
        <v>-24415.905916675129</v>
      </c>
      <c r="BN32" s="73">
        <f>+BN25+(BN36*'PCR (M3)'!AE31/SUM('PCR (M3)'!AE28:AE32))</f>
        <v>-26227.136477870263</v>
      </c>
      <c r="BO32" s="73">
        <f>+BO25+(BO36*'PCR (M3)'!AF31/SUM('PCR (M3)'!AF28:AF32))</f>
        <v>-23636.693041994655</v>
      </c>
      <c r="BP32" s="73">
        <f>+BP25+(BP36*'PCR (M3)'!AG31/SUM('PCR (M3)'!AG28:AG32))</f>
        <v>-32709.066060894642</v>
      </c>
      <c r="BQ32" s="73">
        <f>+BQ25+(BQ36*'PCR (M3)'!AH31/SUM('PCR (M3)'!AH28:AH32))</f>
        <v>-30007.954013018149</v>
      </c>
      <c r="BR32" s="73">
        <f>+BR25+(BR36*'PCR (M3)'!AI31/SUM('PCR (M3)'!AI28:AI32))</f>
        <v>-30398.556259296256</v>
      </c>
      <c r="BS32" s="73">
        <f>+BS25+(BS36*'PCR (M3)'!AJ31/SUM('PCR (M3)'!AJ28:AJ32))</f>
        <v>-26335.111362820862</v>
      </c>
      <c r="BT32" s="73">
        <f>+BT25+(BT36*'PCR (M3)'!AK31/SUM('PCR (M3)'!AK28:AK32))</f>
        <v>-22705.686486155013</v>
      </c>
      <c r="BU32" s="73">
        <f>+BU25+(BU36*'PCR (M3)'!AL31/SUM('PCR (M3)'!AL28:AL32))</f>
        <v>-29648.694170827283</v>
      </c>
      <c r="BV32" s="73">
        <f>+BV25+(BV36*'PCR (M3)'!AM31/SUM('PCR (M3)'!AM28:AM32))</f>
        <v>-28388.594686249391</v>
      </c>
      <c r="BW32" s="73">
        <f>+BW25+(BW36*'PCR (M3)'!AN31/SUM('PCR (M3)'!AN28:AN32))</f>
        <v>-20595.01936131802</v>
      </c>
      <c r="BX32" s="73">
        <f>+BX25+(BX36*'PCR (M3)'!AO31/SUM('PCR (M3)'!AO28:AO32))</f>
        <v>-9348.310124921727</v>
      </c>
      <c r="BY32" s="210">
        <f>+BY25+(BY36*'PCR (M3)'!AP31/SUM('PCR (M3)'!AP28:AP32))</f>
        <v>-9429.8658266884941</v>
      </c>
      <c r="BZ32" s="73">
        <f>+BZ25+(BZ36*'PCR (M3)'!AQ31/SUM('PCR (M3)'!AQ28:AQ32))</f>
        <v>-9234.0736114224237</v>
      </c>
      <c r="CA32" s="73">
        <f>+CA25+(CA36*'PCR (M3)'!AR31/SUM('PCR (M3)'!AR28:AR32))</f>
        <v>-10506.965502226194</v>
      </c>
      <c r="CB32" s="73">
        <f>+CB25+(CB36*'PCR (M3)'!AS31/SUM('PCR (M3)'!AS28:AS32))</f>
        <v>-10928.084351774705</v>
      </c>
      <c r="CC32" s="73">
        <f>+CC25+(CC36*'PCR (M3)'!AT31/SUM('PCR (M3)'!AT28:AT32))</f>
        <v>-10838.193004551051</v>
      </c>
      <c r="CD32" s="73">
        <f>+CD25+(CD36*'PCR (M3)'!AU31/SUM('PCR (M3)'!AU28:AU32))</f>
        <v>-10559.893442002107</v>
      </c>
      <c r="CE32" s="73">
        <f>+CE25+(CE36*'PCR (M3)'!AV31/SUM('PCR (M3)'!AV28:AV32))</f>
        <v>-9362.8553505780201</v>
      </c>
      <c r="CF32" s="73">
        <f>+CF25+(CF36*'PCR (M3)'!AW31/SUM('PCR (M3)'!AW28:AW32))</f>
        <v>-9452.1264699535604</v>
      </c>
      <c r="CG32" s="73">
        <f>+CG25+(CG36*'PCR (M3)'!AX31/SUM('PCR (M3)'!AX28:AX32))</f>
        <v>-9797.8820407188032</v>
      </c>
      <c r="CH32" s="73">
        <f>+CH25+(CH36*'PCR (M3)'!AY31/SUM('PCR (M3)'!AY28:AY32))</f>
        <v>-9326.6664870361237</v>
      </c>
      <c r="CI32" s="73">
        <f>+CI25+(CI36*'PCR (M3)'!AZ31/SUM('PCR (M3)'!AZ28:AZ32))</f>
        <v>-6080.9078580485348</v>
      </c>
      <c r="CJ32" s="73">
        <f>+CJ25+(CJ36*'PCR (M3)'!BA31/SUM('PCR (M3)'!BA28:BA32))</f>
        <v>593.75085601537899</v>
      </c>
      <c r="CK32" s="73">
        <f>+CK25+(CK36*'PCR (M3)'!BB31/SUM('PCR (M3)'!BB28:BB32))</f>
        <v>803.28099516050531</v>
      </c>
      <c r="CL32" s="73">
        <f>+CL25+(CL36*'PCR (M3)'!BC31/SUM('PCR (M3)'!BC28:BC32))</f>
        <v>814.06279964630232</v>
      </c>
      <c r="CM32" s="73">
        <f>+CM25+(CM36*'PCR (M3)'!BD31/SUM('PCR (M3)'!BD28:BD32))</f>
        <v>851.34967874686606</v>
      </c>
      <c r="CN32" s="73">
        <f>+CN25+(CN36*'PCR (M3)'!BE31/SUM('PCR (M3)'!BE28:BE32))</f>
        <v>868.7312652382152</v>
      </c>
      <c r="CO32" s="73">
        <f>+CO25+(CO36*'PCR (M3)'!BF31/SUM('PCR (M3)'!BF28:BF32))</f>
        <v>981.25994646426045</v>
      </c>
      <c r="CP32" s="73">
        <f>+CP25+(CP36*'PCR (M3)'!BG31/SUM('PCR (M3)'!BG28:BG32))</f>
        <v>939.27443482392937</v>
      </c>
      <c r="CQ32" s="73">
        <f>+CQ25+(CQ36*'PCR (M3)'!BH31/SUM('PCR (M3)'!BH28:BH32))</f>
        <v>817.13074883847423</v>
      </c>
      <c r="CR32" s="73">
        <f>+CR25+(CR36*'PCR (M3)'!BI31/SUM('PCR (M3)'!BI28:BI32))</f>
        <v>820.74162828052283</v>
      </c>
      <c r="CS32" s="73">
        <f>+CS25+(CS36*'PCR (M3)'!BJ31/SUM('PCR (M3)'!BJ28:BJ32))</f>
        <v>791.96940377308943</v>
      </c>
      <c r="CT32" s="75">
        <f>+CT25+(CT36*'PCR (M3)'!BK31/SUM('PCR (M3)'!BK28:BK32))</f>
        <v>828.6673994533171</v>
      </c>
      <c r="CU32" s="3"/>
    </row>
    <row r="33" spans="1:99" x14ac:dyDescent="0.25">
      <c r="A33" t="s">
        <v>7</v>
      </c>
      <c r="B33" s="210">
        <v>0</v>
      </c>
      <c r="C33" s="73">
        <v>0</v>
      </c>
      <c r="D33" s="73">
        <v>0</v>
      </c>
      <c r="E33" s="73">
        <v>0</v>
      </c>
      <c r="F33" s="73">
        <f t="shared" ref="F33:P33" si="93">+F26+(F36*F26/SUM(F22:F26))</f>
        <v>0</v>
      </c>
      <c r="G33" s="73">
        <f t="shared" si="93"/>
        <v>4867.8</v>
      </c>
      <c r="H33" s="73">
        <f t="shared" si="93"/>
        <v>9528.7800000000007</v>
      </c>
      <c r="I33" s="73">
        <f t="shared" si="93"/>
        <v>9622.07</v>
      </c>
      <c r="J33" s="73">
        <f t="shared" si="93"/>
        <v>10571.65</v>
      </c>
      <c r="K33" s="73">
        <f t="shared" si="93"/>
        <v>9276.2800000000007</v>
      </c>
      <c r="L33" s="73">
        <f t="shared" si="93"/>
        <v>8552.14</v>
      </c>
      <c r="M33" s="73">
        <f t="shared" si="93"/>
        <v>8040.28</v>
      </c>
      <c r="N33" s="73">
        <f t="shared" si="93"/>
        <v>7958.8</v>
      </c>
      <c r="O33" s="73">
        <f t="shared" si="93"/>
        <v>202699.47</v>
      </c>
      <c r="P33" s="73">
        <f t="shared" si="93"/>
        <v>167678.56</v>
      </c>
      <c r="Q33" s="73">
        <f>+Q26+(Q36*'[1]PPC.3, PCR.2'!P34/SUM('[1]PPC.3, PCR.2'!P30:P34))</f>
        <v>183651.06125723169</v>
      </c>
      <c r="R33" s="73">
        <f>+R26+(R36*'[1]PPC.3, PCR.2'!Q34/SUM('[1]PPC.3, PCR.2'!Q30:Q34))</f>
        <v>187110.90550820582</v>
      </c>
      <c r="S33" s="73">
        <f>+S26+(S36*'[1]PPC.3, PCR.2'!R34/SUM('[1]PPC.3, PCR.2'!R30:R34))</f>
        <v>223442.58102316182</v>
      </c>
      <c r="T33" s="73">
        <f>+T26+(T36*'[1]PPC.3, PCR.2'!S34/SUM('[1]PPC.3, PCR.2'!S30:S34))</f>
        <v>211112.22603032622</v>
      </c>
      <c r="U33" s="73">
        <f>+U26+(U36*'[1]PPC.3, PCR.2'!T34/SUM('[1]PPC.3, PCR.2'!T30:T34))</f>
        <v>233963.66032568182</v>
      </c>
      <c r="V33" s="73">
        <f>+V26+(V36*'[1]PPC.3, PCR.2'!U34/SUM('[1]PPC.3, PCR.2'!U30:U34))</f>
        <v>223064.28470931173</v>
      </c>
      <c r="W33" s="73">
        <f>+W26+(W36*'[1]PPC.3, PCR.2'!V34/SUM('[1]PPC.3, PCR.2'!V30:V34))</f>
        <v>212741.63673550039</v>
      </c>
      <c r="X33" s="73">
        <f>+X26+(X36*'[1]PPC.3, PCR.2'!W34/SUM('[1]PPC.3, PCR.2'!W30:W34))</f>
        <v>202298.65943791193</v>
      </c>
      <c r="Y33" s="73">
        <f>+Y26+(Y36*'[1]PPC.3, PCR.2'!X34/SUM('[1]PPC.3, PCR.2'!X30:X34))</f>
        <v>185145.40058784836</v>
      </c>
      <c r="Z33" s="73">
        <f>+Z26+(Z36*'[1]PPC.3, PCR.2'!Y34/SUM('[1]PPC.3, PCR.2'!Y30:Y34))</f>
        <v>187242.02591890033</v>
      </c>
      <c r="AA33" s="73">
        <f>+AA26+(AA36*'[1]PPC.3, PCR.2'!Z34/SUM('[1]PPC.3, PCR.2'!Z30:Z34))</f>
        <v>102199.66965133997</v>
      </c>
      <c r="AB33" s="73">
        <f>+AB26+(AB36*'[1]PPC.3, PCR.2'!AA34/SUM('[1]PPC.3, PCR.2'!AA30:AA34))</f>
        <v>15774.991410991883</v>
      </c>
      <c r="AC33" s="73">
        <f>+AC26+(AC36*'[1]PPC.3, PCR.2'!AB34/SUM('[1]PPC.3, PCR.2'!AB30:AB34))</f>
        <v>14999.076289049191</v>
      </c>
      <c r="AD33" s="73">
        <f>+AD26+(AD36*'[1]PPC.3, PCR.2'!AC34/SUM('[1]PPC.3, PCR.2'!AC30:AC34))</f>
        <v>17802.440022199695</v>
      </c>
      <c r="AE33" s="73">
        <f>+AE26+(AE36*'[1]PPC.3, PCR.2'!AD34/SUM('[1]PPC.3, PCR.2'!AD30:AD34))</f>
        <v>19775.612550633668</v>
      </c>
      <c r="AF33" s="73">
        <f>+AF26+(AF36*'[1]PPC.3, PCR.2'!AE34/SUM('[1]PPC.3, PCR.2'!AE30:AE34))</f>
        <v>11062.273989486501</v>
      </c>
      <c r="AG33" s="73">
        <f>+AG26+(AG36*'[1]PPC.3, PCR.2'!AF34/SUM('[1]PPC.3, PCR.2'!AF30:AF34))</f>
        <v>20313.771907757455</v>
      </c>
      <c r="AH33" s="73">
        <f>+AH26+(AH36*'[1]PPC.3, PCR.2'!AG34/SUM('[1]PPC.3, PCR.2'!AG30:AG34))</f>
        <v>19132.25484498954</v>
      </c>
      <c r="AI33" s="73">
        <f>+AI26+(AI36*'[1]PPC.3, PCR.2'!AH34/SUM('[1]PPC.3, PCR.2'!AH30:AH34))</f>
        <v>18842.570934578442</v>
      </c>
      <c r="AJ33" s="73">
        <f>+AJ26+(AJ36*'[1]PPC.3, PCR.2'!AI34/SUM('[1]PPC.3, PCR.2'!AI30:AI34))</f>
        <v>17291.908336856264</v>
      </c>
      <c r="AK33" s="73">
        <f>+AK26+(AK36*'[1]PPC.3, PCR.2'!AJ34/SUM('[1]PPC.3, PCR.2'!AJ30:AJ34))</f>
        <v>16424.771759142779</v>
      </c>
      <c r="AL33" s="73">
        <f>+AL26+(AL36*'[1]PPC.3, PCR.2'!AK34/SUM('[1]PPC.3, PCR.2'!AK30:AK34))</f>
        <v>19194.293385468092</v>
      </c>
      <c r="AM33" s="73">
        <f>+AM26+(AM36*'[1]PPC.3, PCR.2'!AL34/SUM('[1]PPC.3, PCR.2'!AL30:AL34))</f>
        <v>38886.814638059877</v>
      </c>
      <c r="AN33" s="73">
        <f>+AN26+(AN36*'[1]PPC.3, PCR.2'!AM34/SUM('[1]PPC.3, PCR.2'!AM30:AM34))</f>
        <v>62163.30838583759</v>
      </c>
      <c r="AO33" s="73">
        <f>+AO26+(AO36*'[1]PPC.3, PCR.2'!AN34/SUM('[1]PPC.3, PCR.2'!AN30:AN34))</f>
        <v>62277.891788111709</v>
      </c>
      <c r="AP33" s="73">
        <f>+AP26+(AP36*'PCR (M3)'!G32/SUM('PCR (M3)'!G28:G32))</f>
        <v>61090.351080169654</v>
      </c>
      <c r="AQ33" s="73">
        <f>+AQ26+(AQ36*'PCR (M3)'!H32/SUM('PCR (M3)'!H28:H32))</f>
        <v>77031.361873120681</v>
      </c>
      <c r="AR33" s="73">
        <f>+AR26+(AR36*'PCR (M3)'!I32/SUM('PCR (M3)'!I28:I32))</f>
        <v>71605.590509478847</v>
      </c>
      <c r="AS33" s="73">
        <f>+AS26+(AS36*'PCR (M3)'!J32/SUM('PCR (M3)'!J28:J32))</f>
        <v>79252.326006964737</v>
      </c>
      <c r="AT33" s="73">
        <f>+AT26+(AT36*'PCR (M3)'!K32/SUM('PCR (M3)'!K28:K32))</f>
        <v>80418.423982704393</v>
      </c>
      <c r="AU33" s="73">
        <f>+AU26+(AU36*'PCR (M3)'!L32/SUM('PCR (M3)'!L28:L32))</f>
        <v>75914.605849404077</v>
      </c>
      <c r="AV33" s="73">
        <f>+AV26+(AV36*'PCR (M3)'!M32/SUM('PCR (M3)'!M28:M32))</f>
        <v>67084.185364881589</v>
      </c>
      <c r="AW33" s="73">
        <f>+AW26+(AW36*'PCR (M3)'!N32/SUM('PCR (M3)'!N28:N32))</f>
        <v>62856.748290520263</v>
      </c>
      <c r="AX33" s="73">
        <f>+AX26+(AX36*'PCR (M3)'!O32/SUM('PCR (M3)'!O28:O32))</f>
        <v>66459.23020522017</v>
      </c>
      <c r="AY33" s="73">
        <f>+AY26+(AY36*'PCR (M3)'!P32/SUM('PCR (M3)'!P28:P32))</f>
        <v>66430.245030828315</v>
      </c>
      <c r="AZ33" s="73">
        <f>+AZ26+(AZ36*'PCR (M3)'!Q32/SUM('PCR (M3)'!Q28:Q32))</f>
        <v>38508.58538321052</v>
      </c>
      <c r="BA33" s="73">
        <f>+BA26+(BA36*'PCR (M3)'!R32/SUM('PCR (M3)'!R28:R32))</f>
        <v>44139.712667457257</v>
      </c>
      <c r="BB33" s="73">
        <f>+BB26+(BB36*'PCR (M3)'!S32/SUM('PCR (M3)'!S28:S32))</f>
        <v>44831.320451790831</v>
      </c>
      <c r="BC33" s="73">
        <f>+BC26+(BC36*'PCR (M3)'!T32/SUM('PCR (M3)'!T28:T32))</f>
        <v>11299.677842574869</v>
      </c>
      <c r="BD33" s="73">
        <f>+BD26+(BD36*'PCR (M3)'!U32/SUM('PCR (M3)'!U28:U32))</f>
        <v>50403.777431042647</v>
      </c>
      <c r="BE33" s="73">
        <f>+BE26+(BE36*'PCR (M3)'!V32/SUM('PCR (M3)'!V28:V32))</f>
        <v>51924.778274542303</v>
      </c>
      <c r="BF33" s="73">
        <f>+BF26+(BF36*'PCR (M3)'!W32/SUM('PCR (M3)'!W28:W32))</f>
        <v>52673.048419221035</v>
      </c>
      <c r="BG33" s="73">
        <f>+BG26+(BG36*'PCR (M3)'!X32/SUM('PCR (M3)'!X28:X32))</f>
        <v>46395.596252741845</v>
      </c>
      <c r="BH33" s="73">
        <f>+BH26+(BH36*'PCR (M3)'!Y32/SUM('PCR (M3)'!Y28:Y32))</f>
        <v>45485.528963265475</v>
      </c>
      <c r="BI33" s="73">
        <f>+BI26+(BI36*'PCR (M3)'!Z32/SUM('PCR (M3)'!Z28:Z32))</f>
        <v>46424.397026326442</v>
      </c>
      <c r="BJ33" s="73">
        <f>+BJ26+(BJ36*'PCR (M3)'!AA32/SUM('PCR (M3)'!AA28:AA32))</f>
        <v>42444.211387439616</v>
      </c>
      <c r="BK33" s="73">
        <f>+BK26+(BK36*'PCR (M3)'!AB32/SUM('PCR (M3)'!AB28:AB32))</f>
        <v>37845.94077531778</v>
      </c>
      <c r="BL33" s="73">
        <f>+BL26+(BL36*'PCR (M3)'!AC32/SUM('PCR (M3)'!AC28:AC32))</f>
        <v>-731.33700161567504</v>
      </c>
      <c r="BM33" s="73">
        <f>+BM26+(BM36*'PCR (M3)'!AD32/SUM('PCR (M3)'!AD28:AD32))</f>
        <v>1437.799942221774</v>
      </c>
      <c r="BN33" s="73">
        <f>+BN26+(BN36*'PCR (M3)'!AE32/SUM('PCR (M3)'!AE28:AE32))</f>
        <v>1448.8425667251033</v>
      </c>
      <c r="BO33" s="73">
        <f>+BO26+(BO36*'PCR (M3)'!AF32/SUM('PCR (M3)'!AF28:AF32))</f>
        <v>1380.7821512277105</v>
      </c>
      <c r="BP33" s="73">
        <f>+BP26+(BP36*'PCR (M3)'!AG32/SUM('PCR (M3)'!AG28:AG32))</f>
        <v>1767.2604926793404</v>
      </c>
      <c r="BQ33" s="73">
        <f>+BQ26+(BQ36*'PCR (M3)'!AH32/SUM('PCR (M3)'!AH28:AH32))</f>
        <v>1691.5909448949833</v>
      </c>
      <c r="BR33" s="73">
        <f>+BR26+(BR36*'PCR (M3)'!AI32/SUM('PCR (M3)'!AI28:AI32))</f>
        <v>1824.9961214654177</v>
      </c>
      <c r="BS33" s="73">
        <f>+BS26+(BS36*'PCR (M3)'!AJ32/SUM('PCR (M3)'!AJ28:AJ32))</f>
        <v>1633.3060195728408</v>
      </c>
      <c r="BT33" s="73">
        <f>+BT26+(BT36*'PCR (M3)'!AK32/SUM('PCR (M3)'!AK28:AK32))</f>
        <v>1176.9028001128138</v>
      </c>
      <c r="BU33" s="73">
        <f>+BU26+(BU36*'PCR (M3)'!AL32/SUM('PCR (M3)'!AL28:AL32))</f>
        <v>1792.9575585199016</v>
      </c>
      <c r="BV33" s="73">
        <f>+BV26+(BV36*'PCR (M3)'!AM32/SUM('PCR (M3)'!AM28:AM32))</f>
        <v>1692.6183076773953</v>
      </c>
      <c r="BW33" s="73">
        <f>+BW26+(BW36*'PCR (M3)'!AN32/SUM('PCR (M3)'!AN28:AN32))</f>
        <v>1002.7219086393445</v>
      </c>
      <c r="BX33" s="73">
        <f>+BX26+(BX36*'PCR (M3)'!AO32/SUM('PCR (M3)'!AO28:AO32))</f>
        <v>-2092.2487403040109</v>
      </c>
      <c r="BY33" s="210">
        <f>+BY26+(BY36*'PCR (M3)'!AP32/SUM('PCR (M3)'!AP28:AP32))</f>
        <v>-9938.8643100484314</v>
      </c>
      <c r="BZ33" s="73">
        <f>+BZ26+(BZ36*'PCR (M3)'!AQ32/SUM('PCR (M3)'!AQ28:AQ32))</f>
        <v>-1916.4119977784555</v>
      </c>
      <c r="CA33" s="73">
        <f>+CA26+(CA36*'PCR (M3)'!AR32/SUM('PCR (M3)'!AR28:AR32))</f>
        <v>-2336.6180031047015</v>
      </c>
      <c r="CB33" s="73">
        <f>+CB26+(CB36*'PCR (M3)'!AS32/SUM('PCR (M3)'!AS28:AS32))</f>
        <v>-2679.3289962978324</v>
      </c>
      <c r="CC33" s="73">
        <f>+CC26+(CC36*'PCR (M3)'!AT32/SUM('PCR (M3)'!AT28:AT32))</f>
        <v>-2648.8730550887767</v>
      </c>
      <c r="CD33" s="73">
        <f>+CD26+(CD36*'PCR (M3)'!AU32/SUM('PCR (M3)'!AU28:AU32))</f>
        <v>-2762.041256583489</v>
      </c>
      <c r="CE33" s="73">
        <f>+CE26+(CE36*'PCR (M3)'!AV32/SUM('PCR (M3)'!AV28:AV32))</f>
        <v>-2372.9708277142608</v>
      </c>
      <c r="CF33" s="73">
        <f>+CF26+(CF36*'PCR (M3)'!AW32/SUM('PCR (M3)'!AW28:AW32))</f>
        <v>-2369.0270963874896</v>
      </c>
      <c r="CG33" s="73">
        <f>+CG26+(CG36*'PCR (M3)'!AX32/SUM('PCR (M3)'!AX28:AX32))</f>
        <v>-2320.851194108056</v>
      </c>
      <c r="CH33" s="73">
        <f>+CH26+(CH36*'PCR (M3)'!AY32/SUM('PCR (M3)'!AY28:AY32))</f>
        <v>-1958.1190231074463</v>
      </c>
      <c r="CI33" s="73">
        <f>+CI26+(CI36*'PCR (M3)'!AZ32/SUM('PCR (M3)'!AZ28:AZ32))</f>
        <v>-1623.9777556599879</v>
      </c>
      <c r="CJ33" s="73">
        <f>+CJ26+(CJ36*'PCR (M3)'!BA32/SUM('PCR (M3)'!BA28:BA32))</f>
        <v>-31.727229387163334</v>
      </c>
      <c r="CK33" s="73">
        <f>+CK26+(CK36*'PCR (M3)'!BB32/SUM('PCR (M3)'!BB28:BB32))</f>
        <v>-21.913770259463259</v>
      </c>
      <c r="CL33" s="73">
        <f>+CL26+(CL36*'PCR (M3)'!BC32/SUM('PCR (M3)'!BC28:BC32))</f>
        <v>-19.431521380489585</v>
      </c>
      <c r="CM33" s="73">
        <f>+CM26+(CM36*'PCR (M3)'!BD32/SUM('PCR (M3)'!BD28:BD32))</f>
        <v>-23.007750837930825</v>
      </c>
      <c r="CN33" s="73">
        <f>+CN26+(CN36*'PCR (M3)'!BE32/SUM('PCR (M3)'!BE28:BE32))</f>
        <v>-23.519135312415177</v>
      </c>
      <c r="CO33" s="73">
        <f>+CO26+(CO36*'PCR (M3)'!BF32/SUM('PCR (M3)'!BF28:BF32))</f>
        <v>-27.323845680704324</v>
      </c>
      <c r="CP33" s="73">
        <f>+CP26+(CP36*'PCR (M3)'!BG32/SUM('PCR (M3)'!BG28:BG32))</f>
        <v>-29.041239780857424</v>
      </c>
      <c r="CQ33" s="73">
        <f>+CQ26+(CQ36*'PCR (M3)'!BH32/SUM('PCR (M3)'!BH28:BH32))</f>
        <v>-28.609465326327861</v>
      </c>
      <c r="CR33" s="73">
        <f>+CR26+(CR36*'PCR (M3)'!BI32/SUM('PCR (M3)'!BI28:BI32))</f>
        <v>-26.659825343432853</v>
      </c>
      <c r="CS33" s="73">
        <f>+CS26+(CS36*'PCR (M3)'!BJ32/SUM('PCR (M3)'!BJ28:BJ32))</f>
        <v>-36.245125401328671</v>
      </c>
      <c r="CT33" s="75">
        <f>+CT26+(CT36*'PCR (M3)'!BK32/SUM('PCR (M3)'!BK28:BK32))</f>
        <v>-35.313906986189053</v>
      </c>
    </row>
    <row r="34" spans="1:99" x14ac:dyDescent="0.2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8"/>
      <c r="BZ34" s="130"/>
      <c r="CA34" s="130"/>
      <c r="CB34" s="130"/>
      <c r="CC34" s="130"/>
      <c r="CD34" s="130"/>
      <c r="CE34" s="130"/>
      <c r="CF34" s="130"/>
      <c r="CG34" s="130"/>
      <c r="CH34" s="130"/>
      <c r="CI34" s="130"/>
      <c r="CJ34" s="130"/>
      <c r="CK34" s="130"/>
      <c r="CL34" s="130"/>
      <c r="CM34" s="130"/>
      <c r="CN34" s="130"/>
      <c r="CO34" s="130"/>
      <c r="CP34" s="130"/>
      <c r="CQ34" s="130"/>
      <c r="CR34" s="130"/>
      <c r="CS34" s="130"/>
      <c r="CT34" s="296"/>
    </row>
    <row r="35" spans="1:99" x14ac:dyDescent="0.25">
      <c r="A35" t="s">
        <v>104</v>
      </c>
      <c r="B35" s="66"/>
      <c r="D35" s="68" t="s">
        <v>85</v>
      </c>
      <c r="BY35" s="65"/>
      <c r="CT35" s="67"/>
    </row>
    <row r="36" spans="1:99" x14ac:dyDescent="0.25">
      <c r="A36" t="str">
        <f>A22</f>
        <v>RES</v>
      </c>
      <c r="B36" s="61">
        <v>0</v>
      </c>
      <c r="C36" s="62">
        <v>0</v>
      </c>
      <c r="D36" s="62">
        <v>0</v>
      </c>
      <c r="E36" s="62">
        <v>0</v>
      </c>
      <c r="F36" s="62">
        <v>0</v>
      </c>
      <c r="G36" s="62">
        <v>0</v>
      </c>
      <c r="H36" s="62">
        <v>0</v>
      </c>
      <c r="I36" s="62">
        <v>0</v>
      </c>
      <c r="J36" s="62">
        <v>0</v>
      </c>
      <c r="K36" s="62">
        <v>0</v>
      </c>
      <c r="L36" s="62">
        <v>0</v>
      </c>
      <c r="M36" s="62">
        <v>0</v>
      </c>
      <c r="N36" s="62">
        <v>0</v>
      </c>
      <c r="O36" s="62">
        <v>0</v>
      </c>
      <c r="P36" s="62">
        <v>0</v>
      </c>
      <c r="Q36" s="62">
        <v>-32811.980000000003</v>
      </c>
      <c r="R36" s="62">
        <v>-27741.819999999996</v>
      </c>
      <c r="S36" s="62">
        <v>-33591.72</v>
      </c>
      <c r="T36" s="62">
        <v>-43701.210000000006</v>
      </c>
      <c r="U36" s="62">
        <v>-44913.150000000016</v>
      </c>
      <c r="V36" s="62">
        <v>-37075.26</v>
      </c>
      <c r="W36" s="69">
        <v>-33337.619999999995</v>
      </c>
      <c r="X36" s="69">
        <v>-34636.379999999997</v>
      </c>
      <c r="Y36" s="69">
        <v>-46816.780000000006</v>
      </c>
      <c r="Z36" s="69">
        <v>-74379.199999999997</v>
      </c>
      <c r="AA36" s="69">
        <v>-53026.439999999981</v>
      </c>
      <c r="AB36" s="69">
        <v>-42925.730000000018</v>
      </c>
      <c r="AC36" s="69">
        <v>-42106.7</v>
      </c>
      <c r="AD36" s="69">
        <v>-28791.749999999996</v>
      </c>
      <c r="AE36" s="69">
        <v>-35930.130000000005</v>
      </c>
      <c r="AF36" s="69">
        <v>-41963.429999999993</v>
      </c>
      <c r="AG36" s="69">
        <v>-36995.590000000011</v>
      </c>
      <c r="AH36" s="69">
        <v>-35204.390000000014</v>
      </c>
      <c r="AI36" s="69">
        <v>-30748.660000000003</v>
      </c>
      <c r="AJ36" s="69">
        <v>-34618.679999999993</v>
      </c>
      <c r="AK36" s="69">
        <v>-50285.73</v>
      </c>
      <c r="AL36" s="69">
        <v>-55873.150000000009</v>
      </c>
      <c r="AM36" s="69">
        <v>-60492.49</v>
      </c>
      <c r="AN36" s="69">
        <v>-55114.33</v>
      </c>
      <c r="AO36" s="69">
        <v>-36035.890000000007</v>
      </c>
      <c r="AP36" s="69">
        <v>-27170.16</v>
      </c>
      <c r="AQ36" s="69">
        <v>-31591.29</v>
      </c>
      <c r="AR36" s="69">
        <v>-38703.740000000005</v>
      </c>
      <c r="AS36" s="69">
        <v>-41224.720000000001</v>
      </c>
      <c r="AT36" s="69">
        <v>-37524.060000000005</v>
      </c>
      <c r="AU36" s="69">
        <v>-31789.249999999996</v>
      </c>
      <c r="AV36" s="69">
        <v>-34917.82</v>
      </c>
      <c r="AW36" s="69">
        <v>-48130.950000000004</v>
      </c>
      <c r="AX36" s="69">
        <v>-53162.189999999995</v>
      </c>
      <c r="AY36" s="69">
        <v>-32508.630000000005</v>
      </c>
      <c r="AZ36" s="69">
        <v>-4700.05</v>
      </c>
      <c r="BA36" s="69">
        <v>-3259.1800000000003</v>
      </c>
      <c r="BB36" s="69">
        <v>-2682.7599999999998</v>
      </c>
      <c r="BC36" s="69">
        <v>-3058.82</v>
      </c>
      <c r="BD36" s="69">
        <v>-3921.83</v>
      </c>
      <c r="BE36" s="69">
        <v>-3613.12</v>
      </c>
      <c r="BF36" s="69">
        <v>-3328.0600000000004</v>
      </c>
      <c r="BG36" s="69">
        <v>-2482.1</v>
      </c>
      <c r="BH36" s="69">
        <v>-2937.02</v>
      </c>
      <c r="BI36" s="69">
        <v>-4062.2200000000003</v>
      </c>
      <c r="BJ36" s="69">
        <v>-5469.2800000000007</v>
      </c>
      <c r="BK36" s="69">
        <v>3825.8900000000003</v>
      </c>
      <c r="BL36" s="69">
        <v>11958.710000000001</v>
      </c>
      <c r="BM36" s="69">
        <v>7797.5</v>
      </c>
      <c r="BN36" s="69">
        <v>6812.78</v>
      </c>
      <c r="BO36" s="69">
        <v>7728.46</v>
      </c>
      <c r="BP36" s="69">
        <v>10162.719999999999</v>
      </c>
      <c r="BQ36" s="69">
        <v>10354.620000000001</v>
      </c>
      <c r="BR36" s="69">
        <v>10275.1</v>
      </c>
      <c r="BS36" s="69">
        <v>7262</v>
      </c>
      <c r="BT36" s="69">
        <v>7844.09</v>
      </c>
      <c r="BU36" s="69">
        <v>10087.69</v>
      </c>
      <c r="BV36" s="69">
        <v>12406.73</v>
      </c>
      <c r="BW36" s="69">
        <v>8862.6500000000015</v>
      </c>
      <c r="BX36" s="69">
        <v>487.33999999999992</v>
      </c>
      <c r="BY36" s="185">
        <v>308.75</v>
      </c>
      <c r="BZ36" s="69">
        <v>257.05</v>
      </c>
      <c r="CA36" s="69">
        <v>302.51</v>
      </c>
      <c r="CB36" s="69">
        <v>412.95</v>
      </c>
      <c r="CC36" s="69">
        <v>413.28</v>
      </c>
      <c r="CD36" s="69">
        <v>356.38</v>
      </c>
      <c r="CE36" s="69">
        <v>279.54000000000002</v>
      </c>
      <c r="CF36" s="69">
        <v>295.49</v>
      </c>
      <c r="CG36" s="69">
        <v>480.57999999999993</v>
      </c>
      <c r="CH36" s="69">
        <v>587.4</v>
      </c>
      <c r="CI36" s="69">
        <v>-4.9800000000000004</v>
      </c>
      <c r="CJ36" s="69">
        <v>-743.9</v>
      </c>
      <c r="CK36" s="69">
        <v>-640.79999999999995</v>
      </c>
      <c r="CL36" s="69">
        <v>-500.27000000000004</v>
      </c>
      <c r="CM36" s="69">
        <v>-591.84</v>
      </c>
      <c r="CN36" s="69">
        <v>-763.38</v>
      </c>
      <c r="CO36" s="69">
        <v>-806.92000000000007</v>
      </c>
      <c r="CP36" s="69">
        <v>-754.27</v>
      </c>
      <c r="CQ36" s="69">
        <v>-592.09999999999991</v>
      </c>
      <c r="CR36" s="69">
        <f>'[1]TDR.3 (M2)'!CC5</f>
        <v>-561.49999999999989</v>
      </c>
      <c r="CS36" s="69">
        <f>'[1]TDR.3 (M2)'!CD5</f>
        <v>-824.4</v>
      </c>
      <c r="CT36" s="303">
        <f>'[1]TDR.3 (M2)'!CE5</f>
        <v>-1074.04</v>
      </c>
    </row>
    <row r="37" spans="1:99" x14ac:dyDescent="0.2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71"/>
      <c r="BZ37" s="3"/>
      <c r="CA37" s="3"/>
      <c r="CB37" s="3"/>
      <c r="CC37" s="3"/>
      <c r="CD37" s="3"/>
      <c r="CE37" s="3"/>
      <c r="CF37" s="3"/>
      <c r="CG37" s="3"/>
      <c r="CH37" s="3"/>
      <c r="CI37" s="3"/>
      <c r="CJ37" s="3"/>
      <c r="CK37" s="3"/>
      <c r="CL37" s="3"/>
      <c r="CM37" s="3"/>
      <c r="CN37" s="3"/>
      <c r="CO37" s="3"/>
      <c r="CP37" s="3"/>
      <c r="CQ37" s="3"/>
      <c r="CR37" s="3"/>
      <c r="CS37" s="3"/>
      <c r="CT37" s="295"/>
      <c r="CU37" s="3"/>
    </row>
    <row r="38" spans="1:99" x14ac:dyDescent="0.25">
      <c r="B38" s="71"/>
      <c r="C38" s="3"/>
      <c r="D38" s="68" t="s">
        <v>67</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71"/>
      <c r="BZ38" s="3"/>
      <c r="CA38" s="3"/>
      <c r="CB38" s="3"/>
      <c r="CC38" s="3"/>
      <c r="CD38" s="3"/>
      <c r="CE38" s="3"/>
      <c r="CF38" s="3"/>
      <c r="CG38" s="3"/>
      <c r="CH38" s="3"/>
      <c r="CI38" s="3"/>
      <c r="CJ38" s="3"/>
      <c r="CK38" s="3"/>
      <c r="CL38" s="3"/>
      <c r="CM38" s="3"/>
      <c r="CN38" s="3"/>
      <c r="CO38" s="3"/>
      <c r="CP38" s="3"/>
      <c r="CQ38" s="3"/>
      <c r="CR38" s="3"/>
      <c r="CS38" s="3"/>
      <c r="CT38" s="295"/>
    </row>
    <row r="39" spans="1:99" ht="15.75" thickBot="1" x14ac:dyDescent="0.3">
      <c r="A39" t="s">
        <v>87</v>
      </c>
      <c r="B39" s="233">
        <v>0</v>
      </c>
      <c r="C39" s="204">
        <v>0</v>
      </c>
      <c r="D39" s="204">
        <v>0</v>
      </c>
      <c r="E39" s="204">
        <v>0.83</v>
      </c>
      <c r="F39" s="204">
        <v>-4.12</v>
      </c>
      <c r="G39" s="204">
        <v>-72.86</v>
      </c>
      <c r="H39" s="204">
        <v>-100.31</v>
      </c>
      <c r="I39" s="204">
        <v>-72.75</v>
      </c>
      <c r="J39" s="204">
        <v>200.51</v>
      </c>
      <c r="K39" s="204">
        <v>172.02</v>
      </c>
      <c r="L39" s="204">
        <v>217.02</v>
      </c>
      <c r="M39" s="77">
        <v>395.25</v>
      </c>
      <c r="N39" s="77">
        <v>349.23</v>
      </c>
      <c r="O39" s="77">
        <v>9085.07</v>
      </c>
      <c r="P39" s="77">
        <v>10214.99</v>
      </c>
      <c r="Q39" s="77">
        <v>8736.59</v>
      </c>
      <c r="R39" s="77">
        <v>7362.86</v>
      </c>
      <c r="S39" s="77">
        <v>7923.4</v>
      </c>
      <c r="T39" s="77">
        <v>6924.77</v>
      </c>
      <c r="U39" s="77">
        <v>6462.66</v>
      </c>
      <c r="V39" s="77">
        <v>5489.98</v>
      </c>
      <c r="W39" s="77">
        <v>3758.58</v>
      </c>
      <c r="X39" s="77">
        <v>2383.46</v>
      </c>
      <c r="Y39" s="77">
        <v>1195.4000000000001</v>
      </c>
      <c r="Z39" s="77">
        <v>-1558.24</v>
      </c>
      <c r="AA39" s="77">
        <v>-4135.4799999999996</v>
      </c>
      <c r="AB39" s="77">
        <v>-6601.54</v>
      </c>
      <c r="AC39" s="77">
        <v>-9814.07</v>
      </c>
      <c r="AD39" s="77">
        <v>-10424.57</v>
      </c>
      <c r="AE39" s="77">
        <v>-8592.41</v>
      </c>
      <c r="AF39" s="77">
        <v>-4589.53</v>
      </c>
      <c r="AG39" s="77">
        <v>-680.13</v>
      </c>
      <c r="AH39" s="77">
        <v>1145.49</v>
      </c>
      <c r="AI39" s="77">
        <v>131.71</v>
      </c>
      <c r="AJ39" s="77">
        <v>-872.83</v>
      </c>
      <c r="AK39" s="77">
        <v>-2378.1799999999998</v>
      </c>
      <c r="AL39" s="77">
        <v>-4152.67</v>
      </c>
      <c r="AM39" s="77">
        <v>-8693.64</v>
      </c>
      <c r="AN39" s="77">
        <v>-11321.04</v>
      </c>
      <c r="AO39" s="77">
        <v>-12444.34</v>
      </c>
      <c r="AP39" s="77">
        <v>-14340.93</v>
      </c>
      <c r="AQ39" s="77">
        <v>-7824.47</v>
      </c>
      <c r="AR39" s="77">
        <v>-9334.36</v>
      </c>
      <c r="AS39" s="77">
        <v>6436.46</v>
      </c>
      <c r="AT39" s="77">
        <v>8716.57</v>
      </c>
      <c r="AU39" s="77">
        <v>6493.08</v>
      </c>
      <c r="AV39" s="77">
        <v>4311.46</v>
      </c>
      <c r="AW39" s="77">
        <v>2634.36</v>
      </c>
      <c r="AX39" s="77">
        <v>571.99</v>
      </c>
      <c r="AY39" s="77">
        <v>-2717.53</v>
      </c>
      <c r="AZ39" s="77">
        <v>-887.86</v>
      </c>
      <c r="BA39" s="77">
        <v>-901.63</v>
      </c>
      <c r="BB39" s="77">
        <v>-183.12</v>
      </c>
      <c r="BC39" s="77">
        <v>-242.2</v>
      </c>
      <c r="BD39" s="77">
        <v>-494.7</v>
      </c>
      <c r="BE39" s="77">
        <v>-432.38</v>
      </c>
      <c r="BF39" s="77">
        <v>-466.39</v>
      </c>
      <c r="BG39" s="77">
        <v>-854.31</v>
      </c>
      <c r="BH39" s="77">
        <v>-1205.9100000000001</v>
      </c>
      <c r="BI39" s="77">
        <v>-1518.99</v>
      </c>
      <c r="BJ39" s="77">
        <v>-1226.01</v>
      </c>
      <c r="BK39" s="77">
        <v>-1401.5</v>
      </c>
      <c r="BL39" s="77">
        <v>-1184.03</v>
      </c>
      <c r="BM39" s="77">
        <v>-1162.8499999999999</v>
      </c>
      <c r="BN39" s="77">
        <v>-1074.99</v>
      </c>
      <c r="BO39" s="77">
        <v>-868.97</v>
      </c>
      <c r="BP39" s="77">
        <v>-515.88</v>
      </c>
      <c r="BQ39" s="77">
        <v>-632.94000000000005</v>
      </c>
      <c r="BR39" s="77">
        <v>-483.62</v>
      </c>
      <c r="BS39" s="77">
        <v>-310.76</v>
      </c>
      <c r="BT39" s="77">
        <v>-256.98</v>
      </c>
      <c r="BU39" s="77">
        <v>-314.17</v>
      </c>
      <c r="BV39" s="77">
        <v>-150.61000000000001</v>
      </c>
      <c r="BW39" s="77">
        <v>-79.55</v>
      </c>
      <c r="BX39" s="78">
        <v>-151.16999999999999</v>
      </c>
      <c r="BY39" s="76">
        <v>-102.64</v>
      </c>
      <c r="BZ39" s="77">
        <v>-122.27</v>
      </c>
      <c r="CA39" s="77">
        <v>-118.81</v>
      </c>
      <c r="CB39" s="77">
        <v>-47.32</v>
      </c>
      <c r="CC39" s="77">
        <v>83.74</v>
      </c>
      <c r="CD39" s="77">
        <v>240.95</v>
      </c>
      <c r="CE39" s="78">
        <v>446.03</v>
      </c>
      <c r="CF39" s="78">
        <v>730.54</v>
      </c>
      <c r="CG39" s="78">
        <v>1018.34</v>
      </c>
      <c r="CH39" s="78">
        <v>1772.07</v>
      </c>
      <c r="CI39" s="78">
        <v>1426.51</v>
      </c>
      <c r="CJ39" s="78">
        <v>1368.54</v>
      </c>
      <c r="CK39" s="78">
        <v>1345.2</v>
      </c>
      <c r="CL39" s="78">
        <v>1279.58</v>
      </c>
      <c r="CM39" s="78">
        <v>1187.1199999999999</v>
      </c>
      <c r="CN39" s="78">
        <v>1060.3699999999999</v>
      </c>
      <c r="CO39" s="78">
        <v>930.99</v>
      </c>
      <c r="CP39" s="78">
        <v>795.26</v>
      </c>
      <c r="CQ39" s="78">
        <v>687.33</v>
      </c>
      <c r="CR39" s="78">
        <f>-'[1]TDR.4 (M2)'!$W$102</f>
        <v>597.16999999999996</v>
      </c>
      <c r="CS39" s="78">
        <f>-'[1]TDR.4 (M2)'!$W$103</f>
        <v>474.73</v>
      </c>
      <c r="CT39" s="304">
        <f>-'[1]TDR.4 (M2)'!$W$104</f>
        <v>310.02999999999997</v>
      </c>
    </row>
    <row r="40" spans="1:99" x14ac:dyDescent="0.25">
      <c r="B40" s="110"/>
      <c r="C40" s="79"/>
      <c r="D40" s="79"/>
      <c r="E40" s="79"/>
      <c r="F40" s="79"/>
      <c r="G40" s="128"/>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110"/>
      <c r="BZ40" s="79"/>
      <c r="CA40" s="79"/>
      <c r="CB40" s="79"/>
      <c r="CC40" s="79"/>
      <c r="CD40" s="79"/>
      <c r="CE40" s="79"/>
      <c r="CF40" s="79"/>
      <c r="CG40" s="79"/>
      <c r="CH40" s="79"/>
      <c r="CI40" s="79"/>
      <c r="CJ40" s="79"/>
      <c r="CK40" s="79"/>
      <c r="CL40" s="79"/>
      <c r="CM40" s="79"/>
      <c r="CN40" s="79"/>
      <c r="CO40" s="79"/>
      <c r="CP40" s="79"/>
      <c r="CQ40" s="79"/>
      <c r="CR40" s="79"/>
      <c r="CS40" s="79"/>
      <c r="CT40" s="80"/>
    </row>
    <row r="41" spans="1:99" x14ac:dyDescent="0.25">
      <c r="A41" t="s">
        <v>68</v>
      </c>
      <c r="B41" s="81"/>
      <c r="C41" s="32"/>
      <c r="D41" s="32"/>
      <c r="E41" s="32"/>
      <c r="F41" s="32"/>
      <c r="G41" s="129"/>
      <c r="H41" s="32"/>
      <c r="I41" s="32"/>
      <c r="J41" s="3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186"/>
      <c r="BZ41" s="33"/>
      <c r="CA41" s="33"/>
      <c r="CB41" s="33"/>
      <c r="CC41" s="33"/>
      <c r="CD41" s="33"/>
      <c r="CE41" s="33"/>
      <c r="CF41" s="33"/>
      <c r="CG41" s="33"/>
      <c r="CH41" s="33"/>
      <c r="CI41" s="33"/>
      <c r="CJ41" s="33"/>
      <c r="CK41" s="33"/>
      <c r="CL41" s="33"/>
      <c r="CM41" s="33"/>
      <c r="CN41" s="33"/>
      <c r="CO41" s="33"/>
      <c r="CP41" s="33"/>
      <c r="CQ41" s="33"/>
      <c r="CR41" s="33"/>
      <c r="CS41" s="33"/>
      <c r="CT41" s="297"/>
    </row>
    <row r="42" spans="1:99" x14ac:dyDescent="0.25">
      <c r="A42" t="s">
        <v>0</v>
      </c>
      <c r="B42" s="232">
        <f>B15-B29</f>
        <v>0</v>
      </c>
      <c r="C42" s="206">
        <f t="shared" ref="C42:W46" si="94">C15-C29</f>
        <v>0</v>
      </c>
      <c r="D42" s="206">
        <f t="shared" si="94"/>
        <v>0</v>
      </c>
      <c r="E42" s="206">
        <f t="shared" si="94"/>
        <v>1328.78</v>
      </c>
      <c r="F42" s="206">
        <f t="shared" si="94"/>
        <v>-2928.2299999999996</v>
      </c>
      <c r="G42" s="206">
        <f t="shared" si="94"/>
        <v>-71289.570000000007</v>
      </c>
      <c r="H42" s="206">
        <f t="shared" si="94"/>
        <v>-1844.4099999999744</v>
      </c>
      <c r="I42" s="206">
        <f t="shared" si="94"/>
        <v>114544.92435846673</v>
      </c>
      <c r="J42" s="206">
        <f t="shared" si="94"/>
        <v>437611.03363575385</v>
      </c>
      <c r="K42" s="206">
        <f t="shared" si="94"/>
        <v>-46108.639999999985</v>
      </c>
      <c r="L42" s="206">
        <f t="shared" si="94"/>
        <v>48251.358816492691</v>
      </c>
      <c r="M42" s="21">
        <f t="shared" si="94"/>
        <v>92791.644528529549</v>
      </c>
      <c r="N42" s="21">
        <f t="shared" si="94"/>
        <v>-76541.62899647688</v>
      </c>
      <c r="O42" s="21">
        <f t="shared" si="94"/>
        <v>-1050300.6538526569</v>
      </c>
      <c r="P42" s="21">
        <f t="shared" si="94"/>
        <v>-795612.54377562623</v>
      </c>
      <c r="Q42" s="21">
        <f t="shared" si="94"/>
        <v>-781966.80801192264</v>
      </c>
      <c r="R42" s="21">
        <f t="shared" si="94"/>
        <v>-734608.66210439603</v>
      </c>
      <c r="S42" s="21">
        <f t="shared" si="94"/>
        <v>-370689.72777560423</v>
      </c>
      <c r="T42" s="21">
        <f t="shared" si="94"/>
        <v>-384119.88133799564</v>
      </c>
      <c r="U42" s="21">
        <f t="shared" si="94"/>
        <v>-275107.38358755549</v>
      </c>
      <c r="V42" s="21">
        <f t="shared" si="94"/>
        <v>-424940.93852856522</v>
      </c>
      <c r="W42" s="21">
        <f t="shared" si="94"/>
        <v>-895008.88456685981</v>
      </c>
      <c r="X42" s="21">
        <f t="shared" ref="X42:AH42" si="95">X15-X29</f>
        <v>-652093.16687273735</v>
      </c>
      <c r="Y42" s="21">
        <f t="shared" si="95"/>
        <v>-761185.28928755154</v>
      </c>
      <c r="Z42" s="21">
        <f t="shared" si="95"/>
        <v>-1423446.7136634206</v>
      </c>
      <c r="AA42" s="21">
        <f t="shared" si="95"/>
        <v>-872933.81364122406</v>
      </c>
      <c r="AB42" s="21">
        <f t="shared" si="95"/>
        <v>-647504.14396264404</v>
      </c>
      <c r="AC42" s="21">
        <f t="shared" si="95"/>
        <v>-811719.89299649675</v>
      </c>
      <c r="AD42" s="21">
        <f t="shared" si="95"/>
        <v>-388655.70517212211</v>
      </c>
      <c r="AE42" s="21">
        <f t="shared" si="95"/>
        <v>723672.47680510976</v>
      </c>
      <c r="AF42" s="21">
        <f t="shared" si="95"/>
        <v>1229078.5787427053</v>
      </c>
      <c r="AG42" s="21">
        <f t="shared" si="95"/>
        <v>1288463.5757057199</v>
      </c>
      <c r="AH42" s="21">
        <f t="shared" si="95"/>
        <v>271065.67566829198</v>
      </c>
      <c r="AI42" s="21">
        <f t="shared" ref="AI42:AU42" si="96">AI15-AI29</f>
        <v>-464314.22299920814</v>
      </c>
      <c r="AJ42" s="21">
        <f t="shared" si="96"/>
        <v>-436737.34684611688</v>
      </c>
      <c r="AK42" s="21">
        <f t="shared" si="96"/>
        <v>-617572.08405505202</v>
      </c>
      <c r="AL42" s="21">
        <f t="shared" si="96"/>
        <v>-757166.54526625574</v>
      </c>
      <c r="AM42" s="21">
        <f t="shared" si="96"/>
        <v>-902323.78320456308</v>
      </c>
      <c r="AN42" s="21">
        <f t="shared" si="96"/>
        <v>-644984.27791673772</v>
      </c>
      <c r="AO42" s="21">
        <f t="shared" si="96"/>
        <v>-371208.95703957358</v>
      </c>
      <c r="AP42" s="21">
        <f t="shared" si="96"/>
        <v>-436712.1860460249</v>
      </c>
      <c r="AQ42" s="21">
        <f t="shared" si="96"/>
        <v>1651426.2498654767</v>
      </c>
      <c r="AR42" s="21">
        <f t="shared" si="96"/>
        <v>1729212.3236625164</v>
      </c>
      <c r="AS42" s="21">
        <f>AS15-AS29</f>
        <v>1886501.8465768229</v>
      </c>
      <c r="AT42" s="21">
        <f t="shared" si="96"/>
        <v>550244.65205842978</v>
      </c>
      <c r="AU42" s="21">
        <f t="shared" si="96"/>
        <v>-619226.02641074557</v>
      </c>
      <c r="AV42" s="21">
        <f t="shared" ref="AV42:BF42" si="97">AV15-AV29</f>
        <v>-406069.8759449994</v>
      </c>
      <c r="AW42" s="21">
        <f t="shared" si="97"/>
        <v>-586852.95091818122</v>
      </c>
      <c r="AX42" s="21">
        <f t="shared" si="97"/>
        <v>-720893.84375789552</v>
      </c>
      <c r="AY42" s="21">
        <f t="shared" si="97"/>
        <v>-1954298.2858568672</v>
      </c>
      <c r="AZ42" s="21">
        <f t="shared" si="97"/>
        <v>376424.54789936566</v>
      </c>
      <c r="BA42" s="21">
        <f t="shared" si="97"/>
        <v>-94402.787188311384</v>
      </c>
      <c r="BB42" s="21">
        <f t="shared" si="97"/>
        <v>-85377.45219762405</v>
      </c>
      <c r="BC42" s="21">
        <f t="shared" si="97"/>
        <v>-111088.05405709325</v>
      </c>
      <c r="BD42" s="21">
        <f t="shared" si="97"/>
        <v>-148912.49147732253</v>
      </c>
      <c r="BE42" s="21">
        <f t="shared" si="97"/>
        <v>-139614.44094102815</v>
      </c>
      <c r="BF42" s="21">
        <f t="shared" si="97"/>
        <v>-125976.71022904468</v>
      </c>
      <c r="BG42" s="21">
        <f t="shared" ref="BG42:BR42" si="98">BG15-BG29</f>
        <v>-85433.845861912763</v>
      </c>
      <c r="BH42" s="21">
        <f t="shared" si="98"/>
        <v>-91258.917890257682</v>
      </c>
      <c r="BI42" s="21">
        <f t="shared" si="98"/>
        <v>-120857.06275512141</v>
      </c>
      <c r="BJ42" s="21">
        <f t="shared" si="98"/>
        <v>-157131.76386056474</v>
      </c>
      <c r="BK42" s="21">
        <f t="shared" si="98"/>
        <v>115197.03218943031</v>
      </c>
      <c r="BL42" s="21">
        <f t="shared" si="98"/>
        <v>330846.44785598782</v>
      </c>
      <c r="BM42" s="21">
        <f t="shared" si="98"/>
        <v>223865.36362995685</v>
      </c>
      <c r="BN42" s="21">
        <f t="shared" si="98"/>
        <v>210176.78057078714</v>
      </c>
      <c r="BO42" s="21">
        <f t="shared" si="98"/>
        <v>274664.86631310626</v>
      </c>
      <c r="BP42" s="21">
        <f t="shared" si="98"/>
        <v>362529.15554440091</v>
      </c>
      <c r="BQ42" s="21">
        <f t="shared" si="98"/>
        <v>369792.94310600177</v>
      </c>
      <c r="BR42" s="21">
        <f t="shared" si="98"/>
        <v>363385.55298456381</v>
      </c>
      <c r="BS42" s="21">
        <f t="shared" ref="BS42:CE42" si="99">BS15-BS29</f>
        <v>252118.80647925977</v>
      </c>
      <c r="BT42" s="21">
        <f t="shared" si="99"/>
        <v>237271.91053566517</v>
      </c>
      <c r="BU42" s="21">
        <f t="shared" si="99"/>
        <v>297440.02156472037</v>
      </c>
      <c r="BV42" s="21">
        <f t="shared" si="99"/>
        <v>384027.55955538503</v>
      </c>
      <c r="BW42" s="21">
        <f t="shared" si="99"/>
        <v>248448.70779312411</v>
      </c>
      <c r="BX42" s="73">
        <f>BX15-BX29</f>
        <v>14142.518065753949</v>
      </c>
      <c r="BY42" s="72">
        <f t="shared" si="99"/>
        <v>8108.3955144196925</v>
      </c>
      <c r="BZ42" s="21">
        <f t="shared" si="99"/>
        <v>8073.3360940229468</v>
      </c>
      <c r="CA42" s="21">
        <f t="shared" si="99"/>
        <v>10522.970092720119</v>
      </c>
      <c r="CB42" s="21">
        <f t="shared" si="99"/>
        <v>14468.941204805697</v>
      </c>
      <c r="CC42" s="21">
        <f t="shared" si="99"/>
        <v>13654.530108070916</v>
      </c>
      <c r="CD42" s="21">
        <f t="shared" si="99"/>
        <v>11445.528735503305</v>
      </c>
      <c r="CE42" s="73">
        <f t="shared" si="99"/>
        <v>8161.2905921701904</v>
      </c>
      <c r="CF42" s="73">
        <f t="shared" ref="CF42:CQ42" si="100">CF15-CF29</f>
        <v>7466.174053637701</v>
      </c>
      <c r="CG42" s="73">
        <f t="shared" si="100"/>
        <v>11799.60123590958</v>
      </c>
      <c r="CH42" s="73">
        <f t="shared" si="100"/>
        <v>14218.800814047187</v>
      </c>
      <c r="CI42" s="73">
        <f t="shared" si="100"/>
        <v>-1128.7472916282129</v>
      </c>
      <c r="CJ42" s="73">
        <f t="shared" si="100"/>
        <v>-17063.412176146547</v>
      </c>
      <c r="CK42" s="73">
        <f t="shared" si="100"/>
        <v>-14834.032673913982</v>
      </c>
      <c r="CL42" s="73">
        <f t="shared" si="100"/>
        <v>-12618.250319023462</v>
      </c>
      <c r="CM42" s="73">
        <f t="shared" si="100"/>
        <v>-16278.292305872981</v>
      </c>
      <c r="CN42" s="73">
        <f t="shared" si="100"/>
        <v>-21270.906790485864</v>
      </c>
      <c r="CO42" s="73">
        <f t="shared" si="100"/>
        <v>-21946.695895800665</v>
      </c>
      <c r="CP42" s="73">
        <f t="shared" si="100"/>
        <v>-20318.68032976161</v>
      </c>
      <c r="CQ42" s="73">
        <f t="shared" si="100"/>
        <v>-14782.334123161972</v>
      </c>
      <c r="CR42" s="73">
        <f t="shared" ref="CR42:CT42" si="101">CR15-CR29</f>
        <v>-12971.488360059217</v>
      </c>
      <c r="CS42" s="73">
        <f t="shared" si="101"/>
        <v>-18052.481850703167</v>
      </c>
      <c r="CT42" s="75">
        <f t="shared" si="101"/>
        <v>-23582.01268907174</v>
      </c>
    </row>
    <row r="43" spans="1:99" x14ac:dyDescent="0.25">
      <c r="A43" t="s">
        <v>4</v>
      </c>
      <c r="B43" s="232">
        <f t="shared" ref="B43:Q46" si="102">B16-B30</f>
        <v>0</v>
      </c>
      <c r="C43" s="206">
        <f t="shared" si="102"/>
        <v>0</v>
      </c>
      <c r="D43" s="206">
        <f t="shared" si="102"/>
        <v>0</v>
      </c>
      <c r="E43" s="206">
        <f t="shared" si="102"/>
        <v>0</v>
      </c>
      <c r="F43" s="206">
        <f t="shared" si="102"/>
        <v>-856.28</v>
      </c>
      <c r="G43" s="206">
        <f t="shared" si="102"/>
        <v>-8251.3300000000017</v>
      </c>
      <c r="H43" s="206">
        <f t="shared" si="102"/>
        <v>-1402.1099999999969</v>
      </c>
      <c r="I43" s="206">
        <f t="shared" si="102"/>
        <v>-65.264761224685572</v>
      </c>
      <c r="J43" s="206">
        <f t="shared" si="102"/>
        <v>8427.9456749210331</v>
      </c>
      <c r="K43" s="206">
        <f t="shared" si="102"/>
        <v>11617.59</v>
      </c>
      <c r="L43" s="206">
        <f t="shared" si="102"/>
        <v>17046.048601536655</v>
      </c>
      <c r="M43" s="21">
        <f t="shared" si="102"/>
        <v>24826.995758638252</v>
      </c>
      <c r="N43" s="21">
        <f t="shared" si="102"/>
        <v>20240.432188278435</v>
      </c>
      <c r="O43" s="21">
        <f t="shared" si="102"/>
        <v>-101815.23827073371</v>
      </c>
      <c r="P43" s="21">
        <f t="shared" si="102"/>
        <v>-75662.968837742344</v>
      </c>
      <c r="Q43" s="21">
        <f t="shared" si="102"/>
        <v>-91804.560030101668</v>
      </c>
      <c r="R43" s="21">
        <f t="shared" si="94"/>
        <v>-68128.224455245159</v>
      </c>
      <c r="S43" s="21">
        <f t="shared" si="94"/>
        <v>-48589.637835607791</v>
      </c>
      <c r="T43" s="21">
        <f t="shared" si="94"/>
        <v>-21968.569927616802</v>
      </c>
      <c r="U43" s="21">
        <f t="shared" si="94"/>
        <v>-28715.458669831074</v>
      </c>
      <c r="V43" s="21">
        <f t="shared" si="94"/>
        <v>6276.6530995404464</v>
      </c>
      <c r="W43" s="21">
        <f t="shared" si="94"/>
        <v>-21029.362806484423</v>
      </c>
      <c r="X43" s="21">
        <f t="shared" ref="X43:AH43" si="103">X16-X30</f>
        <v>-34538.080526789403</v>
      </c>
      <c r="Y43" s="21">
        <f t="shared" si="103"/>
        <v>-7659.090907654303</v>
      </c>
      <c r="Z43" s="21">
        <f t="shared" si="103"/>
        <v>-42593.533596648835</v>
      </c>
      <c r="AA43" s="21">
        <f t="shared" si="103"/>
        <v>-206001.8335522181</v>
      </c>
      <c r="AB43" s="21">
        <f t="shared" si="103"/>
        <v>-133723.8395783462</v>
      </c>
      <c r="AC43" s="21">
        <f t="shared" si="103"/>
        <v>-104521.60706289703</v>
      </c>
      <c r="AD43" s="21">
        <f t="shared" si="103"/>
        <v>-4214.1796664728899</v>
      </c>
      <c r="AE43" s="21">
        <f t="shared" si="103"/>
        <v>60618.685361135169</v>
      </c>
      <c r="AF43" s="21">
        <f t="shared" si="103"/>
        <v>149648.72067955992</v>
      </c>
      <c r="AG43" s="21">
        <f t="shared" si="103"/>
        <v>112641.30665656802</v>
      </c>
      <c r="AH43" s="21">
        <f t="shared" si="103"/>
        <v>157250.8063429466</v>
      </c>
      <c r="AI43" s="21">
        <f t="shared" ref="AI43:AU43" si="104">AI16-AI30</f>
        <v>50394.117705575947</v>
      </c>
      <c r="AJ43" s="21">
        <f t="shared" si="104"/>
        <v>47785.738240385894</v>
      </c>
      <c r="AK43" s="21">
        <f t="shared" si="104"/>
        <v>26812.776423145784</v>
      </c>
      <c r="AL43" s="21">
        <f t="shared" si="104"/>
        <v>5329.6397879027063</v>
      </c>
      <c r="AM43" s="21">
        <f t="shared" si="104"/>
        <v>-385470.08172739437</v>
      </c>
      <c r="AN43" s="21">
        <f t="shared" si="104"/>
        <v>-234131.02815485816</v>
      </c>
      <c r="AO43" s="21">
        <f t="shared" si="104"/>
        <v>-106451.00316548307</v>
      </c>
      <c r="AP43" s="21">
        <f t="shared" si="104"/>
        <v>-80796.707221269025</v>
      </c>
      <c r="AQ43" s="21">
        <f t="shared" si="104"/>
        <v>119748.6338400637</v>
      </c>
      <c r="AR43" s="21">
        <f t="shared" si="104"/>
        <v>230591.13180803775</v>
      </c>
      <c r="AS43" s="21">
        <f t="shared" si="104"/>
        <v>40607.117085032864</v>
      </c>
      <c r="AT43" s="21">
        <f t="shared" si="104"/>
        <v>94805.055079190759</v>
      </c>
      <c r="AU43" s="21">
        <f t="shared" si="104"/>
        <v>-81991.941769096185</v>
      </c>
      <c r="AV43" s="21">
        <f t="shared" ref="AV43:BF43" si="105">AV16-AV30</f>
        <v>-95205.368568211212</v>
      </c>
      <c r="AW43" s="21">
        <f t="shared" si="105"/>
        <v>-254080.90393668582</v>
      </c>
      <c r="AX43" s="21">
        <f t="shared" si="105"/>
        <v>-225483.57850258716</v>
      </c>
      <c r="AY43" s="21">
        <f t="shared" si="105"/>
        <v>-66220.840186268324</v>
      </c>
      <c r="AZ43" s="21">
        <f t="shared" si="105"/>
        <v>301226.64294110646</v>
      </c>
      <c r="BA43" s="21">
        <f t="shared" si="105"/>
        <v>-64808.481988011001</v>
      </c>
      <c r="BB43" s="21">
        <f t="shared" si="105"/>
        <v>-59303.95288683923</v>
      </c>
      <c r="BC43" s="21">
        <f t="shared" si="105"/>
        <v>-73834.94972054036</v>
      </c>
      <c r="BD43" s="21">
        <f t="shared" si="105"/>
        <v>-92018.552084119598</v>
      </c>
      <c r="BE43" s="21">
        <f t="shared" si="105"/>
        <v>-90580.739582948823</v>
      </c>
      <c r="BF43" s="21">
        <f t="shared" si="105"/>
        <v>-86046.105340623835</v>
      </c>
      <c r="BG43" s="21">
        <f t="shared" ref="BG43:BR43" si="106">BG16-BG30</f>
        <v>-69862.512633552542</v>
      </c>
      <c r="BH43" s="21">
        <f t="shared" si="106"/>
        <v>-69704.108724079604</v>
      </c>
      <c r="BI43" s="21">
        <f t="shared" si="106"/>
        <v>-80360.687024982573</v>
      </c>
      <c r="BJ43" s="21">
        <f t="shared" si="106"/>
        <v>-95761.440926806681</v>
      </c>
      <c r="BK43" s="21">
        <f t="shared" si="106"/>
        <v>2163.6337762013709</v>
      </c>
      <c r="BL43" s="21">
        <f t="shared" si="106"/>
        <v>102954.44040602222</v>
      </c>
      <c r="BM43" s="21">
        <f t="shared" si="106"/>
        <v>82292.169942022461</v>
      </c>
      <c r="BN43" s="21">
        <f t="shared" si="106"/>
        <v>81475.949641738669</v>
      </c>
      <c r="BO43" s="21">
        <f t="shared" si="106"/>
        <v>97478.410947600903</v>
      </c>
      <c r="BP43" s="21">
        <f t="shared" si="106"/>
        <v>115044.58809397074</v>
      </c>
      <c r="BQ43" s="21">
        <f t="shared" si="106"/>
        <v>115871.88647430755</v>
      </c>
      <c r="BR43" s="21">
        <f t="shared" si="106"/>
        <v>116431.77432782541</v>
      </c>
      <c r="BS43" s="21">
        <f>BS16-BS30</f>
        <v>96560.249900073395</v>
      </c>
      <c r="BT43" s="21">
        <f t="shared" ref="BT43:CE43" si="107">BT16-BT30</f>
        <v>85906.566641126701</v>
      </c>
      <c r="BU43" s="21">
        <f t="shared" si="107"/>
        <v>97658.894986974468</v>
      </c>
      <c r="BV43" s="21">
        <f t="shared" si="107"/>
        <v>114844.76949853233</v>
      </c>
      <c r="BW43" s="21">
        <f t="shared" si="107"/>
        <v>70730.897064022269</v>
      </c>
      <c r="BX43" s="73">
        <f t="shared" si="107"/>
        <v>3783.1481282858344</v>
      </c>
      <c r="BY43" s="72">
        <f t="shared" si="107"/>
        <v>3423.5497542955172</v>
      </c>
      <c r="BZ43" s="21">
        <f t="shared" si="107"/>
        <v>3159.0651251823292</v>
      </c>
      <c r="CA43" s="21">
        <f t="shared" si="107"/>
        <v>3581.516211305307</v>
      </c>
      <c r="CB43" s="21">
        <f t="shared" si="107"/>
        <v>4119.5944291965261</v>
      </c>
      <c r="CC43" s="21">
        <f t="shared" si="107"/>
        <v>4322.0730845019016</v>
      </c>
      <c r="CD43" s="21">
        <f t="shared" si="107"/>
        <v>3929.9254185913214</v>
      </c>
      <c r="CE43" s="73">
        <f t="shared" si="107"/>
        <v>3276.9745441742421</v>
      </c>
      <c r="CF43" s="73">
        <f t="shared" ref="CF43:CQ43" si="108">CF16-CF30</f>
        <v>3126.7202336261676</v>
      </c>
      <c r="CG43" s="73">
        <f t="shared" si="108"/>
        <v>3790.1875290561552</v>
      </c>
      <c r="CH43" s="73">
        <f t="shared" si="108"/>
        <v>4362.5285377816381</v>
      </c>
      <c r="CI43" s="73">
        <f t="shared" si="108"/>
        <v>59.450608927867222</v>
      </c>
      <c r="CJ43" s="73">
        <f t="shared" si="108"/>
        <v>-4524.2006448409011</v>
      </c>
      <c r="CK43" s="73">
        <f t="shared" si="108"/>
        <v>-4143.0276488103909</v>
      </c>
      <c r="CL43" s="73">
        <f t="shared" si="108"/>
        <v>-3845.733714226018</v>
      </c>
      <c r="CM43" s="73">
        <f t="shared" si="108"/>
        <v>-4680.4644940813669</v>
      </c>
      <c r="CN43" s="73">
        <f t="shared" si="108"/>
        <v>-5373.5914931444331</v>
      </c>
      <c r="CO43" s="73">
        <f t="shared" si="108"/>
        <v>-5513.3199284737557</v>
      </c>
      <c r="CP43" s="73">
        <f t="shared" si="108"/>
        <v>-5569.4194265403476</v>
      </c>
      <c r="CQ43" s="73">
        <f t="shared" si="108"/>
        <v>-4526.9681321419785</v>
      </c>
      <c r="CR43" s="73">
        <f t="shared" ref="CR43:CT43" si="109">CR16-CR30</f>
        <v>-4148.9419096512765</v>
      </c>
      <c r="CS43" s="73">
        <f t="shared" si="109"/>
        <v>-4775.9042873143017</v>
      </c>
      <c r="CT43" s="75">
        <f t="shared" si="109"/>
        <v>-5756.9554438203668</v>
      </c>
    </row>
    <row r="44" spans="1:99" x14ac:dyDescent="0.25">
      <c r="A44" t="s">
        <v>5</v>
      </c>
      <c r="B44" s="232">
        <f t="shared" si="102"/>
        <v>0</v>
      </c>
      <c r="C44" s="206">
        <f t="shared" si="94"/>
        <v>0</v>
      </c>
      <c r="D44" s="206">
        <f t="shared" si="94"/>
        <v>0</v>
      </c>
      <c r="E44" s="206">
        <f t="shared" si="94"/>
        <v>0</v>
      </c>
      <c r="F44" s="206">
        <f t="shared" si="94"/>
        <v>-2460.2199999999998</v>
      </c>
      <c r="G44" s="206">
        <f t="shared" si="94"/>
        <v>-33758.050000000003</v>
      </c>
      <c r="H44" s="206">
        <f t="shared" si="94"/>
        <v>-21639.839999999997</v>
      </c>
      <c r="I44" s="206">
        <f t="shared" si="94"/>
        <v>-12324.613120248869</v>
      </c>
      <c r="J44" s="206">
        <f t="shared" si="94"/>
        <v>10707.581306139036</v>
      </c>
      <c r="K44" s="206">
        <f t="shared" si="94"/>
        <v>7716.2699999999968</v>
      </c>
      <c r="L44" s="206">
        <f t="shared" si="94"/>
        <v>19152.98271623841</v>
      </c>
      <c r="M44" s="21">
        <f t="shared" si="94"/>
        <v>37688.57344597984</v>
      </c>
      <c r="N44" s="21">
        <f t="shared" si="94"/>
        <v>34655.832713338357</v>
      </c>
      <c r="O44" s="21">
        <f t="shared" si="94"/>
        <v>-242092.50256055058</v>
      </c>
      <c r="P44" s="21">
        <f t="shared" si="94"/>
        <v>-195981.13140874798</v>
      </c>
      <c r="Q44" s="21">
        <f t="shared" si="94"/>
        <v>-232888.91236901932</v>
      </c>
      <c r="R44" s="21">
        <f t="shared" si="94"/>
        <v>-203991.54845207804</v>
      </c>
      <c r="S44" s="21">
        <f t="shared" si="94"/>
        <v>-122904.71343148759</v>
      </c>
      <c r="T44" s="21">
        <f t="shared" si="94"/>
        <v>-45595.367444124771</v>
      </c>
      <c r="U44" s="21">
        <f t="shared" si="94"/>
        <v>-58272.669394945318</v>
      </c>
      <c r="V44" s="21">
        <f t="shared" si="94"/>
        <v>-6175.1120859243674</v>
      </c>
      <c r="W44" s="21">
        <f t="shared" si="94"/>
        <v>-115986.35542651551</v>
      </c>
      <c r="X44" s="21">
        <f t="shared" ref="X44:AH44" si="110">X17-X31</f>
        <v>-69294.433327207837</v>
      </c>
      <c r="Y44" s="21">
        <f t="shared" si="110"/>
        <v>-54669.383200100274</v>
      </c>
      <c r="Z44" s="21">
        <f t="shared" si="110"/>
        <v>-70407.882028048742</v>
      </c>
      <c r="AA44" s="21">
        <f t="shared" si="110"/>
        <v>-278199.91199827904</v>
      </c>
      <c r="AB44" s="21">
        <f t="shared" si="110"/>
        <v>-194553.80264377588</v>
      </c>
      <c r="AC44" s="21">
        <f t="shared" si="110"/>
        <v>-181165.27958706097</v>
      </c>
      <c r="AD44" s="21">
        <f t="shared" si="110"/>
        <v>-65612.444639366528</v>
      </c>
      <c r="AE44" s="21">
        <f t="shared" si="110"/>
        <v>263200.71750933642</v>
      </c>
      <c r="AF44" s="21">
        <f t="shared" si="110"/>
        <v>535792.77625822683</v>
      </c>
      <c r="AG44" s="21">
        <f t="shared" si="110"/>
        <v>403517.90316562622</v>
      </c>
      <c r="AH44" s="21">
        <f t="shared" si="110"/>
        <v>395778.97101029358</v>
      </c>
      <c r="AI44" s="21">
        <f t="shared" ref="AI44:AU44" si="111">AI17-AI31</f>
        <v>-14353.052894642577</v>
      </c>
      <c r="AJ44" s="21">
        <f t="shared" si="111"/>
        <v>1744.6990926700528</v>
      </c>
      <c r="AK44" s="21">
        <f t="shared" si="111"/>
        <v>43164.493867260288</v>
      </c>
      <c r="AL44" s="21">
        <f t="shared" si="111"/>
        <v>69032.617636874435</v>
      </c>
      <c r="AM44" s="21">
        <f t="shared" si="111"/>
        <v>-516448.80428918765</v>
      </c>
      <c r="AN44" s="21">
        <f t="shared" si="111"/>
        <v>-265389.93410872563</v>
      </c>
      <c r="AO44" s="21">
        <f t="shared" si="111"/>
        <v>-186671.6012031635</v>
      </c>
      <c r="AP44" s="21">
        <f t="shared" si="111"/>
        <v>-249695.80261101574</v>
      </c>
      <c r="AQ44" s="21">
        <f t="shared" si="111"/>
        <v>610138.74075894407</v>
      </c>
      <c r="AR44" s="21">
        <f t="shared" si="111"/>
        <v>964983.89764747978</v>
      </c>
      <c r="AS44" s="21">
        <f t="shared" si="111"/>
        <v>607446.53375909547</v>
      </c>
      <c r="AT44" s="21">
        <f t="shared" si="111"/>
        <v>438365.52108722716</v>
      </c>
      <c r="AU44" s="21">
        <f t="shared" si="111"/>
        <v>-267302.80112048553</v>
      </c>
      <c r="AV44" s="21">
        <f t="shared" ref="AV44:BF44" si="112">AV17-AV31</f>
        <v>-258204.70387424075</v>
      </c>
      <c r="AW44" s="21">
        <f t="shared" si="112"/>
        <v>-275480.9965688755</v>
      </c>
      <c r="AX44" s="21">
        <f t="shared" si="112"/>
        <v>-277221.77676880977</v>
      </c>
      <c r="AY44" s="21">
        <f t="shared" si="112"/>
        <v>-101268.39351805218</v>
      </c>
      <c r="AZ44" s="21">
        <f t="shared" si="112"/>
        <v>399241.40100704756</v>
      </c>
      <c r="BA44" s="21">
        <f t="shared" si="112"/>
        <v>-265910.81227908062</v>
      </c>
      <c r="BB44" s="21">
        <f t="shared" si="112"/>
        <v>-247101.80526517576</v>
      </c>
      <c r="BC44" s="21">
        <f t="shared" si="112"/>
        <v>-284328.55746010086</v>
      </c>
      <c r="BD44" s="21">
        <f t="shared" si="112"/>
        <v>-323373.82320999872</v>
      </c>
      <c r="BE44" s="21">
        <f t="shared" si="112"/>
        <v>-324031.71080537396</v>
      </c>
      <c r="BF44" s="21">
        <f t="shared" si="112"/>
        <v>-328396.44957003504</v>
      </c>
      <c r="BG44" s="21">
        <f t="shared" ref="BG44:BR44" si="113">BG17-BG31</f>
        <v>-286323.50528355013</v>
      </c>
      <c r="BH44" s="21">
        <f t="shared" si="113"/>
        <v>-278604.48387214012</v>
      </c>
      <c r="BI44" s="21">
        <f t="shared" si="113"/>
        <v>-298424.42210147489</v>
      </c>
      <c r="BJ44" s="21">
        <f t="shared" si="113"/>
        <v>-320066.00665898813</v>
      </c>
      <c r="BK44" s="21">
        <f t="shared" si="113"/>
        <v>-120241.7089436222</v>
      </c>
      <c r="BL44" s="21">
        <f t="shared" si="113"/>
        <v>126581.44555983254</v>
      </c>
      <c r="BM44" s="21">
        <f t="shared" si="113"/>
        <v>113373.39045356911</v>
      </c>
      <c r="BN44" s="21">
        <f t="shared" si="113"/>
        <v>117803.22587632475</v>
      </c>
      <c r="BO44" s="21">
        <f t="shared" si="113"/>
        <v>151090.72184852889</v>
      </c>
      <c r="BP44" s="21">
        <f t="shared" si="113"/>
        <v>179542.57079341292</v>
      </c>
      <c r="BQ44" s="21">
        <f t="shared" si="113"/>
        <v>174203.64735156679</v>
      </c>
      <c r="BR44" s="21">
        <f t="shared" si="113"/>
        <v>162771.39254977927</v>
      </c>
      <c r="BS44" s="21">
        <f t="shared" ref="BS44:CE44" si="114">BS17-BS31</f>
        <v>132604.17827742052</v>
      </c>
      <c r="BT44" s="21">
        <f t="shared" si="114"/>
        <v>118526.09913716539</v>
      </c>
      <c r="BU44" s="21">
        <f t="shared" si="114"/>
        <v>130701.80683599559</v>
      </c>
      <c r="BV44" s="21">
        <f t="shared" si="114"/>
        <v>138527.85456751261</v>
      </c>
      <c r="BW44" s="21">
        <f t="shared" si="114"/>
        <v>99318.157690172797</v>
      </c>
      <c r="BX44" s="73">
        <f t="shared" si="114"/>
        <v>29813.934940734489</v>
      </c>
      <c r="BY44" s="72">
        <f t="shared" si="114"/>
        <v>27661.804594547866</v>
      </c>
      <c r="BZ44" s="21">
        <f t="shared" si="114"/>
        <v>28365.583171593848</v>
      </c>
      <c r="CA44" s="21">
        <f t="shared" si="114"/>
        <v>31712.240190643679</v>
      </c>
      <c r="CB44" s="21">
        <f t="shared" si="114"/>
        <v>36266.351017925241</v>
      </c>
      <c r="CC44" s="21">
        <f t="shared" si="114"/>
        <v>35382.790747787352</v>
      </c>
      <c r="CD44" s="21">
        <f t="shared" si="114"/>
        <v>33777.721147319782</v>
      </c>
      <c r="CE44" s="73">
        <f t="shared" si="114"/>
        <v>29077.038685363292</v>
      </c>
      <c r="CF44" s="73">
        <f t="shared" ref="CF44:CQ44" si="115">CF17-CF31</f>
        <v>27430.212146395079</v>
      </c>
      <c r="CG44" s="73">
        <f t="shared" si="115"/>
        <v>31670.308000207406</v>
      </c>
      <c r="CH44" s="73">
        <f t="shared" si="115"/>
        <v>32611.705138027606</v>
      </c>
      <c r="CI44" s="73">
        <f t="shared" si="115"/>
        <v>16555.481068991827</v>
      </c>
      <c r="CJ44" s="73">
        <f t="shared" si="115"/>
        <v>-3230.8735523843402</v>
      </c>
      <c r="CK44" s="73">
        <f t="shared" si="115"/>
        <v>-3208.5524523745844</v>
      </c>
      <c r="CL44" s="73">
        <f t="shared" si="115"/>
        <v>-3375.7446884847045</v>
      </c>
      <c r="CM44" s="73">
        <f t="shared" si="115"/>
        <v>-3694.4912721367164</v>
      </c>
      <c r="CN44" s="73">
        <f t="shared" si="115"/>
        <v>-3963.639586443905</v>
      </c>
      <c r="CO44" s="73">
        <f t="shared" si="115"/>
        <v>-4066.5380749420347</v>
      </c>
      <c r="CP44" s="73">
        <f t="shared" si="115"/>
        <v>-4093.3570486550029</v>
      </c>
      <c r="CQ44" s="73">
        <f t="shared" si="115"/>
        <v>-3620.3664611839195</v>
      </c>
      <c r="CR44" s="73">
        <f t="shared" ref="CR44:CT44" si="116">CR17-CR31</f>
        <v>-3330.5779273524149</v>
      </c>
      <c r="CS44" s="73">
        <f t="shared" si="116"/>
        <v>-3253.6495836108097</v>
      </c>
      <c r="CT44" s="75">
        <f t="shared" si="116"/>
        <v>-3857.7983746408045</v>
      </c>
    </row>
    <row r="45" spans="1:99" x14ac:dyDescent="0.25">
      <c r="A45" t="s">
        <v>6</v>
      </c>
      <c r="B45" s="232">
        <f t="shared" si="102"/>
        <v>0</v>
      </c>
      <c r="C45" s="206">
        <f t="shared" si="94"/>
        <v>0</v>
      </c>
      <c r="D45" s="206">
        <f t="shared" si="94"/>
        <v>0</v>
      </c>
      <c r="E45" s="206">
        <f t="shared" si="94"/>
        <v>0</v>
      </c>
      <c r="F45" s="206">
        <f t="shared" si="94"/>
        <v>-1621.85</v>
      </c>
      <c r="G45" s="206">
        <f t="shared" si="94"/>
        <v>-14886.83</v>
      </c>
      <c r="H45" s="206">
        <f t="shared" si="94"/>
        <v>-17626.32</v>
      </c>
      <c r="I45" s="206">
        <f t="shared" si="94"/>
        <v>-16627.989274539053</v>
      </c>
      <c r="J45" s="206">
        <f t="shared" si="94"/>
        <v>-15673.941858251583</v>
      </c>
      <c r="K45" s="206">
        <f t="shared" si="94"/>
        <v>-12991.86</v>
      </c>
      <c r="L45" s="206">
        <f t="shared" si="94"/>
        <v>-9215.8170176639032</v>
      </c>
      <c r="M45" s="21">
        <f t="shared" si="94"/>
        <v>1372.297784318449</v>
      </c>
      <c r="N45" s="21">
        <f t="shared" si="94"/>
        <v>-3995.0892387392923</v>
      </c>
      <c r="O45" s="21">
        <f t="shared" si="94"/>
        <v>-304000.85004735005</v>
      </c>
      <c r="P45" s="21">
        <f t="shared" si="94"/>
        <v>-237560.18932731223</v>
      </c>
      <c r="Q45" s="21">
        <f t="shared" si="94"/>
        <v>-270969.97217664868</v>
      </c>
      <c r="R45" s="21">
        <f t="shared" si="94"/>
        <v>-259352.7289176824</v>
      </c>
      <c r="S45" s="21">
        <f t="shared" si="94"/>
        <v>-202261.62434077309</v>
      </c>
      <c r="T45" s="21">
        <f t="shared" si="94"/>
        <v>-147511.63525993662</v>
      </c>
      <c r="U45" s="21">
        <f t="shared" si="94"/>
        <v>-122541.67894562634</v>
      </c>
      <c r="V45" s="21">
        <f t="shared" si="94"/>
        <v>-123221.18931087491</v>
      </c>
      <c r="W45" s="21">
        <f t="shared" si="94"/>
        <v>-220265.81874101982</v>
      </c>
      <c r="X45" s="21">
        <f t="shared" ref="X45:AH45" si="117">X18-X32</f>
        <v>-191005.21786957013</v>
      </c>
      <c r="Y45" s="21">
        <f t="shared" si="117"/>
        <v>-188005.20883714195</v>
      </c>
      <c r="Z45" s="21">
        <f t="shared" si="117"/>
        <v>-200503.50323993355</v>
      </c>
      <c r="AA45" s="21">
        <f t="shared" si="117"/>
        <v>-186338.57353980344</v>
      </c>
      <c r="AB45" s="21">
        <f t="shared" si="117"/>
        <v>-169875.44483674748</v>
      </c>
      <c r="AC45" s="21">
        <f t="shared" si="117"/>
        <v>-145378.61898659961</v>
      </c>
      <c r="AD45" s="21">
        <f t="shared" si="117"/>
        <v>-142266.06809872741</v>
      </c>
      <c r="AE45" s="21">
        <f t="shared" si="117"/>
        <v>73240.586517746502</v>
      </c>
      <c r="AF45" s="21">
        <f t="shared" si="117"/>
        <v>181633.88145182672</v>
      </c>
      <c r="AG45" s="21">
        <f t="shared" si="117"/>
        <v>130230.35779464053</v>
      </c>
      <c r="AH45" s="21">
        <f t="shared" si="117"/>
        <v>67502.841347931884</v>
      </c>
      <c r="AI45" s="21">
        <f t="shared" ref="AI45:AU45" si="118">AI18-AI32</f>
        <v>-117748.44529398013</v>
      </c>
      <c r="AJ45" s="21">
        <f t="shared" si="118"/>
        <v>-110277.67032792341</v>
      </c>
      <c r="AK45" s="21">
        <f t="shared" si="118"/>
        <v>-99577.289493904042</v>
      </c>
      <c r="AL45" s="21">
        <f t="shared" si="118"/>
        <v>-45030.541968987585</v>
      </c>
      <c r="AM45" s="21">
        <f t="shared" si="118"/>
        <v>-134825.6919202162</v>
      </c>
      <c r="AN45" s="21">
        <f t="shared" si="118"/>
        <v>-46651.286517600529</v>
      </c>
      <c r="AO45" s="21">
        <f t="shared" si="118"/>
        <v>-54338.200422683032</v>
      </c>
      <c r="AP45" s="21">
        <f t="shared" si="118"/>
        <v>-43825.839606522641</v>
      </c>
      <c r="AQ45" s="21">
        <f t="shared" si="118"/>
        <v>398285.62603206246</v>
      </c>
      <c r="AR45" s="21">
        <f t="shared" si="118"/>
        <v>582992.76012694114</v>
      </c>
      <c r="AS45" s="21">
        <f t="shared" si="118"/>
        <v>459822.81218621496</v>
      </c>
      <c r="AT45" s="21">
        <f t="shared" si="118"/>
        <v>274139.20776520291</v>
      </c>
      <c r="AU45" s="21">
        <f t="shared" si="118"/>
        <v>-60697.38078627811</v>
      </c>
      <c r="AV45" s="21">
        <f t="shared" ref="AV45:BF45" si="119">AV18-AV32</f>
        <v>-72940.122547219275</v>
      </c>
      <c r="AW45" s="21">
        <f t="shared" si="119"/>
        <v>-80604.853118786006</v>
      </c>
      <c r="AX45" s="21">
        <f t="shared" si="119"/>
        <v>-61089.748492774612</v>
      </c>
      <c r="AY45" s="21">
        <f t="shared" si="119"/>
        <v>-38548.875420085358</v>
      </c>
      <c r="AZ45" s="21">
        <f t="shared" si="119"/>
        <v>153052.68701831874</v>
      </c>
      <c r="BA45" s="21">
        <f t="shared" si="119"/>
        <v>-118618.96587713738</v>
      </c>
      <c r="BB45" s="21">
        <f t="shared" si="119"/>
        <v>-112020.71240492428</v>
      </c>
      <c r="BC45" s="21">
        <f t="shared" si="119"/>
        <v>-130125.71091968814</v>
      </c>
      <c r="BD45" s="21">
        <f t="shared" si="119"/>
        <v>-136950.86579751672</v>
      </c>
      <c r="BE45" s="21">
        <f t="shared" si="119"/>
        <v>-126752.85039610704</v>
      </c>
      <c r="BF45" s="21">
        <f t="shared" si="119"/>
        <v>-124238.38644107411</v>
      </c>
      <c r="BG45" s="21">
        <f t="shared" ref="BG45:BR45" si="120">BG18-BG32</f>
        <v>-120877.24996824261</v>
      </c>
      <c r="BH45" s="21">
        <f t="shared" si="120"/>
        <v>-120541.45055025863</v>
      </c>
      <c r="BI45" s="21">
        <f t="shared" si="120"/>
        <v>-122931.97109209531</v>
      </c>
      <c r="BJ45" s="21">
        <f t="shared" si="120"/>
        <v>-117558.48716620004</v>
      </c>
      <c r="BK45" s="21">
        <f t="shared" si="120"/>
        <v>-63426.02624669105</v>
      </c>
      <c r="BL45" s="21">
        <f t="shared" si="120"/>
        <v>33108.709176542667</v>
      </c>
      <c r="BM45" s="21">
        <f t="shared" si="120"/>
        <v>34191.865916674156</v>
      </c>
      <c r="BN45" s="21">
        <f t="shared" si="120"/>
        <v>39754.786477870635</v>
      </c>
      <c r="BO45" s="21">
        <f t="shared" si="120"/>
        <v>60131.543041994286</v>
      </c>
      <c r="BP45" s="21">
        <f t="shared" si="120"/>
        <v>80389.036060895305</v>
      </c>
      <c r="BQ45" s="21">
        <f t="shared" si="120"/>
        <v>75296.39401301762</v>
      </c>
      <c r="BR45" s="21">
        <f t="shared" si="120"/>
        <v>59884.956259296625</v>
      </c>
      <c r="BS45" s="21">
        <f t="shared" ref="BS45:CE45" si="121">BS18-BS32</f>
        <v>38168.401362819968</v>
      </c>
      <c r="BT45" s="21">
        <f t="shared" si="121"/>
        <v>33080.266486155087</v>
      </c>
      <c r="BU45" s="21">
        <f t="shared" si="121"/>
        <v>41706.144170828396</v>
      </c>
      <c r="BV45" s="21">
        <f t="shared" si="121"/>
        <v>41213.384686248493</v>
      </c>
      <c r="BW45" s="21">
        <f t="shared" si="121"/>
        <v>30925.199361317722</v>
      </c>
      <c r="BX45" s="73">
        <f t="shared" si="121"/>
        <v>9348.310124921727</v>
      </c>
      <c r="BY45" s="72">
        <f t="shared" si="121"/>
        <v>9429.8658266884941</v>
      </c>
      <c r="BZ45" s="21">
        <f t="shared" si="121"/>
        <v>9234.0736114224237</v>
      </c>
      <c r="CA45" s="21">
        <f t="shared" si="121"/>
        <v>10506.965502226194</v>
      </c>
      <c r="CB45" s="21">
        <f t="shared" si="121"/>
        <v>10928.084351774705</v>
      </c>
      <c r="CC45" s="21">
        <f t="shared" si="121"/>
        <v>10838.193004551051</v>
      </c>
      <c r="CD45" s="21">
        <f t="shared" si="121"/>
        <v>10559.893442002107</v>
      </c>
      <c r="CE45" s="73">
        <f t="shared" si="121"/>
        <v>9362.8553505780201</v>
      </c>
      <c r="CF45" s="73">
        <f t="shared" ref="CF45:CQ45" si="122">CF18-CF32</f>
        <v>9452.1264699535604</v>
      </c>
      <c r="CG45" s="73">
        <f t="shared" si="122"/>
        <v>9797.8820407188032</v>
      </c>
      <c r="CH45" s="73">
        <f t="shared" si="122"/>
        <v>9326.6664870361237</v>
      </c>
      <c r="CI45" s="73">
        <f t="shared" si="122"/>
        <v>6080.9078580485348</v>
      </c>
      <c r="CJ45" s="73">
        <f t="shared" si="122"/>
        <v>-593.75085601537899</v>
      </c>
      <c r="CK45" s="73">
        <f t="shared" si="122"/>
        <v>-803.28099516050531</v>
      </c>
      <c r="CL45" s="73">
        <f t="shared" si="122"/>
        <v>-814.06279964630232</v>
      </c>
      <c r="CM45" s="73">
        <f t="shared" si="122"/>
        <v>-851.34967874686606</v>
      </c>
      <c r="CN45" s="73">
        <f t="shared" si="122"/>
        <v>-868.7312652382152</v>
      </c>
      <c r="CO45" s="73">
        <f t="shared" si="122"/>
        <v>-981.25994646426045</v>
      </c>
      <c r="CP45" s="73">
        <f t="shared" si="122"/>
        <v>-939.27443482392937</v>
      </c>
      <c r="CQ45" s="73">
        <f t="shared" si="122"/>
        <v>-817.13074883847423</v>
      </c>
      <c r="CR45" s="73">
        <f t="shared" ref="CR45:CT45" si="123">CR18-CR32</f>
        <v>-820.74162828052283</v>
      </c>
      <c r="CS45" s="73">
        <f t="shared" si="123"/>
        <v>-791.96940377308943</v>
      </c>
      <c r="CT45" s="75">
        <f t="shared" si="123"/>
        <v>-828.6673994533171</v>
      </c>
    </row>
    <row r="46" spans="1:99" x14ac:dyDescent="0.25">
      <c r="A46" t="s">
        <v>7</v>
      </c>
      <c r="B46" s="232">
        <f t="shared" si="102"/>
        <v>0</v>
      </c>
      <c r="C46" s="206">
        <f t="shared" si="94"/>
        <v>0</v>
      </c>
      <c r="D46" s="206">
        <f t="shared" si="94"/>
        <v>0</v>
      </c>
      <c r="E46" s="206">
        <f t="shared" si="94"/>
        <v>0</v>
      </c>
      <c r="F46" s="206">
        <f t="shared" si="94"/>
        <v>0</v>
      </c>
      <c r="G46" s="206">
        <f t="shared" si="94"/>
        <v>-4867.8</v>
      </c>
      <c r="H46" s="206">
        <f t="shared" si="94"/>
        <v>-9168.5600000000013</v>
      </c>
      <c r="I46" s="206">
        <f t="shared" si="94"/>
        <v>-8265.5672024542127</v>
      </c>
      <c r="J46" s="206">
        <f t="shared" si="94"/>
        <v>-8316.2787585622791</v>
      </c>
      <c r="K46" s="206">
        <f t="shared" si="94"/>
        <v>-7378.56</v>
      </c>
      <c r="L46" s="206">
        <f t="shared" si="94"/>
        <v>-6146.6731166039754</v>
      </c>
      <c r="M46" s="21">
        <f t="shared" si="94"/>
        <v>-4777.3815174660513</v>
      </c>
      <c r="N46" s="21">
        <f t="shared" si="94"/>
        <v>-2049.3166664006667</v>
      </c>
      <c r="O46" s="21">
        <f t="shared" si="94"/>
        <v>-196274.45526870835</v>
      </c>
      <c r="P46" s="21">
        <f t="shared" si="94"/>
        <v>-158572.54665057128</v>
      </c>
      <c r="Q46" s="21">
        <f t="shared" si="94"/>
        <v>-175260.29741230787</v>
      </c>
      <c r="R46" s="21">
        <f t="shared" si="94"/>
        <v>-176113.52607059845</v>
      </c>
      <c r="S46" s="21">
        <f t="shared" si="94"/>
        <v>-202586.48661652688</v>
      </c>
      <c r="T46" s="21">
        <f t="shared" si="94"/>
        <v>-181774.18603032624</v>
      </c>
      <c r="U46" s="21">
        <f t="shared" si="94"/>
        <v>-206040.28940204179</v>
      </c>
      <c r="V46" s="21">
        <f t="shared" si="94"/>
        <v>-196080.56317417626</v>
      </c>
      <c r="W46" s="21">
        <f t="shared" si="94"/>
        <v>-193270.44845911989</v>
      </c>
      <c r="X46" s="21">
        <f t="shared" ref="X46:AH46" si="124">X19-X33</f>
        <v>-183327.18140369625</v>
      </c>
      <c r="Y46" s="21">
        <f t="shared" si="124"/>
        <v>-164307.36776755113</v>
      </c>
      <c r="Z46" s="21">
        <f t="shared" si="124"/>
        <v>-163134.57747194907</v>
      </c>
      <c r="AA46" s="21">
        <f t="shared" si="124"/>
        <v>-80306.607268475083</v>
      </c>
      <c r="AB46" s="21">
        <f t="shared" si="124"/>
        <v>8305.2410215153686</v>
      </c>
      <c r="AC46" s="21">
        <f t="shared" si="124"/>
        <v>10698.258633053718</v>
      </c>
      <c r="AD46" s="21">
        <f t="shared" si="124"/>
        <v>16900.587576688344</v>
      </c>
      <c r="AE46" s="21">
        <f t="shared" si="124"/>
        <v>55743.863806674082</v>
      </c>
      <c r="AF46" s="21">
        <f t="shared" si="124"/>
        <v>89211.152867682249</v>
      </c>
      <c r="AG46" s="21">
        <f t="shared" si="124"/>
        <v>65185.736677447916</v>
      </c>
      <c r="AH46" s="21">
        <f t="shared" si="124"/>
        <v>50265.565630534838</v>
      </c>
      <c r="AI46" s="21">
        <f t="shared" ref="AI46:AU46" si="125">AI19-AI33</f>
        <v>18978.573482252643</v>
      </c>
      <c r="AJ46" s="21">
        <f t="shared" si="125"/>
        <v>18573.189840982588</v>
      </c>
      <c r="AK46" s="21">
        <f t="shared" si="125"/>
        <v>26480.473258549871</v>
      </c>
      <c r="AL46" s="21">
        <f t="shared" si="125"/>
        <v>29746.95981046333</v>
      </c>
      <c r="AM46" s="21">
        <f t="shared" si="125"/>
        <v>6849.3911413641254</v>
      </c>
      <c r="AN46" s="21">
        <f t="shared" si="125"/>
        <v>-368.31330207322753</v>
      </c>
      <c r="AO46" s="21">
        <f t="shared" si="125"/>
        <v>-6118.5681690972779</v>
      </c>
      <c r="AP46" s="21">
        <f t="shared" si="125"/>
        <v>5025.7454848302732</v>
      </c>
      <c r="AQ46" s="21">
        <f t="shared" si="125"/>
        <v>119304.81950345435</v>
      </c>
      <c r="AR46" s="21">
        <f t="shared" si="125"/>
        <v>190161.95675502185</v>
      </c>
      <c r="AS46" s="21">
        <f t="shared" si="125"/>
        <v>152954.66039283545</v>
      </c>
      <c r="AT46" s="21">
        <f t="shared" si="125"/>
        <v>69283.064009947717</v>
      </c>
      <c r="AU46" s="21">
        <f t="shared" si="125"/>
        <v>-11932.929913396387</v>
      </c>
      <c r="AV46" s="21">
        <f t="shared" ref="AV46:BF46" si="126">AV19-AV33</f>
        <v>-10952.929065326825</v>
      </c>
      <c r="AW46" s="21">
        <f t="shared" si="126"/>
        <v>-5683.6754574721854</v>
      </c>
      <c r="AX46" s="21">
        <f t="shared" si="126"/>
        <v>-5207.2924779333189</v>
      </c>
      <c r="AY46" s="21">
        <f t="shared" si="126"/>
        <v>-11664.785018727831</v>
      </c>
      <c r="AZ46" s="21">
        <f t="shared" si="126"/>
        <v>16716.831134158565</v>
      </c>
      <c r="BA46" s="21">
        <f t="shared" si="126"/>
        <v>-44139.712667457257</v>
      </c>
      <c r="BB46" s="21">
        <f t="shared" si="126"/>
        <v>-44973.567245439408</v>
      </c>
      <c r="BC46" s="21">
        <f t="shared" si="126"/>
        <v>-11299.677842574869</v>
      </c>
      <c r="BD46" s="21">
        <f t="shared" si="126"/>
        <v>-50403.777431042647</v>
      </c>
      <c r="BE46" s="21">
        <f t="shared" si="126"/>
        <v>-51924.778274542303</v>
      </c>
      <c r="BF46" s="21">
        <f t="shared" si="126"/>
        <v>-52673.048419221035</v>
      </c>
      <c r="BG46" s="21">
        <f t="shared" ref="BG46:BR46" si="127">BG19-BG33</f>
        <v>-46395.596252741845</v>
      </c>
      <c r="BH46" s="21">
        <f t="shared" si="127"/>
        <v>-45485.528963265475</v>
      </c>
      <c r="BI46" s="21">
        <f t="shared" si="127"/>
        <v>-46424.397026326442</v>
      </c>
      <c r="BJ46" s="21">
        <f t="shared" si="127"/>
        <v>-42444.211387439616</v>
      </c>
      <c r="BK46" s="21">
        <f t="shared" si="127"/>
        <v>-37845.94077531778</v>
      </c>
      <c r="BL46" s="21">
        <f t="shared" si="127"/>
        <v>731.33700161567504</v>
      </c>
      <c r="BM46" s="21">
        <f t="shared" si="127"/>
        <v>-1437.799942221774</v>
      </c>
      <c r="BN46" s="21">
        <f t="shared" si="127"/>
        <v>-1448.8425667251033</v>
      </c>
      <c r="BO46" s="21">
        <f t="shared" si="127"/>
        <v>-1380.7821512277105</v>
      </c>
      <c r="BP46" s="21">
        <f t="shared" si="127"/>
        <v>-1767.2604926793404</v>
      </c>
      <c r="BQ46" s="21">
        <f t="shared" si="127"/>
        <v>-1792.7409448948902</v>
      </c>
      <c r="BR46" s="21">
        <f t="shared" si="127"/>
        <v>-1933.1561214655667</v>
      </c>
      <c r="BS46" s="21">
        <f t="shared" ref="BS46:CE46" si="128">BS19-BS33</f>
        <v>-1700.8260195728594</v>
      </c>
      <c r="BT46" s="21">
        <f t="shared" si="128"/>
        <v>-1231.0928001127579</v>
      </c>
      <c r="BU46" s="21">
        <f t="shared" si="128"/>
        <v>-1849.5375585199761</v>
      </c>
      <c r="BV46" s="21">
        <f t="shared" si="128"/>
        <v>-1753.7983076770972</v>
      </c>
      <c r="BW46" s="21">
        <f t="shared" si="128"/>
        <v>-1054.1919086395494</v>
      </c>
      <c r="BX46" s="73">
        <f t="shared" si="128"/>
        <v>2092.2487403040109</v>
      </c>
      <c r="BY46" s="72">
        <f t="shared" si="128"/>
        <v>9938.8643100484314</v>
      </c>
      <c r="BZ46" s="21">
        <f t="shared" si="128"/>
        <v>1916.4119977784555</v>
      </c>
      <c r="CA46" s="21">
        <f t="shared" si="128"/>
        <v>2336.6180031047015</v>
      </c>
      <c r="CB46" s="21">
        <f t="shared" si="128"/>
        <v>2679.3289962978324</v>
      </c>
      <c r="CC46" s="21">
        <f t="shared" si="128"/>
        <v>2648.8730550887767</v>
      </c>
      <c r="CD46" s="21">
        <f t="shared" si="128"/>
        <v>2762.041256583489</v>
      </c>
      <c r="CE46" s="73">
        <f t="shared" si="128"/>
        <v>2372.9708277142608</v>
      </c>
      <c r="CF46" s="73">
        <f t="shared" ref="CF46:CQ46" si="129">CF19-CF33</f>
        <v>2369.0270963874896</v>
      </c>
      <c r="CG46" s="73">
        <f t="shared" si="129"/>
        <v>2320.851194108056</v>
      </c>
      <c r="CH46" s="73">
        <f t="shared" si="129"/>
        <v>1958.1190231074463</v>
      </c>
      <c r="CI46" s="73">
        <f t="shared" si="129"/>
        <v>1623.9777556599879</v>
      </c>
      <c r="CJ46" s="73">
        <f t="shared" si="129"/>
        <v>31.727229387163334</v>
      </c>
      <c r="CK46" s="73">
        <f t="shared" si="129"/>
        <v>21.913770259463259</v>
      </c>
      <c r="CL46" s="73">
        <f t="shared" si="129"/>
        <v>19.431521380489585</v>
      </c>
      <c r="CM46" s="73">
        <f t="shared" si="129"/>
        <v>23.007750837930825</v>
      </c>
      <c r="CN46" s="73">
        <f t="shared" si="129"/>
        <v>23.519135312415177</v>
      </c>
      <c r="CO46" s="73">
        <f t="shared" si="129"/>
        <v>27.323845680704324</v>
      </c>
      <c r="CP46" s="73">
        <f t="shared" si="129"/>
        <v>29.041239780857424</v>
      </c>
      <c r="CQ46" s="73">
        <f t="shared" si="129"/>
        <v>28.609465326327861</v>
      </c>
      <c r="CR46" s="73">
        <f t="shared" ref="CR46:CT46" si="130">CR19-CR33</f>
        <v>26.659825343432853</v>
      </c>
      <c r="CS46" s="73">
        <f t="shared" si="130"/>
        <v>36.245125401328671</v>
      </c>
      <c r="CT46" s="75">
        <f t="shared" si="130"/>
        <v>35.313906986189053</v>
      </c>
    </row>
    <row r="47" spans="1:99" x14ac:dyDescent="0.25">
      <c r="B47" s="65"/>
      <c r="F47" s="31"/>
      <c r="G47" s="31"/>
      <c r="BY47" s="65"/>
      <c r="CT47" s="67"/>
    </row>
    <row r="48" spans="1:99" x14ac:dyDescent="0.25">
      <c r="A48" t="s">
        <v>69</v>
      </c>
      <c r="B48" s="65"/>
      <c r="F48" s="31"/>
      <c r="G48" s="31"/>
      <c r="BY48" s="65"/>
      <c r="CT48" s="67"/>
    </row>
    <row r="49" spans="1:98" x14ac:dyDescent="0.25">
      <c r="A49" t="s">
        <v>0</v>
      </c>
      <c r="B49" s="72">
        <f>B42</f>
        <v>0</v>
      </c>
      <c r="C49" s="21">
        <f>B49+C42+B56</f>
        <v>0</v>
      </c>
      <c r="D49" s="21">
        <f t="shared" ref="D49:J49" si="131">C49+D42+C56</f>
        <v>0</v>
      </c>
      <c r="E49" s="21">
        <f t="shared" si="131"/>
        <v>1328.78</v>
      </c>
      <c r="F49" s="21">
        <f>E49+F42+E56</f>
        <v>-1598.6244190201496</v>
      </c>
      <c r="G49" s="21">
        <f t="shared" si="131"/>
        <v>-72889.201277973625</v>
      </c>
      <c r="H49" s="21">
        <f t="shared" si="131"/>
        <v>-74771.654703242617</v>
      </c>
      <c r="I49" s="21">
        <f t="shared" si="131"/>
        <v>39734.074166899532</v>
      </c>
      <c r="J49" s="21">
        <f t="shared" si="131"/>
        <v>477370.42390444461</v>
      </c>
      <c r="K49" s="21">
        <f>J49+K42+J56</f>
        <v>431562.31233766116</v>
      </c>
      <c r="L49" s="21">
        <f t="shared" ref="L49:T53" si="132">K49+L42+K56</f>
        <v>480087.05508996197</v>
      </c>
      <c r="M49" s="21">
        <f t="shared" si="132"/>
        <v>573184.41305408464</v>
      </c>
      <c r="N49" s="21">
        <f t="shared" si="132"/>
        <v>497102.38433675631</v>
      </c>
      <c r="O49" s="21">
        <f>N49+O42+N56+N66</f>
        <v>7059079.5572723523</v>
      </c>
      <c r="P49" s="21">
        <f t="shared" si="132"/>
        <v>6268761.32316468</v>
      </c>
      <c r="Q49" s="21">
        <f t="shared" si="132"/>
        <v>5492802.0780874565</v>
      </c>
      <c r="R49" s="21">
        <f t="shared" si="132"/>
        <v>4763457.3513078941</v>
      </c>
      <c r="S49" s="21">
        <f t="shared" si="132"/>
        <v>4397332.6034939596</v>
      </c>
      <c r="T49" s="21">
        <f t="shared" si="132"/>
        <v>4018379.5879650693</v>
      </c>
      <c r="U49" s="21">
        <f t="shared" ref="U49:W49" si="133">T49+U42+T56</f>
        <v>3747933.0224021049</v>
      </c>
      <c r="V49" s="21">
        <f t="shared" si="133"/>
        <v>3327573.8570347656</v>
      </c>
      <c r="W49" s="21">
        <f t="shared" si="133"/>
        <v>2436581.0102640484</v>
      </c>
      <c r="X49" s="21">
        <f t="shared" ref="X49:X53" si="134">W49+X42+W56</f>
        <v>1787433.7307472455</v>
      </c>
      <c r="Y49" s="21">
        <f t="shared" ref="Y49:Y53" si="135">X49+Y42+X56</f>
        <v>1028397.6352437824</v>
      </c>
      <c r="Z49" s="21">
        <f t="shared" ref="Z49:Z53" si="136">Y49+Z42+Y56</f>
        <v>-393529.15727763163</v>
      </c>
      <c r="AA49" s="21">
        <f t="shared" ref="AA49:AA53" si="137">Z49+AA42+Z56</f>
        <v>-1267025.5162580104</v>
      </c>
      <c r="AB49" s="21">
        <f t="shared" ref="AB49:AB53" si="138">AA49+AB42+AA56</f>
        <v>-1916459.3041828591</v>
      </c>
      <c r="AC49" s="21">
        <f t="shared" ref="AC49:AC53" si="139">AB49+AC42+AB56</f>
        <v>-2731459.45044768</v>
      </c>
      <c r="AD49" s="21">
        <f t="shared" ref="AD49:AD53" si="140">AC49+AD42+AC56</f>
        <v>-3125375.9374164995</v>
      </c>
      <c r="AE49" s="21">
        <f t="shared" ref="AE49:AE53" si="141">AD49+AE42+AD56</f>
        <v>-2407430.1780983163</v>
      </c>
      <c r="AF49" s="21">
        <f t="shared" ref="AF49:AF53" si="142">AE49+AF42+AE56</f>
        <v>-1182924.8359757911</v>
      </c>
      <c r="AG49" s="21">
        <f t="shared" ref="AG49:AG53" si="143">AF49+AG42+AF56</f>
        <v>103224.96930965173</v>
      </c>
      <c r="AH49" s="21">
        <f t="shared" ref="AH49:AH53" si="144">AG49+AH42+AG56</f>
        <v>374490.68172126147</v>
      </c>
      <c r="AI49" s="21">
        <f t="shared" ref="AI49:AI53" si="145">AH49+AI42+AH56</f>
        <v>-89096.729138710914</v>
      </c>
      <c r="AJ49" s="21">
        <f t="shared" ref="AJ49:AJ53" si="146">AI49+AJ42+AI56</f>
        <v>-526016.53220186359</v>
      </c>
      <c r="AK49" s="21">
        <f t="shared" ref="AK49:AK53" si="147">AJ49+AK42+AJ56</f>
        <v>-1144696.3702525753</v>
      </c>
      <c r="AL49" s="21">
        <f t="shared" ref="AL49:AL53" si="148">AK49+AL42+AK56</f>
        <v>-1904490.5460045594</v>
      </c>
      <c r="AM49" s="21">
        <f t="shared" ref="AM49:AM53" si="149">AL49+AM42+AL56</f>
        <v>-2811368.7517069695</v>
      </c>
      <c r="AN49" s="21">
        <f t="shared" ref="AN49:AN53" si="150">AM49+AN42+AM56</f>
        <v>-3463007.518373732</v>
      </c>
      <c r="AO49" s="21">
        <f t="shared" ref="AO49:AO53" si="151">AN49+AO42+AN56</f>
        <v>-3842261.6623340016</v>
      </c>
      <c r="AP49" s="21">
        <f t="shared" ref="AP49:AP53" si="152">AO49+AP42+AO56</f>
        <v>-4287498.1428173836</v>
      </c>
      <c r="AQ49" s="21">
        <f t="shared" ref="AQ49:AQ53" si="153">AP49+AQ42+AP56</f>
        <v>-2645637.8765478665</v>
      </c>
      <c r="AR49" s="21">
        <f t="shared" ref="AR49:AR53" si="154">AQ49+AR42+AQ56</f>
        <v>-922268.12886385911</v>
      </c>
      <c r="AS49" s="21">
        <f>AR49+AS42+AR56</f>
        <v>952587.09356523317</v>
      </c>
      <c r="AT49" s="21">
        <f t="shared" ref="AT49:AT53" si="155">AS49+AT42+AS56</f>
        <v>1504698.1733307627</v>
      </c>
      <c r="AU49" s="21">
        <f t="shared" ref="AU49:AU53" si="156">AT49+AU42+AT56</f>
        <v>888251.91378627694</v>
      </c>
      <c r="AV49" s="21">
        <f t="shared" ref="AV49:AV53" si="157">AU49+AV42+AU56</f>
        <v>483746.79129512259</v>
      </c>
      <c r="AW49" s="21">
        <f t="shared" ref="AW49:AW53" si="158">AV49+AW42+AV56</f>
        <v>-102374.09391324426</v>
      </c>
      <c r="AX49" s="21">
        <f t="shared" ref="AX49:AX53" si="159">AW49+AX42+AW56</f>
        <v>-823431.3266397136</v>
      </c>
      <c r="AY49" s="21">
        <f t="shared" ref="AY49:AY53" si="160">AX49+AY42+AX56</f>
        <v>-2779025.8841663026</v>
      </c>
      <c r="AZ49" s="21">
        <f t="shared" ref="AZ49:AZ53" si="161">AY49+AZ42+AY56</f>
        <v>-2406778.1728013055</v>
      </c>
      <c r="BA49" s="21">
        <f t="shared" ref="BA49:BA53" si="162">AZ49+BA42+AZ56</f>
        <v>-2504968.8116587233</v>
      </c>
      <c r="BB49" s="21">
        <f t="shared" ref="BB49:BB53" si="163">BA49+BB42+BA56</f>
        <v>-2592305.2747155051</v>
      </c>
      <c r="BC49" s="21">
        <f t="shared" ref="BC49:BC53" si="164">BB49+BC42+BB56</f>
        <v>-2703672.1463266746</v>
      </c>
      <c r="BD49" s="21">
        <f t="shared" ref="BD49:BD53" si="165">BC49+BD42+BC56</f>
        <v>-2852867.6920001763</v>
      </c>
      <c r="BE49" s="21">
        <f t="shared" ref="BE49:BE53" si="166">BD49+BE42+BD56</f>
        <v>-2992942.5453710677</v>
      </c>
      <c r="BF49" s="21">
        <f t="shared" ref="BF49:BG53" si="167">BE49+BF42+BE56</f>
        <v>-3119259.9148147455</v>
      </c>
      <c r="BG49" s="21">
        <f t="shared" si="167"/>
        <v>-3205015.8658529948</v>
      </c>
      <c r="BH49" s="21">
        <f t="shared" ref="BH49:BH53" si="168">BG49+BH42+BG56</f>
        <v>-3296808.9530542279</v>
      </c>
      <c r="BI49" s="21">
        <f t="shared" ref="BI49:BI53" si="169">BH49+BI42+BH56</f>
        <v>-3418359.5655088034</v>
      </c>
      <c r="BJ49" s="21">
        <f t="shared" ref="BJ49:BJ53" si="170">BI49+BJ42+BI56</f>
        <v>-3576302.3323276518</v>
      </c>
      <c r="BK49" s="21">
        <f t="shared" ref="BK49:BK53" si="171">BJ49+BK42+BJ56</f>
        <v>-3461719.6462936248</v>
      </c>
      <c r="BL49" s="21">
        <f t="shared" ref="BL49:BL53" si="172">BK49+BL42+BK56</f>
        <v>-3131543.0902302228</v>
      </c>
      <c r="BM49" s="21">
        <f t="shared" ref="BM49:BM53" si="173">BL49+BM42+BL56</f>
        <v>-2908235.3343821508</v>
      </c>
      <c r="BN49" s="21">
        <f t="shared" ref="BN49:BN53" si="174">BM49+BN42+BM56</f>
        <v>-2698604.1460306821</v>
      </c>
      <c r="BO49" s="21">
        <f t="shared" ref="BO49:BO53" si="175">BN49+BO42+BN56</f>
        <v>-2424443.6308417744</v>
      </c>
      <c r="BP49" s="21">
        <f t="shared" ref="BP49:BP53" si="176">BO49+BP42+BO56</f>
        <v>-2062321.9010291668</v>
      </c>
      <c r="BQ49" s="21">
        <f t="shared" ref="BQ49:BQ53" si="177">BP49+BQ42+BP56</f>
        <v>-1692768.7870556372</v>
      </c>
      <c r="BR49" s="21">
        <f t="shared" ref="BR49:BR53" si="178">BQ49+BR42+BQ56</f>
        <v>-1329672.5550589536</v>
      </c>
      <c r="BS49" s="21">
        <f t="shared" ref="BS49:BS53" si="179">BR49+BS42+BR56</f>
        <v>-1077767.8624270535</v>
      </c>
      <c r="BT49" s="21">
        <f t="shared" ref="BT49:BT53" si="180">BS49+BT42+BS56</f>
        <v>-840630.67287419166</v>
      </c>
      <c r="BU49" s="21">
        <f t="shared" ref="BU49:BU53" si="181">BT49+BU42+BT56</f>
        <v>-543297.97813010495</v>
      </c>
      <c r="BV49" s="21">
        <f t="shared" ref="BV49:BV53" si="182">BU49+BV42+BU56</f>
        <v>-159388.34321186633</v>
      </c>
      <c r="BW49" s="21">
        <f t="shared" ref="BW49:BW53" si="183">BV49+BW42+BV56</f>
        <v>89029.224083702749</v>
      </c>
      <c r="BX49" s="73">
        <f t="shared" ref="BX49:BX53" si="184">BW49+BX42+BW56</f>
        <v>103193.6914885533</v>
      </c>
      <c r="BY49" s="72">
        <f t="shared" ref="BY49:BY53" si="185">BX49+BY42+BX56</f>
        <v>111361.276840537</v>
      </c>
      <c r="BZ49" s="21">
        <f t="shared" ref="BZ49:BZ53" si="186">BY49+BZ42+BY56</f>
        <v>119490.33217822286</v>
      </c>
      <c r="CA49" s="21">
        <f t="shared" ref="CA49:CA53" si="187">BZ49+CA42+BZ56</f>
        <v>130107.86940921075</v>
      </c>
      <c r="CB49" s="21">
        <f t="shared" ref="CB49:CB53" si="188">CA49+CB42+CA56</f>
        <v>144737.91299692277</v>
      </c>
      <c r="CC49" s="21">
        <f t="shared" ref="CC49:CC53" si="189">CB49+CC42+CB56</f>
        <v>158640.51062022836</v>
      </c>
      <c r="CD49" s="21">
        <f t="shared" ref="CD49:CD53" si="190">CC49+CD42+CC56</f>
        <v>170425.00838557986</v>
      </c>
      <c r="CE49" s="73">
        <f>CD49+CE42+CD56</f>
        <v>178989.87903160779</v>
      </c>
      <c r="CF49" s="73">
        <f t="shared" ref="CF49:CQ53" si="191">CE49+CF42+CE56</f>
        <v>186973.65005109977</v>
      </c>
      <c r="CG49" s="73">
        <f t="shared" si="191"/>
        <v>199441.07410995662</v>
      </c>
      <c r="CH49" s="73">
        <f t="shared" si="191"/>
        <v>214427.32467578162</v>
      </c>
      <c r="CI49" s="73">
        <f>CH49+CI42+CH56</f>
        <v>214401.11256891987</v>
      </c>
      <c r="CJ49" s="73">
        <f t="shared" si="191"/>
        <v>198203.87106083409</v>
      </c>
      <c r="CK49" s="73">
        <f t="shared" si="191"/>
        <v>184193.93936119103</v>
      </c>
      <c r="CL49" s="73">
        <f t="shared" si="191"/>
        <v>172381.34120683241</v>
      </c>
      <c r="CM49" s="73">
        <f t="shared" si="191"/>
        <v>156868.2473694681</v>
      </c>
      <c r="CN49" s="73">
        <f t="shared" si="191"/>
        <v>136302.57080565742</v>
      </c>
      <c r="CO49" s="73">
        <f t="shared" si="191"/>
        <v>114974.08248921626</v>
      </c>
      <c r="CP49" s="73">
        <f t="shared" si="191"/>
        <v>95184.3288327263</v>
      </c>
      <c r="CQ49" s="73">
        <f>CP49+CQ42+CP56</f>
        <v>80841.042499980074</v>
      </c>
      <c r="CR49" s="73">
        <f t="shared" ref="CR49:CT53" si="192">CQ49+CR42+CQ56</f>
        <v>68241.251552410671</v>
      </c>
      <c r="CS49" s="73">
        <f t="shared" si="192"/>
        <v>50504.843730141576</v>
      </c>
      <c r="CT49" s="75">
        <f t="shared" si="192"/>
        <v>27156.313881450034</v>
      </c>
    </row>
    <row r="50" spans="1:98" x14ac:dyDescent="0.25">
      <c r="A50" t="s">
        <v>4</v>
      </c>
      <c r="B50" s="72">
        <f>B43</f>
        <v>0</v>
      </c>
      <c r="C50" s="21">
        <f t="shared" ref="C50:K53" si="193">B50+C43+B57</f>
        <v>0</v>
      </c>
      <c r="D50" s="21">
        <f t="shared" si="193"/>
        <v>0</v>
      </c>
      <c r="E50" s="21">
        <f t="shared" si="193"/>
        <v>0</v>
      </c>
      <c r="F50" s="21">
        <f t="shared" si="193"/>
        <v>-856.28</v>
      </c>
      <c r="G50" s="21">
        <f t="shared" si="193"/>
        <v>-9108.1493094052694</v>
      </c>
      <c r="H50" s="21">
        <f t="shared" si="193"/>
        <v>-10515.013171315071</v>
      </c>
      <c r="I50" s="21">
        <f t="shared" si="193"/>
        <v>-10585.789928731692</v>
      </c>
      <c r="J50" s="21">
        <f t="shared" si="193"/>
        <v>-2164.588866362868</v>
      </c>
      <c r="K50" s="21">
        <f t="shared" si="193"/>
        <v>9451.63841724753</v>
      </c>
      <c r="L50" s="21">
        <f t="shared" si="132"/>
        <v>26503.674395430549</v>
      </c>
      <c r="M50" s="21">
        <f t="shared" si="132"/>
        <v>51347.547362627884</v>
      </c>
      <c r="N50" s="21">
        <f t="shared" si="132"/>
        <v>71629.151897125077</v>
      </c>
      <c r="O50" s="21">
        <f t="shared" ref="O50:O53" si="194">N50+O43+N57+N67</f>
        <v>638255.63549031422</v>
      </c>
      <c r="P50" s="21">
        <f t="shared" si="132"/>
        <v>563071.35837918962</v>
      </c>
      <c r="Q50" s="21">
        <f t="shared" si="132"/>
        <v>471806.40840086801</v>
      </c>
      <c r="R50" s="21">
        <f t="shared" si="132"/>
        <v>404130.33175367373</v>
      </c>
      <c r="S50" s="21">
        <f t="shared" si="132"/>
        <v>355927.98548599653</v>
      </c>
      <c r="T50" s="21">
        <f t="shared" si="132"/>
        <v>334377.6309413258</v>
      </c>
      <c r="U50" s="21">
        <f t="shared" ref="U50:W50" si="195">T50+U43+T57</f>
        <v>306050.00852618285</v>
      </c>
      <c r="V50" s="21">
        <f t="shared" si="195"/>
        <v>312700.80164014641</v>
      </c>
      <c r="W50" s="21">
        <f t="shared" si="195"/>
        <v>292048.83638882544</v>
      </c>
      <c r="X50" s="21">
        <f t="shared" si="134"/>
        <v>257863.85020645102</v>
      </c>
      <c r="Y50" s="21">
        <f t="shared" si="135"/>
        <v>250514.81240704432</v>
      </c>
      <c r="Z50" s="21">
        <f t="shared" si="136"/>
        <v>208291.5273861548</v>
      </c>
      <c r="AA50" s="21">
        <f t="shared" si="137"/>
        <v>2587.4441422673931</v>
      </c>
      <c r="AB50" s="21">
        <f t="shared" si="138"/>
        <v>-131132.45483196105</v>
      </c>
      <c r="AC50" s="21">
        <f t="shared" si="139"/>
        <v>-235878.51104575166</v>
      </c>
      <c r="AD50" s="21">
        <f t="shared" si="140"/>
        <v>-240546.99193823696</v>
      </c>
      <c r="AE50" s="21">
        <f t="shared" si="141"/>
        <v>-180369.06784638416</v>
      </c>
      <c r="AF50" s="21">
        <f t="shared" si="142"/>
        <v>-31062.982410715053</v>
      </c>
      <c r="AG50" s="21">
        <f t="shared" si="143"/>
        <v>81517.565854717992</v>
      </c>
      <c r="AH50" s="21">
        <f t="shared" si="144"/>
        <v>238926.34277887008</v>
      </c>
      <c r="AI50" s="21">
        <f t="shared" si="145"/>
        <v>289784.16912872181</v>
      </c>
      <c r="AJ50" s="21">
        <f t="shared" si="146"/>
        <v>338163.3401894503</v>
      </c>
      <c r="AK50" s="21">
        <f t="shared" si="147"/>
        <v>365688.26493560127</v>
      </c>
      <c r="AL50" s="21">
        <f t="shared" si="148"/>
        <v>371857.33573611901</v>
      </c>
      <c r="AM50" s="21">
        <f t="shared" si="149"/>
        <v>-12723.481710379303</v>
      </c>
      <c r="AN50" s="21">
        <f t="shared" si="150"/>
        <v>-246884.6262510198</v>
      </c>
      <c r="AO50" s="21">
        <f t="shared" si="151"/>
        <v>-353909.18663677957</v>
      </c>
      <c r="AP50" s="21">
        <f t="shared" si="152"/>
        <v>-435491.06321300211</v>
      </c>
      <c r="AQ50" s="21">
        <f t="shared" si="153"/>
        <v>-316714.06836335093</v>
      </c>
      <c r="AR50" s="21">
        <f t="shared" si="154"/>
        <v>-86822.361833533825</v>
      </c>
      <c r="AS50" s="21">
        <f t="shared" ref="AS50:AS53" si="196">AR50+AS43+AR57</f>
        <v>-46402.988627858147</v>
      </c>
      <c r="AT50" s="21">
        <f t="shared" si="155"/>
        <v>48311.147915639332</v>
      </c>
      <c r="AU50" s="21">
        <f t="shared" si="156"/>
        <v>-33591.544241390402</v>
      </c>
      <c r="AV50" s="21">
        <f t="shared" si="157"/>
        <v>-128856.08800985268</v>
      </c>
      <c r="AW50" s="21">
        <f t="shared" si="158"/>
        <v>-383131.99297854595</v>
      </c>
      <c r="AX50" s="21">
        <f t="shared" si="159"/>
        <v>-609227.04982265027</v>
      </c>
      <c r="AY50" s="21">
        <f t="shared" si="160"/>
        <v>-676406.95452293928</v>
      </c>
      <c r="AZ50" s="21">
        <f t="shared" si="161"/>
        <v>-376196.94165204896</v>
      </c>
      <c r="BA50" s="21">
        <f t="shared" si="162"/>
        <v>-441597.49241875036</v>
      </c>
      <c r="BB50" s="21">
        <f t="shared" si="163"/>
        <v>-501246.79662453569</v>
      </c>
      <c r="BC50" s="21">
        <f t="shared" si="164"/>
        <v>-575135.65836199268</v>
      </c>
      <c r="BD50" s="21">
        <f t="shared" si="165"/>
        <v>-667214.42283602536</v>
      </c>
      <c r="BE50" s="21">
        <f t="shared" si="166"/>
        <v>-757902.84137461567</v>
      </c>
      <c r="BF50" s="21">
        <f t="shared" si="167"/>
        <v>-844035.21184823057</v>
      </c>
      <c r="BG50" s="21">
        <f t="shared" si="167"/>
        <v>-913984.88237120921</v>
      </c>
      <c r="BH50" s="21">
        <f t="shared" si="168"/>
        <v>-983841.32190901728</v>
      </c>
      <c r="BI50" s="21">
        <f t="shared" si="169"/>
        <v>-1064408.9796328899</v>
      </c>
      <c r="BJ50" s="21">
        <f t="shared" si="170"/>
        <v>-1160422.9507031071</v>
      </c>
      <c r="BK50" s="21">
        <f t="shared" si="171"/>
        <v>-1158458.6572824349</v>
      </c>
      <c r="BL50" s="21">
        <f t="shared" si="172"/>
        <v>-1055728.3950380946</v>
      </c>
      <c r="BM50" s="21">
        <f t="shared" si="173"/>
        <v>-973624.20985363994</v>
      </c>
      <c r="BN50" s="21">
        <f t="shared" si="174"/>
        <v>-892330.91454773035</v>
      </c>
      <c r="BO50" s="21">
        <f t="shared" si="175"/>
        <v>-795019.27429918561</v>
      </c>
      <c r="BP50" s="21">
        <f t="shared" si="176"/>
        <v>-680108.28853174474</v>
      </c>
      <c r="BQ50" s="21">
        <f t="shared" si="177"/>
        <v>-564315.49241706752</v>
      </c>
      <c r="BR50" s="21">
        <f t="shared" si="178"/>
        <v>-447980.1685418915</v>
      </c>
      <c r="BS50" s="21">
        <f t="shared" si="179"/>
        <v>-351492.055768408</v>
      </c>
      <c r="BT50" s="21">
        <f t="shared" si="180"/>
        <v>-265629.42563425237</v>
      </c>
      <c r="BU50" s="21">
        <f t="shared" si="181"/>
        <v>-168004.44466283789</v>
      </c>
      <c r="BV50" s="21">
        <f t="shared" si="182"/>
        <v>-53196.141089034449</v>
      </c>
      <c r="BW50" s="21">
        <f t="shared" si="183"/>
        <v>17524.36277892255</v>
      </c>
      <c r="BX50" s="73">
        <f t="shared" si="184"/>
        <v>21311.831378211533</v>
      </c>
      <c r="BY50" s="72">
        <f t="shared" si="185"/>
        <v>24747.605172748965</v>
      </c>
      <c r="BZ50" s="21">
        <f t="shared" si="186"/>
        <v>27919.052679687462</v>
      </c>
      <c r="CA50" s="21">
        <f t="shared" si="187"/>
        <v>31522.664610930406</v>
      </c>
      <c r="CB50" s="21">
        <f t="shared" si="188"/>
        <v>35681.291086439254</v>
      </c>
      <c r="CC50" s="21">
        <f t="shared" si="189"/>
        <v>40064.518633078296</v>
      </c>
      <c r="CD50" s="21">
        <f t="shared" si="190"/>
        <v>44080.050376052299</v>
      </c>
      <c r="CE50" s="73">
        <f t="shared" ref="CE50:CE53" si="197">CD50+CE43+CD57</f>
        <v>47461.410005921061</v>
      </c>
      <c r="CF50" s="73">
        <f t="shared" si="191"/>
        <v>50725.377562955349</v>
      </c>
      <c r="CG50" s="73">
        <f t="shared" si="191"/>
        <v>54696.743374779697</v>
      </c>
      <c r="CH50" s="73">
        <f t="shared" si="191"/>
        <v>59269.745117809347</v>
      </c>
      <c r="CI50" s="73">
        <f t="shared" si="191"/>
        <v>59642.606997539304</v>
      </c>
      <c r="CJ50" s="73">
        <f t="shared" si="191"/>
        <v>55359.359751348973</v>
      </c>
      <c r="CK50" s="73">
        <f t="shared" si="191"/>
        <v>51446.507739683926</v>
      </c>
      <c r="CL50" s="73">
        <f t="shared" si="191"/>
        <v>47825.797663416197</v>
      </c>
      <c r="CM50" s="73">
        <f t="shared" si="191"/>
        <v>43357.631245629178</v>
      </c>
      <c r="CN50" s="73">
        <f t="shared" si="191"/>
        <v>38178.962004911249</v>
      </c>
      <c r="CO50" s="73">
        <f t="shared" si="191"/>
        <v>32838.804794822077</v>
      </c>
      <c r="CP50" s="73">
        <f t="shared" si="191"/>
        <v>27420.456978494156</v>
      </c>
      <c r="CQ50" s="73">
        <f t="shared" si="191"/>
        <v>23019.968606163846</v>
      </c>
      <c r="CR50" s="73">
        <f t="shared" si="192"/>
        <v>18976.86974976748</v>
      </c>
      <c r="CS50" s="73">
        <f t="shared" si="192"/>
        <v>14288.860914726223</v>
      </c>
      <c r="CT50" s="75">
        <f t="shared" si="192"/>
        <v>8597.9625772300333</v>
      </c>
    </row>
    <row r="51" spans="1:98" x14ac:dyDescent="0.25">
      <c r="A51" t="s">
        <v>5</v>
      </c>
      <c r="B51" s="72">
        <f>B44</f>
        <v>0</v>
      </c>
      <c r="C51" s="21">
        <f t="shared" si="193"/>
        <v>0</v>
      </c>
      <c r="D51" s="21">
        <f t="shared" si="193"/>
        <v>0</v>
      </c>
      <c r="E51" s="21">
        <f t="shared" si="193"/>
        <v>0</v>
      </c>
      <c r="F51" s="21">
        <f t="shared" si="193"/>
        <v>-2460.2199999999998</v>
      </c>
      <c r="G51" s="21">
        <f t="shared" si="193"/>
        <v>-36219.819516262236</v>
      </c>
      <c r="H51" s="21">
        <f t="shared" si="193"/>
        <v>-57878.563907761454</v>
      </c>
      <c r="I51" s="21">
        <f t="shared" si="193"/>
        <v>-70233.517115907176</v>
      </c>
      <c r="J51" s="21">
        <f t="shared" si="193"/>
        <v>-59570.684275807507</v>
      </c>
      <c r="K51" s="21">
        <f t="shared" si="193"/>
        <v>-51891.916985473974</v>
      </c>
      <c r="L51" s="21">
        <f t="shared" si="132"/>
        <v>-32771.806501347935</v>
      </c>
      <c r="M51" s="21">
        <f t="shared" si="132"/>
        <v>4895.898267899428</v>
      </c>
      <c r="N51" s="21">
        <f t="shared" si="132"/>
        <v>39555.656691985256</v>
      </c>
      <c r="O51" s="21">
        <f t="shared" si="194"/>
        <v>703373.82087395363</v>
      </c>
      <c r="P51" s="21">
        <f t="shared" si="132"/>
        <v>507920.21983086114</v>
      </c>
      <c r="Q51" s="21">
        <f t="shared" si="132"/>
        <v>275518.06433917978</v>
      </c>
      <c r="R51" s="21">
        <f t="shared" si="132"/>
        <v>71790.554032093452</v>
      </c>
      <c r="S51" s="21">
        <f t="shared" si="132"/>
        <v>-51045.360118446712</v>
      </c>
      <c r="T51" s="21">
        <f t="shared" si="132"/>
        <v>-96700.705860710659</v>
      </c>
      <c r="U51" s="21">
        <f t="shared" ref="U51:W51" si="198">T51+U44+T58</f>
        <v>-155085.53598686616</v>
      </c>
      <c r="V51" s="21">
        <f t="shared" si="198"/>
        <v>-161450.23703882375</v>
      </c>
      <c r="W51" s="21">
        <f t="shared" si="198"/>
        <v>-277631.44621825393</v>
      </c>
      <c r="X51" s="21">
        <f t="shared" si="134"/>
        <v>-347261.54290472576</v>
      </c>
      <c r="Y51" s="21">
        <f t="shared" si="135"/>
        <v>-402348.4701718454</v>
      </c>
      <c r="Z51" s="21">
        <f t="shared" si="136"/>
        <v>-473351.00345667504</v>
      </c>
      <c r="AA51" s="21">
        <f t="shared" si="137"/>
        <v>-752227.56519196706</v>
      </c>
      <c r="AB51" s="21">
        <f t="shared" si="138"/>
        <v>-947926.98910441587</v>
      </c>
      <c r="AC51" s="21">
        <f t="shared" si="139"/>
        <v>-1130714.7610644461</v>
      </c>
      <c r="AD51" s="21">
        <f t="shared" si="140"/>
        <v>-1198504.9585645737</v>
      </c>
      <c r="AE51" s="21">
        <f t="shared" si="141"/>
        <v>-937500.29664720979</v>
      </c>
      <c r="AF51" s="21">
        <f t="shared" si="142"/>
        <v>-403488.42798375414</v>
      </c>
      <c r="AG51" s="21">
        <f t="shared" si="143"/>
        <v>-759.73775981308347</v>
      </c>
      <c r="AH51" s="21">
        <f t="shared" si="144"/>
        <v>395017.76097620168</v>
      </c>
      <c r="AI51" s="21">
        <f t="shared" si="145"/>
        <v>381431.35921042465</v>
      </c>
      <c r="AJ51" s="21">
        <f t="shared" si="146"/>
        <v>383957.1702870375</v>
      </c>
      <c r="AK51" s="21">
        <f t="shared" si="147"/>
        <v>427930.25107792037</v>
      </c>
      <c r="AL51" s="21">
        <f t="shared" si="148"/>
        <v>497945.17511736479</v>
      </c>
      <c r="AM51" s="21">
        <f t="shared" si="149"/>
        <v>-17312.836855732505</v>
      </c>
      <c r="AN51" s="21">
        <f t="shared" si="150"/>
        <v>-282743.75031944935</v>
      </c>
      <c r="AO51" s="21">
        <f t="shared" si="151"/>
        <v>-470072.21591286018</v>
      </c>
      <c r="AP51" s="21">
        <f t="shared" si="152"/>
        <v>-720810.90272266523</v>
      </c>
      <c r="AQ51" s="21">
        <f t="shared" si="153"/>
        <v>-112280.38779649153</v>
      </c>
      <c r="AR51" s="21">
        <f t="shared" si="154"/>
        <v>852455.55199461931</v>
      </c>
      <c r="AS51" s="21">
        <f t="shared" si="196"/>
        <v>1461745.427825172</v>
      </c>
      <c r="AT51" s="21">
        <f t="shared" si="155"/>
        <v>1902974.9832727727</v>
      </c>
      <c r="AU51" s="21">
        <f t="shared" si="156"/>
        <v>1639187.7222782604</v>
      </c>
      <c r="AV51" s="21">
        <f t="shared" si="157"/>
        <v>1383870.627887462</v>
      </c>
      <c r="AW51" s="21">
        <f t="shared" si="158"/>
        <v>1110483.8761833087</v>
      </c>
      <c r="AX51" s="21">
        <f t="shared" si="159"/>
        <v>835034.43075548427</v>
      </c>
      <c r="AY51" s="21">
        <f t="shared" si="160"/>
        <v>735080.57488108438</v>
      </c>
      <c r="AZ51" s="21">
        <f t="shared" si="161"/>
        <v>1135426.7915785366</v>
      </c>
      <c r="BA51" s="21">
        <f t="shared" si="162"/>
        <v>871302.94426209002</v>
      </c>
      <c r="BB51" s="21">
        <f t="shared" si="163"/>
        <v>624882.5414644744</v>
      </c>
      <c r="BC51" s="21">
        <f t="shared" si="164"/>
        <v>340621.19376685622</v>
      </c>
      <c r="BD51" s="21">
        <f t="shared" si="165"/>
        <v>17283.031041185932</v>
      </c>
      <c r="BE51" s="21">
        <f t="shared" si="166"/>
        <v>-306745.89052782091</v>
      </c>
      <c r="BF51" s="21">
        <f t="shared" si="167"/>
        <v>-635177.25417073746</v>
      </c>
      <c r="BG51" s="21">
        <f t="shared" si="167"/>
        <v>-921566.34997481073</v>
      </c>
      <c r="BH51" s="21">
        <f t="shared" si="168"/>
        <v>-1200324.4282386133</v>
      </c>
      <c r="BI51" s="21">
        <f t="shared" si="169"/>
        <v>-1499001.3625900566</v>
      </c>
      <c r="BJ51" s="21">
        <f t="shared" si="170"/>
        <v>-1819423.0060731515</v>
      </c>
      <c r="BK51" s="21">
        <f t="shared" si="171"/>
        <v>-1939977.2600493145</v>
      </c>
      <c r="BL51" s="21">
        <f t="shared" si="172"/>
        <v>-1813771.2275723128</v>
      </c>
      <c r="BM51" s="21">
        <f t="shared" si="173"/>
        <v>-1700720.8002464774</v>
      </c>
      <c r="BN51" s="21">
        <f t="shared" si="174"/>
        <v>-1583236.6338440808</v>
      </c>
      <c r="BO51" s="21">
        <f t="shared" si="175"/>
        <v>-1432441.8083675066</v>
      </c>
      <c r="BP51" s="21">
        <f t="shared" si="176"/>
        <v>-1253139.9582262884</v>
      </c>
      <c r="BQ51" s="21">
        <f t="shared" si="177"/>
        <v>-1079082.0395647471</v>
      </c>
      <c r="BR51" s="21">
        <f t="shared" si="178"/>
        <v>-916495.07922099507</v>
      </c>
      <c r="BS51" s="21">
        <f t="shared" si="179"/>
        <v>-784038.48185494379</v>
      </c>
      <c r="BT51" s="21">
        <f t="shared" si="180"/>
        <v>-665610.38752801029</v>
      </c>
      <c r="BU51" s="21">
        <f t="shared" si="181"/>
        <v>-534993.56194356701</v>
      </c>
      <c r="BV51" s="21">
        <f t="shared" si="182"/>
        <v>-396581.82951198611</v>
      </c>
      <c r="BW51" s="21">
        <f t="shared" si="183"/>
        <v>-297341.15399675426</v>
      </c>
      <c r="BX51" s="73">
        <f t="shared" si="184"/>
        <v>-267600.52579191042</v>
      </c>
      <c r="BY51" s="72">
        <f t="shared" si="185"/>
        <v>-240092.21150694627</v>
      </c>
      <c r="BZ51" s="21">
        <f t="shared" si="186"/>
        <v>-211846.75767307257</v>
      </c>
      <c r="CA51" s="21">
        <f t="shared" si="187"/>
        <v>-180302.17741992549</v>
      </c>
      <c r="CB51" s="21">
        <f t="shared" si="188"/>
        <v>-144259.08046462876</v>
      </c>
      <c r="CC51" s="21">
        <f t="shared" si="189"/>
        <v>-109123.53655700873</v>
      </c>
      <c r="CD51" s="21">
        <f t="shared" si="190"/>
        <v>-75578.980943358241</v>
      </c>
      <c r="CE51" s="73">
        <f t="shared" si="197"/>
        <v>-46680.919331187295</v>
      </c>
      <c r="CF51" s="73">
        <f t="shared" si="191"/>
        <v>-19385.697511283499</v>
      </c>
      <c r="CG51" s="73">
        <f t="shared" si="191"/>
        <v>12215.369656147475</v>
      </c>
      <c r="CH51" s="73">
        <f t="shared" si="191"/>
        <v>44874.079567150358</v>
      </c>
      <c r="CI51" s="73">
        <f t="shared" si="191"/>
        <v>61717.061807146994</v>
      </c>
      <c r="CJ51" s="73">
        <f t="shared" si="191"/>
        <v>58735.522355764857</v>
      </c>
      <c r="CK51" s="73">
        <f t="shared" si="191"/>
        <v>55771.183101339579</v>
      </c>
      <c r="CL51" s="73">
        <f t="shared" si="191"/>
        <v>52639.377896137252</v>
      </c>
      <c r="CM51" s="73">
        <f t="shared" si="191"/>
        <v>49178.552118580039</v>
      </c>
      <c r="CN51" s="73">
        <f t="shared" si="191"/>
        <v>45436.003811217357</v>
      </c>
      <c r="CO51" s="73">
        <f t="shared" si="191"/>
        <v>41575.54315481463</v>
      </c>
      <c r="CP51" s="73">
        <f t="shared" si="191"/>
        <v>37673.450200242754</v>
      </c>
      <c r="CQ51" s="73">
        <f t="shared" si="191"/>
        <v>34226.856515214269</v>
      </c>
      <c r="CR51" s="73">
        <f t="shared" si="192"/>
        <v>31053.649566896027</v>
      </c>
      <c r="CS51" s="73">
        <f t="shared" si="192"/>
        <v>27943.831637788953</v>
      </c>
      <c r="CT51" s="75">
        <f t="shared" si="192"/>
        <v>24215.217014646489</v>
      </c>
    </row>
    <row r="52" spans="1:98" x14ac:dyDescent="0.25">
      <c r="A52" t="s">
        <v>6</v>
      </c>
      <c r="B52" s="72">
        <f>B45</f>
        <v>0</v>
      </c>
      <c r="C52" s="21">
        <f t="shared" si="193"/>
        <v>0</v>
      </c>
      <c r="D52" s="21">
        <f t="shared" si="193"/>
        <v>0</v>
      </c>
      <c r="E52" s="21">
        <f t="shared" si="193"/>
        <v>0</v>
      </c>
      <c r="F52" s="21">
        <f t="shared" si="193"/>
        <v>-1621.85</v>
      </c>
      <c r="G52" s="21">
        <f t="shared" si="193"/>
        <v>-16509.701487082417</v>
      </c>
      <c r="H52" s="21">
        <f t="shared" si="193"/>
        <v>-34144.638478128072</v>
      </c>
      <c r="I52" s="21">
        <f t="shared" si="193"/>
        <v>-50790.526457518958</v>
      </c>
      <c r="J52" s="21">
        <f t="shared" si="193"/>
        <v>-66496.828907146817</v>
      </c>
      <c r="K52" s="21">
        <f t="shared" si="193"/>
        <v>-79530.551969466178</v>
      </c>
      <c r="L52" s="21">
        <f t="shared" si="132"/>
        <v>-88796.749603538949</v>
      </c>
      <c r="M52" s="21">
        <f t="shared" si="132"/>
        <v>-87480.99647940867</v>
      </c>
      <c r="N52" s="21">
        <f t="shared" si="132"/>
        <v>-91546.231188761696</v>
      </c>
      <c r="O52" s="21">
        <f t="shared" si="194"/>
        <v>2081846.2590904967</v>
      </c>
      <c r="P52" s="21">
        <f t="shared" si="132"/>
        <v>1845847.4544575023</v>
      </c>
      <c r="Q52" s="21">
        <f t="shared" si="132"/>
        <v>1576646.4194247087</v>
      </c>
      <c r="R52" s="21">
        <f t="shared" si="132"/>
        <v>1318804.6433256418</v>
      </c>
      <c r="S52" s="21">
        <f t="shared" si="132"/>
        <v>1117806.8734347224</v>
      </c>
      <c r="T52" s="21">
        <f t="shared" si="132"/>
        <v>971608.66125107161</v>
      </c>
      <c r="U52" s="21">
        <f t="shared" ref="U52:W52" si="199">T52+U45+T59</f>
        <v>850193.92690141383</v>
      </c>
      <c r="V52" s="21">
        <f t="shared" si="199"/>
        <v>728012.08266229741</v>
      </c>
      <c r="W52" s="21">
        <f t="shared" si="199"/>
        <v>508624.89927713579</v>
      </c>
      <c r="X52" s="21">
        <f t="shared" si="134"/>
        <v>318234.62162641418</v>
      </c>
      <c r="Y52" s="21">
        <f t="shared" si="135"/>
        <v>130612.05515464558</v>
      </c>
      <c r="Z52" s="21">
        <f t="shared" si="136"/>
        <v>-69698.409889528775</v>
      </c>
      <c r="AA52" s="21">
        <f t="shared" si="137"/>
        <v>-256136.61649312117</v>
      </c>
      <c r="AB52" s="21">
        <f t="shared" si="138"/>
        <v>-426402.15013958351</v>
      </c>
      <c r="AC52" s="21">
        <f t="shared" si="139"/>
        <v>-572510.60828507529</v>
      </c>
      <c r="AD52" s="21">
        <f t="shared" si="140"/>
        <v>-715879.32990699098</v>
      </c>
      <c r="AE52" s="21">
        <f t="shared" si="141"/>
        <v>-643950.46996524674</v>
      </c>
      <c r="AF52" s="21">
        <f t="shared" si="142"/>
        <v>-463539.85882780707</v>
      </c>
      <c r="AG52" s="21">
        <f t="shared" si="143"/>
        <v>-334216.17302225402</v>
      </c>
      <c r="AH52" s="21">
        <f t="shared" si="144"/>
        <v>-267360.99972656375</v>
      </c>
      <c r="AI52" s="21">
        <f t="shared" si="145"/>
        <v>-385628.33969441487</v>
      </c>
      <c r="AJ52" s="21">
        <f t="shared" si="146"/>
        <v>-496695.71676828281</v>
      </c>
      <c r="AK52" s="21">
        <f t="shared" si="147"/>
        <v>-597319.01267300069</v>
      </c>
      <c r="AL52" s="21">
        <f t="shared" si="148"/>
        <v>-643720.68998249643</v>
      </c>
      <c r="AM52" s="21">
        <f t="shared" si="149"/>
        <v>-780085.78360724542</v>
      </c>
      <c r="AN52" s="21">
        <f t="shared" si="150"/>
        <v>-828583.52732400096</v>
      </c>
      <c r="AO52" s="21">
        <f t="shared" si="151"/>
        <v>-884846.67573520634</v>
      </c>
      <c r="AP52" s="21">
        <f t="shared" si="152"/>
        <v>-930635.60225739249</v>
      </c>
      <c r="AQ52" s="21">
        <f t="shared" si="153"/>
        <v>-534426.34911424294</v>
      </c>
      <c r="AR52" s="21">
        <f t="shared" si="154"/>
        <v>47386.194106485993</v>
      </c>
      <c r="AS52" s="21">
        <f t="shared" si="196"/>
        <v>507311.47376446339</v>
      </c>
      <c r="AT52" s="21">
        <f t="shared" si="155"/>
        <v>782444.66958299989</v>
      </c>
      <c r="AU52" s="21">
        <f t="shared" si="156"/>
        <v>723192.7705589371</v>
      </c>
      <c r="AV52" s="21">
        <f t="shared" si="157"/>
        <v>651526.63162826211</v>
      </c>
      <c r="AW52" s="21">
        <f t="shared" si="158"/>
        <v>571907.74950634607</v>
      </c>
      <c r="AX52" s="21">
        <f t="shared" si="159"/>
        <v>511730.76530519378</v>
      </c>
      <c r="AY52" s="21">
        <f t="shared" si="160"/>
        <v>473987.47266065946</v>
      </c>
      <c r="AZ52" s="21">
        <f t="shared" si="161"/>
        <v>627752.55613556458</v>
      </c>
      <c r="BA52" s="21">
        <f t="shared" si="162"/>
        <v>510121.56397134153</v>
      </c>
      <c r="BB52" s="21">
        <f t="shared" si="163"/>
        <v>398499.79213552107</v>
      </c>
      <c r="BC52" s="21">
        <f t="shared" si="164"/>
        <v>268416.94219305925</v>
      </c>
      <c r="BD52" s="21">
        <f t="shared" si="165"/>
        <v>131494.17763626308</v>
      </c>
      <c r="BE52" s="21">
        <f t="shared" si="166"/>
        <v>4762.548537592349</v>
      </c>
      <c r="BF52" s="21">
        <f t="shared" si="167"/>
        <v>-119475.29582623842</v>
      </c>
      <c r="BG52" s="21">
        <f t="shared" si="167"/>
        <v>-240364.88321177903</v>
      </c>
      <c r="BH52" s="21">
        <f t="shared" si="168"/>
        <v>-360946.39457590634</v>
      </c>
      <c r="BI52" s="21">
        <f t="shared" si="169"/>
        <v>-483954.29796102858</v>
      </c>
      <c r="BJ52" s="21">
        <f t="shared" si="170"/>
        <v>-601627.60288112459</v>
      </c>
      <c r="BK52" s="21">
        <f t="shared" si="171"/>
        <v>-665156.97822150751</v>
      </c>
      <c r="BL52" s="21">
        <f t="shared" si="172"/>
        <v>-632176.98634330789</v>
      </c>
      <c r="BM52" s="21">
        <f t="shared" si="173"/>
        <v>-598097.68691445037</v>
      </c>
      <c r="BN52" s="21">
        <f t="shared" si="174"/>
        <v>-558455.10505788913</v>
      </c>
      <c r="BO52" s="21">
        <f t="shared" si="175"/>
        <v>-498427.93355199613</v>
      </c>
      <c r="BP52" s="21">
        <f t="shared" si="176"/>
        <v>-418122.65788997762</v>
      </c>
      <c r="BQ52" s="21">
        <f t="shared" si="177"/>
        <v>-342874.88770928158</v>
      </c>
      <c r="BR52" s="21">
        <f t="shared" si="178"/>
        <v>-283048.53419714689</v>
      </c>
      <c r="BS52" s="21">
        <f t="shared" si="179"/>
        <v>-244925.71143216736</v>
      </c>
      <c r="BT52" s="21">
        <f t="shared" si="180"/>
        <v>-211876.06065994131</v>
      </c>
      <c r="BU52" s="21">
        <f t="shared" si="181"/>
        <v>-170196.9675885943</v>
      </c>
      <c r="BV52" s="21">
        <f t="shared" si="182"/>
        <v>-129020.52472148414</v>
      </c>
      <c r="BW52" s="21">
        <f t="shared" si="183"/>
        <v>-98120.532745183882</v>
      </c>
      <c r="BX52" s="73">
        <f t="shared" si="184"/>
        <v>-88796.413338172264</v>
      </c>
      <c r="BY52" s="72">
        <f t="shared" si="185"/>
        <v>-79417.479358246288</v>
      </c>
      <c r="BZ52" s="21">
        <f t="shared" si="186"/>
        <v>-70223.142017895821</v>
      </c>
      <c r="CA52" s="21">
        <f t="shared" si="187"/>
        <v>-59771.752573244717</v>
      </c>
      <c r="CB52" s="21">
        <f t="shared" si="188"/>
        <v>-48917.678900560844</v>
      </c>
      <c r="CC52" s="21">
        <f t="shared" si="189"/>
        <v>-38163.326313524791</v>
      </c>
      <c r="CD52" s="21">
        <f t="shared" si="190"/>
        <v>-27684.976896095599</v>
      </c>
      <c r="CE52" s="73">
        <f t="shared" si="197"/>
        <v>-18387.681785605684</v>
      </c>
      <c r="CF52" s="73">
        <f t="shared" si="191"/>
        <v>-8988.7282009170121</v>
      </c>
      <c r="CG52" s="73">
        <f t="shared" si="191"/>
        <v>777.04836483137933</v>
      </c>
      <c r="CH52" s="73">
        <f t="shared" si="191"/>
        <v>10106.704935917995</v>
      </c>
      <c r="CI52" s="73">
        <f t="shared" si="191"/>
        <v>16262.966603284918</v>
      </c>
      <c r="CJ52" s="73">
        <f t="shared" si="191"/>
        <v>15734.917386960842</v>
      </c>
      <c r="CK52" s="73">
        <f t="shared" si="191"/>
        <v>14997.059739383125</v>
      </c>
      <c r="CL52" s="73">
        <f t="shared" si="191"/>
        <v>14248.59309173045</v>
      </c>
      <c r="CM52" s="73">
        <f t="shared" si="191"/>
        <v>13460.492727183508</v>
      </c>
      <c r="CN52" s="73">
        <f t="shared" si="191"/>
        <v>12652.275597191501</v>
      </c>
      <c r="CO52" s="73">
        <f t="shared" si="191"/>
        <v>11728.400721486334</v>
      </c>
      <c r="CP52" s="73">
        <f t="shared" si="191"/>
        <v>10843.081611567864</v>
      </c>
      <c r="CQ52" s="73">
        <f t="shared" si="191"/>
        <v>10075.965724222218</v>
      </c>
      <c r="CR52" s="73">
        <f t="shared" si="192"/>
        <v>9301.5521772257835</v>
      </c>
      <c r="CS52" s="73">
        <f t="shared" si="192"/>
        <v>8552.6649121952323</v>
      </c>
      <c r="CT52" s="75">
        <f t="shared" si="192"/>
        <v>7763.5363044504747</v>
      </c>
    </row>
    <row r="53" spans="1:98" x14ac:dyDescent="0.25">
      <c r="A53" t="s">
        <v>7</v>
      </c>
      <c r="B53" s="72">
        <f>B46</f>
        <v>0</v>
      </c>
      <c r="C53" s="21">
        <f t="shared" si="193"/>
        <v>0</v>
      </c>
      <c r="D53" s="21">
        <f t="shared" si="193"/>
        <v>0</v>
      </c>
      <c r="E53" s="21">
        <f t="shared" si="193"/>
        <v>0</v>
      </c>
      <c r="F53" s="21">
        <f t="shared" si="193"/>
        <v>0</v>
      </c>
      <c r="G53" s="21">
        <f t="shared" si="193"/>
        <v>-4867.8</v>
      </c>
      <c r="H53" s="21">
        <f t="shared" si="193"/>
        <v>-14038.900675193001</v>
      </c>
      <c r="I53" s="21">
        <f t="shared" si="193"/>
        <v>-22311.827104478401</v>
      </c>
      <c r="J53" s="21">
        <f t="shared" si="193"/>
        <v>-30642.321583375648</v>
      </c>
      <c r="K53" s="21">
        <f t="shared" si="193"/>
        <v>-38040.172449408463</v>
      </c>
      <c r="L53" s="21">
        <f t="shared" si="132"/>
        <v>-44210.943064254825</v>
      </c>
      <c r="M53" s="21">
        <f t="shared" si="132"/>
        <v>-49016.477557627404</v>
      </c>
      <c r="N53" s="21">
        <f t="shared" si="132"/>
        <v>-51105.097433004616</v>
      </c>
      <c r="O53" s="21">
        <f t="shared" si="194"/>
        <v>1630868.1184752122</v>
      </c>
      <c r="P53" s="21">
        <f t="shared" si="132"/>
        <v>1473518.7229134974</v>
      </c>
      <c r="Q53" s="21">
        <f t="shared" si="132"/>
        <v>1299670.5476106482</v>
      </c>
      <c r="R53" s="21">
        <f t="shared" si="132"/>
        <v>1124802.5391481766</v>
      </c>
      <c r="S53" s="21">
        <f t="shared" si="132"/>
        <v>923293.98829833337</v>
      </c>
      <c r="T53" s="21">
        <f t="shared" si="132"/>
        <v>742604.67270425765</v>
      </c>
      <c r="U53" s="21">
        <f t="shared" ref="U53:W53" si="200">T53+U46+T60</f>
        <v>537425.71189696866</v>
      </c>
      <c r="V53" s="21">
        <f t="shared" si="200"/>
        <v>342002.14090707217</v>
      </c>
      <c r="W53" s="21">
        <f t="shared" si="200"/>
        <v>149144.45369180589</v>
      </c>
      <c r="X53" s="21">
        <f t="shared" si="134"/>
        <v>-34002.408338765621</v>
      </c>
      <c r="Y53" s="21">
        <f t="shared" si="135"/>
        <v>-198350.66028758101</v>
      </c>
      <c r="Z53" s="21">
        <f t="shared" si="136"/>
        <v>-361778.39028319431</v>
      </c>
      <c r="AA53" s="21">
        <f t="shared" si="137"/>
        <v>-442602.15553983132</v>
      </c>
      <c r="AB53" s="21">
        <f t="shared" si="138"/>
        <v>-434970.98506080866</v>
      </c>
      <c r="AC53" s="21">
        <f t="shared" si="139"/>
        <v>-425017.23219015636</v>
      </c>
      <c r="AD53" s="21">
        <f t="shared" si="140"/>
        <v>-408935.22638594214</v>
      </c>
      <c r="AE53" s="21">
        <f t="shared" si="141"/>
        <v>-353940.66652185243</v>
      </c>
      <c r="AF53" s="21">
        <f t="shared" si="142"/>
        <v>-265401.87143726787</v>
      </c>
      <c r="AG53" s="21">
        <f t="shared" si="143"/>
        <v>-200735.25396413624</v>
      </c>
      <c r="AH53" s="21">
        <f t="shared" si="144"/>
        <v>-150858.68749475965</v>
      </c>
      <c r="AI53" s="21">
        <f t="shared" si="145"/>
        <v>-132172.90080462801</v>
      </c>
      <c r="AJ53" s="21">
        <f t="shared" si="146"/>
        <v>-113870.38046754959</v>
      </c>
      <c r="AK53" s="21">
        <f t="shared" si="147"/>
        <v>-87629.710259337749</v>
      </c>
      <c r="AL53" s="21">
        <f t="shared" si="148"/>
        <v>-58083.902915254796</v>
      </c>
      <c r="AM53" s="21">
        <f t="shared" si="149"/>
        <v>-51373.414345370998</v>
      </c>
      <c r="AN53" s="21">
        <f t="shared" si="150"/>
        <v>-51863.328133899115</v>
      </c>
      <c r="AO53" s="21">
        <f t="shared" si="151"/>
        <v>-58102.384106431062</v>
      </c>
      <c r="AP53" s="21">
        <f t="shared" si="152"/>
        <v>-53205.542343721259</v>
      </c>
      <c r="AQ53" s="21">
        <f t="shared" si="153"/>
        <v>65980.568456353983</v>
      </c>
      <c r="AR53" s="21">
        <f t="shared" si="154"/>
        <v>256288.2354341273</v>
      </c>
      <c r="AS53" s="21">
        <f t="shared" si="196"/>
        <v>409797.09115795669</v>
      </c>
      <c r="AT53" s="21">
        <f t="shared" si="155"/>
        <v>479883.08085353748</v>
      </c>
      <c r="AU53" s="21">
        <f t="shared" si="156"/>
        <v>468836.68294468429</v>
      </c>
      <c r="AV53" s="21">
        <f t="shared" si="157"/>
        <v>458709.66126839968</v>
      </c>
      <c r="AW53" s="21">
        <f t="shared" si="158"/>
        <v>453720.16222680843</v>
      </c>
      <c r="AX53" s="21">
        <f t="shared" si="159"/>
        <v>449237.00674968894</v>
      </c>
      <c r="AY53" s="21">
        <f t="shared" si="160"/>
        <v>438279.424852825</v>
      </c>
      <c r="AZ53" s="21">
        <f t="shared" si="161"/>
        <v>455654.9837535788</v>
      </c>
      <c r="BA53" s="21">
        <f t="shared" si="162"/>
        <v>412232.39305035252</v>
      </c>
      <c r="BB53" s="21">
        <f t="shared" si="163"/>
        <v>367581.21214789816</v>
      </c>
      <c r="BC53" s="21">
        <f t="shared" si="164"/>
        <v>356321.06980891351</v>
      </c>
      <c r="BD53" s="21">
        <f t="shared" si="165"/>
        <v>305954.59652147186</v>
      </c>
      <c r="BE53" s="21">
        <f t="shared" si="166"/>
        <v>254079.19498445134</v>
      </c>
      <c r="BF53" s="21">
        <f t="shared" si="167"/>
        <v>201435.0660709361</v>
      </c>
      <c r="BG53" s="21">
        <f t="shared" si="167"/>
        <v>155060.27067456694</v>
      </c>
      <c r="BH53" s="21">
        <f t="shared" si="168"/>
        <v>109600.58508974723</v>
      </c>
      <c r="BI53" s="21">
        <f t="shared" si="169"/>
        <v>63199.244738506117</v>
      </c>
      <c r="BJ53" s="21">
        <f t="shared" si="170"/>
        <v>20770.027319214674</v>
      </c>
      <c r="BK53" s="21">
        <f t="shared" si="171"/>
        <v>-17072.345528885144</v>
      </c>
      <c r="BL53" s="21">
        <f t="shared" si="172"/>
        <v>-16344.312267987536</v>
      </c>
      <c r="BM53" s="21">
        <f t="shared" si="173"/>
        <v>-17785.022505692268</v>
      </c>
      <c r="BN53" s="21">
        <f t="shared" si="174"/>
        <v>-19237.201587101994</v>
      </c>
      <c r="BO53" s="21">
        <f t="shared" si="175"/>
        <v>-20621.579043058326</v>
      </c>
      <c r="BP53" s="21">
        <f t="shared" si="176"/>
        <v>-22392.304974911203</v>
      </c>
      <c r="BQ53" s="21">
        <f t="shared" si="177"/>
        <v>-24187.649939611878</v>
      </c>
      <c r="BR53" s="21">
        <f t="shared" si="178"/>
        <v>-26124.940113423247</v>
      </c>
      <c r="BS53" s="21">
        <f t="shared" si="179"/>
        <v>-27829.972966790217</v>
      </c>
      <c r="BT53" s="21">
        <f t="shared" si="180"/>
        <v>-29064.544513523822</v>
      </c>
      <c r="BU53" s="21">
        <f t="shared" si="181"/>
        <v>-30917.792863544109</v>
      </c>
      <c r="BV53" s="21">
        <f t="shared" si="182"/>
        <v>-32678.30198122155</v>
      </c>
      <c r="BW53" s="21">
        <f t="shared" si="183"/>
        <v>-33738.87841311068</v>
      </c>
      <c r="BX53" s="73">
        <f t="shared" si="184"/>
        <v>-31654.947684006369</v>
      </c>
      <c r="BY53" s="72">
        <f t="shared" si="185"/>
        <v>-21734.240018850531</v>
      </c>
      <c r="BZ53" s="21">
        <f t="shared" si="186"/>
        <v>-19828.702675618042</v>
      </c>
      <c r="CA53" s="21">
        <f t="shared" si="187"/>
        <v>-17507.777520908799</v>
      </c>
      <c r="CB53" s="21">
        <f t="shared" si="188"/>
        <v>-14850.127034072537</v>
      </c>
      <c r="CC53" s="21">
        <f t="shared" si="189"/>
        <v>-12226.705735458516</v>
      </c>
      <c r="CD53" s="21">
        <f t="shared" si="190"/>
        <v>-9490.7894236648826</v>
      </c>
      <c r="CE53" s="73">
        <f t="shared" si="197"/>
        <v>-7140.2935445690146</v>
      </c>
      <c r="CF53" s="73">
        <f t="shared" si="191"/>
        <v>-4791.914511043924</v>
      </c>
      <c r="CG53" s="73">
        <f t="shared" si="191"/>
        <v>-2488.178829604165</v>
      </c>
      <c r="CH53" s="73">
        <f t="shared" si="191"/>
        <v>-539.63432485348255</v>
      </c>
      <c r="CI53" s="73">
        <f t="shared" si="191"/>
        <v>1077.613538598901</v>
      </c>
      <c r="CJ53" s="73">
        <f t="shared" si="191"/>
        <v>1113.6942772913833</v>
      </c>
      <c r="CK53" s="73">
        <f t="shared" si="191"/>
        <v>1140.2386157332112</v>
      </c>
      <c r="CL53" s="73">
        <f t="shared" si="191"/>
        <v>1164.657465753209</v>
      </c>
      <c r="CM53" s="73">
        <f t="shared" si="191"/>
        <v>1192.8351155076487</v>
      </c>
      <c r="CN53" s="73">
        <f t="shared" si="191"/>
        <v>1221.7168617563248</v>
      </c>
      <c r="CO53" s="73">
        <f t="shared" si="191"/>
        <v>1254.5818694217576</v>
      </c>
      <c r="CP53" s="73">
        <f t="shared" si="191"/>
        <v>1289.3946865892181</v>
      </c>
      <c r="CQ53" s="73">
        <f t="shared" si="191"/>
        <v>1323.9516213683764</v>
      </c>
      <c r="CR53" s="73">
        <f t="shared" si="192"/>
        <v>1356.6988173926666</v>
      </c>
      <c r="CS53" s="73">
        <f t="shared" si="192"/>
        <v>1399.2277850569951</v>
      </c>
      <c r="CT53" s="75">
        <f t="shared" si="192"/>
        <v>1441.0102929429238</v>
      </c>
    </row>
    <row r="54" spans="1:98" x14ac:dyDescent="0.25">
      <c r="B54" s="65"/>
      <c r="F54" s="31"/>
      <c r="G54" s="31"/>
      <c r="BY54" s="65"/>
      <c r="CT54" s="67"/>
    </row>
    <row r="55" spans="1:98" x14ac:dyDescent="0.25">
      <c r="A55" t="s">
        <v>64</v>
      </c>
      <c r="B55" s="298">
        <f>'[2]MEEIA 2 calcs'!C9/12</f>
        <v>0</v>
      </c>
      <c r="C55" s="193">
        <f>'[2]MEEIA 2 calcs'!D9/12</f>
        <v>0</v>
      </c>
      <c r="D55" s="193">
        <f>'[2]MEEIA 2 calcs'!E9/12</f>
        <v>6.0997666666666667E-4</v>
      </c>
      <c r="E55" s="193">
        <f>'[2]MEEIA 2 calcs'!F9/12</f>
        <v>6.2130750000000004E-4</v>
      </c>
      <c r="F55" s="193">
        <f>'[2]MEEIA 2 calcs'!G9/12</f>
        <v>6.2982833333333329E-4</v>
      </c>
      <c r="G55" s="193">
        <f>'[2]MEEIA 2 calcs'!H9/12</f>
        <v>5.2193499999999996E-4</v>
      </c>
      <c r="H55" s="193">
        <f>'[2]MEEIA 2 calcs'!I9/12</f>
        <v>5.2420249999999993E-4</v>
      </c>
      <c r="I55" s="193">
        <f>'[2]MEEIA 2 calcs'!J9/12</f>
        <v>6.3713833333333336E-4</v>
      </c>
      <c r="J55" s="193">
        <f>'[2]MEEIA 2 calcs'!K9/12</f>
        <v>6.2954975458780584E-4</v>
      </c>
      <c r="K55" s="193">
        <f>'[2]MEEIA 2 calcs'!L9/12</f>
        <v>6.3347499999999999E-4</v>
      </c>
      <c r="L55" s="193">
        <f>'[2]MEEIA 2 calcs'!M9/12</f>
        <v>6.3678750000000005E-4</v>
      </c>
      <c r="M55" s="193">
        <f>'[2]MEEIA 2 calcs'!N9/12</f>
        <v>8.0183666666666664E-4</v>
      </c>
      <c r="N55" s="193">
        <f>'[2]MEEIA 2 calcs'!O9/12</f>
        <v>7.4999999999999991E-4</v>
      </c>
      <c r="O55" s="193">
        <f>'[2]MEEIA 2 calcs'!P9/12</f>
        <v>7.4999999999999991E-4</v>
      </c>
      <c r="P55" s="193">
        <f>'[2]MEEIA 2 calcs'!Q9/12</f>
        <v>9.5833333333333328E-4</v>
      </c>
      <c r="Q55" s="193">
        <f>'[2]MEEIA 2 calcs'!R9/12</f>
        <v>9.5833333333333328E-4</v>
      </c>
      <c r="R55" s="193">
        <f>'[2]MEEIA 2 calcs'!S9/12</f>
        <v>9.5833333333333328E-4</v>
      </c>
      <c r="S55" s="193">
        <f>'[2]MEEIA 2 calcs'!T9/12</f>
        <v>1.175E-3</v>
      </c>
      <c r="T55" s="193">
        <f>'[2]MEEIA 2 calcs'!U9/12</f>
        <v>1.1598750000000001E-3</v>
      </c>
      <c r="U55" s="193">
        <f>'[2]MEEIA 2 calcs'!V9/12</f>
        <v>1.22248E-3</v>
      </c>
      <c r="V55" s="193">
        <f>'[2]MEEIA 2 calcs'!W9/12</f>
        <v>1.2068966666666668E-3</v>
      </c>
      <c r="W55" s="193">
        <f>'[2]MEEIA 2 calcs'!X9/12</f>
        <v>1.2090250000000001E-3</v>
      </c>
      <c r="X55" s="193">
        <f>'[2]MEEIA 2 calcs'!Y9/12</f>
        <v>1.2023907500000001E-3</v>
      </c>
      <c r="Y55" s="193">
        <f>'[2]MEEIA 2 calcs'!Z9/12</f>
        <v>1.4779508333333333E-3</v>
      </c>
      <c r="Z55" s="193">
        <f>'[2]MEEIA 2 calcs'!AA9/12</f>
        <v>1.4294883333333334E-3</v>
      </c>
      <c r="AA55" s="193">
        <f>'[2]MEEIA 2 calcs'!AB9/12</f>
        <v>1.5229716666666667E-3</v>
      </c>
      <c r="AB55" s="193">
        <f>'[2]MEEIA 2 calcs'!AC9/12</f>
        <v>1.7116216666666665E-3</v>
      </c>
      <c r="AC55" s="193">
        <f>'[2]MEEIA 2 calcs'!AD9/12</f>
        <v>1.9259966666666667E-3</v>
      </c>
      <c r="AD55" s="193">
        <f>'[2]MEEIA 2 calcs'!AE9/12</f>
        <v>1.8323291666666665E-3</v>
      </c>
      <c r="AE55" s="193">
        <f>'[2]MEEIA 2 calcs'!AF9/12</f>
        <v>1.8996341666666667E-3</v>
      </c>
      <c r="AF55" s="193">
        <f>'[2]MEEIA 2 calcs'!AG9/12</f>
        <v>1.9559741666666667E-3</v>
      </c>
      <c r="AG55" s="193">
        <f>'[2]MEEIA 2 calcs'!AH9/12</f>
        <v>1.9378716666666668E-3</v>
      </c>
      <c r="AH55" s="193">
        <f>'[2]MEEIA 2 calcs'!AI9/12</f>
        <v>1.9408016666666668E-3</v>
      </c>
      <c r="AI55" s="193">
        <f>'[2]MEEIA 2 calcs'!AJ9/12</f>
        <v>2.0478441666666666E-3</v>
      </c>
      <c r="AJ55" s="193">
        <f>'[2]MEEIA 2 calcs'!AK9/12</f>
        <v>2.1059300000000002E-3</v>
      </c>
      <c r="AK55" s="193">
        <f>'[2]MEEIA 2 calcs'!AL9/12</f>
        <v>2.2954824999999999E-3</v>
      </c>
      <c r="AL55" s="193">
        <f>'[2]MEEIA 2 calcs'!AM9/12</f>
        <v>2.3914125E-3</v>
      </c>
      <c r="AM55" s="193">
        <f>'[2]MEEIA 2 calcs'!AN9/12</f>
        <v>2.3669925000000002E-3</v>
      </c>
      <c r="AN55" s="193">
        <f>'[2]MEEIA 2 calcs'!AO9/12</f>
        <v>2.3231791666666669E-3</v>
      </c>
      <c r="AO55" s="193">
        <f>'[2]MEEIA 2 calcs'!AP9/12</f>
        <v>2.2185616666666667E-3</v>
      </c>
      <c r="AP55" s="193">
        <f>'[2]MEEIA 2 calcs'!AQ9/12</f>
        <v>2.2311341666666666E-3</v>
      </c>
      <c r="AQ55" s="193">
        <f>'[2]MEEIA 2 calcs'!AR9/12</f>
        <v>2.2083808333333336E-3</v>
      </c>
      <c r="AR55" s="193">
        <f>'[2]MEEIA 2 calcs'!AS9/12</f>
        <v>2.1623908333333335E-3</v>
      </c>
      <c r="AS55" s="193">
        <f>'[2]MEEIA 2 calcs'!AT9/12</f>
        <v>1.959325E-3</v>
      </c>
      <c r="AT55" s="193">
        <f>'[2]MEEIA 2 calcs'!AU9/12</f>
        <v>1.8473916666666666E-3</v>
      </c>
      <c r="AU55" s="193">
        <f>'[2]MEEIA 2 calcs'!AV9/12</f>
        <v>1.76161E-3</v>
      </c>
      <c r="AV55" s="193">
        <f>'[2]MEEIA 2 calcs'!AW9/12</f>
        <v>1.5133241666666667E-3</v>
      </c>
      <c r="AW55" s="193">
        <f>'[2]MEEIA 2 calcs'!AX9/12</f>
        <v>1.5959991666666667E-3</v>
      </c>
      <c r="AX55" s="193">
        <f>'[2]MEEIA 2 calcs'!AY9/12</f>
        <v>1.5742316666666667E-3</v>
      </c>
      <c r="AY55" s="193">
        <f>'[2]MEEIA 2 calcs'!AZ9/12</f>
        <v>1.5029858333333332E-3</v>
      </c>
      <c r="AZ55" s="193">
        <f>'[2]MEEIA 2 calcs'!BA9/12</f>
        <v>1.5738266666666667E-3</v>
      </c>
      <c r="BA55" s="193">
        <f>'[2]MEEIA 2 calcs'!BB9/12</f>
        <v>7.8204999999999995E-4</v>
      </c>
      <c r="BB55" s="193">
        <f>'[2]MEEIA 2 calcs'!BC9/12</f>
        <v>1.0755583333333334E-4</v>
      </c>
      <c r="BC55" s="193">
        <f>'[2]MEEIA 2 calcs'!BD9/12</f>
        <v>1.046925E-4</v>
      </c>
      <c r="BD55" s="193">
        <f>'[2]MEEIA 2 calcs'!BE9/12</f>
        <v>1.6138583333333333E-4</v>
      </c>
      <c r="BE55" s="193">
        <f>'[2]MEEIA 2 calcs'!BF9/12</f>
        <v>1.1382083333333333E-4</v>
      </c>
      <c r="BF55" s="193">
        <f>'[2]MEEIA 2 calcs'!BG9/12</f>
        <v>1.0326333333333334E-4</v>
      </c>
      <c r="BG55" s="193">
        <f>'[2]MEEIA 2 calcs'!BH9/12</f>
        <v>1.6666666666666666E-4</v>
      </c>
      <c r="BH55" s="193">
        <f>'[2]MEEIA 2 calcs'!BI9/12</f>
        <v>2.1037000000000001E-4</v>
      </c>
      <c r="BI55" s="193">
        <f>'[2]MEEIA 2 calcs'!BJ9/12</f>
        <v>2.3724916666666669E-4</v>
      </c>
      <c r="BJ55" s="193">
        <f>'[2]MEEIA 2 calcs'!BK9/12</f>
        <v>1.7178250000000002E-4</v>
      </c>
      <c r="BK55" s="193">
        <f>'[2]MEEIA 2 calcs'!BL9/12</f>
        <v>1.9351416666666668E-4</v>
      </c>
      <c r="BL55" s="193">
        <f>'[2]MEEIA 2 calcs'!BM9/12</f>
        <v>1.7806166666666664E-4</v>
      </c>
      <c r="BM55" s="193">
        <f>'[2]MEEIA 2 calcs'!BN9/12</f>
        <v>1.8760249999999999E-4</v>
      </c>
      <c r="BN55" s="193">
        <f>'[2]MEEIA 2 calcs'!BO9/12</f>
        <v>1.8689333333333334E-4</v>
      </c>
      <c r="BO55" s="193">
        <f>'[2]MEEIA 2 calcs'!BP9/12</f>
        <v>1.6804916666666666E-4</v>
      </c>
      <c r="BP55" s="193">
        <f>'[2]MEEIA 2 calcs'!BQ9/12</f>
        <v>1.1629083333333334E-4</v>
      </c>
      <c r="BQ55" s="193">
        <f>'[2]MEEIA 2 calcs'!BR9/12</f>
        <v>1.7091583333333333E-4</v>
      </c>
      <c r="BR55" s="193">
        <f>'[2]MEEIA 2 calcs'!BS9/12</f>
        <v>1.6102749999999998E-4</v>
      </c>
      <c r="BS55" s="193">
        <f>'[2]MEEIA 2 calcs'!BT9/12</f>
        <v>1.25E-4</v>
      </c>
      <c r="BT55" s="193">
        <f>'[2]MEEIA 2 calcs'!BU9/12</f>
        <v>1.2767416666666667E-4</v>
      </c>
      <c r="BU55" s="193">
        <f>'[2]MEEIA 2 calcs'!BV9/12</f>
        <v>2.1705333333333333E-4</v>
      </c>
      <c r="BV55" s="193">
        <f>'[2]MEEIA 2 calcs'!BW9/12</f>
        <v>1.9537499999999999E-4</v>
      </c>
      <c r="BW55" s="193">
        <f>'[2]MEEIA 2 calcs'!BX9/12</f>
        <v>2.4654083333333334E-4</v>
      </c>
      <c r="BX55" s="236">
        <f>'[2]MEEIA 2 calcs'!BY9/12</f>
        <v>5.7357999999999997E-4</v>
      </c>
      <c r="BY55" s="298">
        <f>'[2]MEEIA 2 calcs'!BZ9/12</f>
        <v>5.0034666666666668E-4</v>
      </c>
      <c r="BZ55" s="193">
        <f>'[2]MEEIA 2 calcs'!CA9/12</f>
        <v>7.9142083333333336E-4</v>
      </c>
      <c r="CA55" s="193">
        <f>'[2]MEEIA 2 calcs'!CB9/12</f>
        <v>1.2382216666666666E-3</v>
      </c>
      <c r="CB55" s="193">
        <f>'[2]MEEIA 2 calcs'!CC9/12</f>
        <v>1.7139083333333333E-3</v>
      </c>
      <c r="CC55" s="193">
        <f>'[2]MEEIA 2 calcs'!CD9/12</f>
        <v>2.1367116666666667E-3</v>
      </c>
      <c r="CD55" s="193">
        <f>'[2]MEEIA 2 calcs'!CE9/12</f>
        <v>2.3680800000000003E-3</v>
      </c>
      <c r="CE55" s="236">
        <f>'[2]MEEIA 2 calcs'!CF9/12</f>
        <v>2.8917666666666668E-3</v>
      </c>
      <c r="CF55" s="236">
        <f>'[2]MEEIA 2 calcs'!CG9/12</f>
        <v>3.5717483333333332E-3</v>
      </c>
      <c r="CG55" s="236">
        <f>'[2]MEEIA 2 calcs'!CH9/12</f>
        <v>3.8480024999999998E-3</v>
      </c>
      <c r="CH55" s="236">
        <f>'[2]MEEIA 2 calcs'!CI9/12</f>
        <v>3.9868766666666666E-3</v>
      </c>
      <c r="CI55" s="236">
        <f>'[2]MEEIA 2 calcs'!CJ9/12</f>
        <v>4.0399541666666667E-3</v>
      </c>
      <c r="CJ55" s="236">
        <f>'[2]MEEIA 2 calcs'!CK9/12</f>
        <v>4.1578449999999994E-3</v>
      </c>
      <c r="CK55" s="236">
        <f>'[2]MEEIA 2 calcs'!CL9/12</f>
        <v>4.3739341666666669E-3</v>
      </c>
      <c r="CL55" s="236">
        <f>'[2]MEEIA 2 calcs'!CM9/12</f>
        <v>4.4389866278539119E-3</v>
      </c>
      <c r="CM55" s="236">
        <f>'[2]MEEIA 2 calcs'!CN9/12</f>
        <v>4.4956850000000001E-3</v>
      </c>
      <c r="CN55" s="236">
        <f>'[2]MEEIA 2 calcs'!CO9/12</f>
        <v>4.5355533333333335E-3</v>
      </c>
      <c r="CO55" s="236">
        <f>'[2]MEEIA 2 calcs'!CP9/12</f>
        <v>4.6003991666666664E-3</v>
      </c>
      <c r="CP55" s="236">
        <f>'[2]MEEIA 2 calcs'!CQ9/12</f>
        <v>4.6126058333333334E-3</v>
      </c>
      <c r="CQ55" s="236">
        <f>'[2]MEEIA 2 calcs'!CR9/12</f>
        <v>4.5978799999999995E-3</v>
      </c>
      <c r="CR55" s="236">
        <f>'[2]MEEIA 2 calcs'!CS9/12</f>
        <v>4.6317149999999998E-3</v>
      </c>
      <c r="CS55" s="236">
        <f>'[2]MEEIA 2 calcs'!CT9/12</f>
        <v>4.6229791666666667E-3</v>
      </c>
      <c r="CT55" s="299">
        <f>'[2]MEEIA 2 calcs'!CU9/12</f>
        <v>4.4819374999999998E-3</v>
      </c>
    </row>
    <row r="56" spans="1:98" x14ac:dyDescent="0.25">
      <c r="A56" t="s">
        <v>0</v>
      </c>
      <c r="B56" s="72">
        <f t="shared" ref="B56:K56" si="201">B49*B$55</f>
        <v>0</v>
      </c>
      <c r="C56" s="21">
        <f t="shared" si="201"/>
        <v>0</v>
      </c>
      <c r="D56" s="21">
        <f t="shared" si="201"/>
        <v>0</v>
      </c>
      <c r="E56" s="21">
        <f t="shared" si="201"/>
        <v>0.82558097985000001</v>
      </c>
      <c r="F56" s="21">
        <f t="shared" si="201"/>
        <v>-1.006858953457429</v>
      </c>
      <c r="G56" s="21">
        <f t="shared" si="201"/>
        <v>-38.04342526901916</v>
      </c>
      <c r="H56" s="21">
        <f t="shared" si="201"/>
        <v>-39.19548832457653</v>
      </c>
      <c r="I56" s="21">
        <f t="shared" si="201"/>
        <v>25.316101791241426</v>
      </c>
      <c r="J56" s="21">
        <f t="shared" si="201"/>
        <v>300.52843321651994</v>
      </c>
      <c r="K56" s="21">
        <f t="shared" si="201"/>
        <v>273.38393580809992</v>
      </c>
      <c r="L56" s="21">
        <f t="shared" ref="L56:T56" si="202">L49*L$55</f>
        <v>305.71343559309918</v>
      </c>
      <c r="M56" s="21">
        <f t="shared" si="202"/>
        <v>459.60027914857704</v>
      </c>
      <c r="N56" s="21">
        <f t="shared" si="202"/>
        <v>372.82678825256721</v>
      </c>
      <c r="O56" s="21">
        <f t="shared" si="202"/>
        <v>5294.3096679542632</v>
      </c>
      <c r="P56" s="21">
        <f t="shared" si="202"/>
        <v>6007.5629346994847</v>
      </c>
      <c r="Q56" s="21">
        <f t="shared" si="202"/>
        <v>5263.935324833812</v>
      </c>
      <c r="R56" s="21">
        <f t="shared" si="202"/>
        <v>4564.9799616700648</v>
      </c>
      <c r="S56" s="21">
        <f>S49*S$55</f>
        <v>5166.8658091054031</v>
      </c>
      <c r="T56" s="21">
        <f t="shared" si="202"/>
        <v>4660.8180245909853</v>
      </c>
      <c r="U56" s="21">
        <f t="shared" ref="U56:W56" si="203">U49*U$55</f>
        <v>4581.773161226125</v>
      </c>
      <c r="V56" s="21">
        <f t="shared" si="203"/>
        <v>4016.0377961424024</v>
      </c>
      <c r="W56" s="21">
        <f t="shared" si="203"/>
        <v>2945.8873559344911</v>
      </c>
      <c r="X56" s="21">
        <f t="shared" ref="X56:AH56" si="204">X49*X$55</f>
        <v>2149.1937840884789</v>
      </c>
      <c r="Y56" s="21">
        <f t="shared" si="204"/>
        <v>1519.9211420065776</v>
      </c>
      <c r="Z56" s="21">
        <f t="shared" si="204"/>
        <v>-562.54533915487286</v>
      </c>
      <c r="AA56" s="21">
        <f t="shared" si="204"/>
        <v>-1929.643962204656</v>
      </c>
      <c r="AB56" s="21">
        <f t="shared" si="204"/>
        <v>-3280.2532683243053</v>
      </c>
      <c r="AC56" s="21">
        <f t="shared" si="204"/>
        <v>-5260.7817966973971</v>
      </c>
      <c r="AD56" s="21">
        <f t="shared" si="204"/>
        <v>-5726.7174869264263</v>
      </c>
      <c r="AE56" s="21">
        <f t="shared" si="204"/>
        <v>-4573.2366201799796</v>
      </c>
      <c r="AF56" s="21">
        <f t="shared" si="204"/>
        <v>-2313.7704202770515</v>
      </c>
      <c r="AG56" s="21">
        <f t="shared" si="204"/>
        <v>200.03674331771032</v>
      </c>
      <c r="AH56" s="21">
        <f t="shared" si="204"/>
        <v>726.81213923576047</v>
      </c>
      <c r="AI56" s="21">
        <f t="shared" ref="AI56" si="205">AI49*AI$55</f>
        <v>-182.45621703578917</v>
      </c>
      <c r="AJ56" s="21">
        <f t="shared" ref="AJ56:AU56" si="206">AJ49*AJ$55</f>
        <v>-1107.7539956598707</v>
      </c>
      <c r="AK56" s="21">
        <f t="shared" si="206"/>
        <v>-2627.6304857283071</v>
      </c>
      <c r="AL56" s="21">
        <f t="shared" si="206"/>
        <v>-4554.4224978471284</v>
      </c>
      <c r="AM56" s="21">
        <f t="shared" si="206"/>
        <v>-6654.4887500247596</v>
      </c>
      <c r="AN56" s="21">
        <f t="shared" si="206"/>
        <v>-8045.1869206958891</v>
      </c>
      <c r="AO56" s="21">
        <f t="shared" si="206"/>
        <v>-8524.2944373571609</v>
      </c>
      <c r="AP56" s="21">
        <f t="shared" si="206"/>
        <v>-9565.983595959744</v>
      </c>
      <c r="AQ56" s="21">
        <f t="shared" si="206"/>
        <v>-5842.5759785090086</v>
      </c>
      <c r="AR56" s="21">
        <f>AR49*AR$55-9652.32</f>
        <v>-11646.624147730694</v>
      </c>
      <c r="AS56" s="21">
        <f>AS49*AS$55</f>
        <v>1866.4277070997005</v>
      </c>
      <c r="AT56" s="21">
        <f t="shared" si="206"/>
        <v>2779.7668662598066</v>
      </c>
      <c r="AU56" s="21">
        <f t="shared" si="206"/>
        <v>1564.7534538450434</v>
      </c>
      <c r="AV56" s="21">
        <f t="shared" ref="AV56:BF56" si="207">AV49*AV$55</f>
        <v>732.06570981436539</v>
      </c>
      <c r="AW56" s="21">
        <f t="shared" si="207"/>
        <v>-163.38896857379291</v>
      </c>
      <c r="AX56" s="21">
        <f t="shared" si="207"/>
        <v>-1296.2716697215808</v>
      </c>
      <c r="AY56" s="21">
        <f t="shared" si="207"/>
        <v>-4176.8365343685937</v>
      </c>
      <c r="AZ56" s="21">
        <f t="shared" si="207"/>
        <v>-3787.8516691059694</v>
      </c>
      <c r="BA56" s="21">
        <f t="shared" si="207"/>
        <v>-1959.0108591577043</v>
      </c>
      <c r="BB56" s="21">
        <f t="shared" si="207"/>
        <v>-278.81755407642174</v>
      </c>
      <c r="BC56" s="21">
        <f t="shared" si="207"/>
        <v>-283.05419617930539</v>
      </c>
      <c r="BD56" s="21">
        <f t="shared" si="207"/>
        <v>-460.41242986319179</v>
      </c>
      <c r="BE56" s="21">
        <f t="shared" si="207"/>
        <v>-340.65921463292273</v>
      </c>
      <c r="BF56" s="21">
        <f t="shared" si="207"/>
        <v>-322.10517633682002</v>
      </c>
      <c r="BG56" s="21">
        <f t="shared" ref="BG56:BR56" si="208">BG49*BG$55</f>
        <v>-534.16931097549912</v>
      </c>
      <c r="BH56" s="21">
        <f t="shared" si="208"/>
        <v>-693.54969945401797</v>
      </c>
      <c r="BI56" s="21">
        <f t="shared" si="208"/>
        <v>-811.00295828399237</v>
      </c>
      <c r="BJ56" s="21">
        <f t="shared" si="208"/>
        <v>-614.34615540307493</v>
      </c>
      <c r="BK56" s="21">
        <f t="shared" si="208"/>
        <v>-669.89179258613888</v>
      </c>
      <c r="BL56" s="21">
        <f t="shared" si="208"/>
        <v>-557.60778188487711</v>
      </c>
      <c r="BM56" s="21">
        <f t="shared" si="208"/>
        <v>-545.5922193184274</v>
      </c>
      <c r="BN56" s="21">
        <f t="shared" si="208"/>
        <v>-504.35112419882762</v>
      </c>
      <c r="BO56" s="21">
        <f t="shared" si="208"/>
        <v>-407.4257317932678</v>
      </c>
      <c r="BP56" s="21">
        <f t="shared" si="208"/>
        <v>-239.82913247226602</v>
      </c>
      <c r="BQ56" s="21">
        <f t="shared" si="208"/>
        <v>-289.32098788027008</v>
      </c>
      <c r="BR56" s="21">
        <f t="shared" si="208"/>
        <v>-214.11384735975562</v>
      </c>
      <c r="BS56" s="21">
        <f t="shared" ref="BS56:CE56" si="209">BS49*BS$55</f>
        <v>-134.7209828033817</v>
      </c>
      <c r="BT56" s="21">
        <f t="shared" si="209"/>
        <v>-107.32682063365169</v>
      </c>
      <c r="BU56" s="21">
        <f t="shared" si="209"/>
        <v>-117.92463714639972</v>
      </c>
      <c r="BV56" s="21">
        <f t="shared" si="209"/>
        <v>-31.140497555018385</v>
      </c>
      <c r="BW56" s="21">
        <f t="shared" si="209"/>
        <v>21.949339096616146</v>
      </c>
      <c r="BX56" s="73">
        <f t="shared" si="209"/>
        <v>59.189837564004399</v>
      </c>
      <c r="BY56" s="72">
        <f t="shared" si="209"/>
        <v>55.719243662906557</v>
      </c>
      <c r="BZ56" s="21">
        <f t="shared" si="209"/>
        <v>94.567138267765955</v>
      </c>
      <c r="CA56" s="21">
        <f t="shared" si="209"/>
        <v>161.10238290632194</v>
      </c>
      <c r="CB56" s="21">
        <f t="shared" si="209"/>
        <v>248.06751523470089</v>
      </c>
      <c r="CC56" s="21">
        <f t="shared" si="209"/>
        <v>338.96902984819917</v>
      </c>
      <c r="CD56" s="21">
        <f t="shared" si="209"/>
        <v>403.58005385772401</v>
      </c>
      <c r="CE56" s="73">
        <f t="shared" si="209"/>
        <v>517.59696585430243</v>
      </c>
      <c r="CF56" s="73">
        <f t="shared" ref="CF56:CQ56" si="210">CF49*CF$55</f>
        <v>667.82282294726554</v>
      </c>
      <c r="CG56" s="73">
        <f t="shared" si="210"/>
        <v>767.44975177779827</v>
      </c>
      <c r="CH56" s="257">
        <f>((CH49+CH66)*CH$55)+'[2]MEEIA 2 calcs'!$CI$26</f>
        <v>1102.5351847664588</v>
      </c>
      <c r="CI56" s="73">
        <f t="shared" si="210"/>
        <v>866.17066806077685</v>
      </c>
      <c r="CJ56" s="73">
        <f t="shared" si="210"/>
        <v>824.10097427093365</v>
      </c>
      <c r="CK56" s="73">
        <f t="shared" si="210"/>
        <v>805.65216466484173</v>
      </c>
      <c r="CL56" s="73">
        <f t="shared" si="210"/>
        <v>765.19846850865156</v>
      </c>
      <c r="CM56" s="73">
        <f t="shared" si="210"/>
        <v>705.23022667520718</v>
      </c>
      <c r="CN56" s="73">
        <f t="shared" si="210"/>
        <v>618.20757935950223</v>
      </c>
      <c r="CO56" s="73">
        <f t="shared" si="210"/>
        <v>528.92667327165509</v>
      </c>
      <c r="CP56" s="73">
        <f t="shared" si="210"/>
        <v>439.04779041575154</v>
      </c>
      <c r="CQ56" s="73">
        <f t="shared" si="210"/>
        <v>371.69741248980836</v>
      </c>
      <c r="CR56" s="73">
        <f t="shared" ref="CR56:CT56" si="211">CR49*CR$55</f>
        <v>316.0740284340738</v>
      </c>
      <c r="CS56" s="73">
        <f t="shared" si="211"/>
        <v>233.48284038020014</v>
      </c>
      <c r="CT56" s="75">
        <f t="shared" si="211"/>
        <v>121.71290154704145</v>
      </c>
    </row>
    <row r="57" spans="1:98" x14ac:dyDescent="0.25">
      <c r="A57" t="s">
        <v>4</v>
      </c>
      <c r="B57" s="72">
        <f t="shared" ref="B57:K57" si="212">B50*B$55</f>
        <v>0</v>
      </c>
      <c r="C57" s="21">
        <f t="shared" si="212"/>
        <v>0</v>
      </c>
      <c r="D57" s="21">
        <f t="shared" si="212"/>
        <v>0</v>
      </c>
      <c r="E57" s="21">
        <f t="shared" si="212"/>
        <v>0</v>
      </c>
      <c r="F57" s="21">
        <f t="shared" si="212"/>
        <v>-0.5393094052666666</v>
      </c>
      <c r="G57" s="21">
        <f t="shared" si="212"/>
        <v>-4.7538619098044386</v>
      </c>
      <c r="H57" s="21">
        <f t="shared" si="212"/>
        <v>-5.5119961919362881</v>
      </c>
      <c r="I57" s="21">
        <f t="shared" si="212"/>
        <v>-6.7446125522088964</v>
      </c>
      <c r="J57" s="21">
        <f t="shared" si="212"/>
        <v>-1.3627163896022403</v>
      </c>
      <c r="K57" s="21">
        <f t="shared" si="212"/>
        <v>5.9873766463658793</v>
      </c>
      <c r="L57" s="21">
        <f t="shared" ref="L57:T57" si="213">L50*L$55</f>
        <v>16.877208559080231</v>
      </c>
      <c r="M57" s="21">
        <f t="shared" si="213"/>
        <v>41.172346218758335</v>
      </c>
      <c r="N57" s="21">
        <f t="shared" si="213"/>
        <v>53.721863922843802</v>
      </c>
      <c r="O57" s="21">
        <f t="shared" si="213"/>
        <v>478.69172661773558</v>
      </c>
      <c r="P57" s="21">
        <f t="shared" si="213"/>
        <v>539.61005178005666</v>
      </c>
      <c r="Q57" s="21">
        <f t="shared" si="213"/>
        <v>452.14780805083183</v>
      </c>
      <c r="R57" s="21">
        <f t="shared" si="213"/>
        <v>387.29156793060395</v>
      </c>
      <c r="S57" s="21">
        <f t="shared" si="213"/>
        <v>418.21538294604596</v>
      </c>
      <c r="T57" s="21">
        <f t="shared" si="213"/>
        <v>387.83625468807031</v>
      </c>
      <c r="U57" s="21">
        <f t="shared" ref="U57:W57" si="214">U50*U$55</f>
        <v>374.14001442308802</v>
      </c>
      <c r="V57" s="21">
        <f t="shared" si="214"/>
        <v>377.39755516348725</v>
      </c>
      <c r="W57" s="21">
        <f t="shared" si="214"/>
        <v>353.09434441499968</v>
      </c>
      <c r="X57" s="21">
        <f t="shared" ref="X57:AH57" si="215">X50*X$55</f>
        <v>310.05310824762233</v>
      </c>
      <c r="Y57" s="21">
        <f t="shared" si="215"/>
        <v>370.24857575933481</v>
      </c>
      <c r="Z57" s="21">
        <f t="shared" si="215"/>
        <v>297.75030833068882</v>
      </c>
      <c r="AA57" s="21">
        <f t="shared" si="215"/>
        <v>3.9406041177558753</v>
      </c>
      <c r="AB57" s="21">
        <f t="shared" si="215"/>
        <v>-224.44915089357252</v>
      </c>
      <c r="AC57" s="21">
        <f t="shared" si="215"/>
        <v>-454.30122601241419</v>
      </c>
      <c r="AD57" s="21">
        <f t="shared" si="215"/>
        <v>-440.76126928236306</v>
      </c>
      <c r="AE57" s="21">
        <f t="shared" si="215"/>
        <v>-342.63524389080942</v>
      </c>
      <c r="AF57" s="21">
        <f t="shared" si="215"/>
        <v>-60.758391134979696</v>
      </c>
      <c r="AG57" s="21">
        <f t="shared" si="215"/>
        <v>157.97058120549212</v>
      </c>
      <c r="AH57" s="21">
        <f t="shared" si="215"/>
        <v>463.70864427580238</v>
      </c>
      <c r="AI57" s="21">
        <f t="shared" ref="AI57" si="216">AI50*AI$55</f>
        <v>593.43282034259971</v>
      </c>
      <c r="AJ57" s="21">
        <f t="shared" ref="AJ57:AU57" si="217">AJ50*AJ$55</f>
        <v>712.14832300516912</v>
      </c>
      <c r="AK57" s="21">
        <f t="shared" si="217"/>
        <v>839.43101261503625</v>
      </c>
      <c r="AL57" s="21">
        <f t="shared" si="217"/>
        <v>889.26428089605167</v>
      </c>
      <c r="AM57" s="21">
        <f t="shared" si="217"/>
        <v>-30.116385782354985</v>
      </c>
      <c r="AN57" s="21">
        <f t="shared" si="217"/>
        <v>-573.5572202766557</v>
      </c>
      <c r="AO57" s="21">
        <f t="shared" si="217"/>
        <v>-785.16935495353812</v>
      </c>
      <c r="AP57" s="21">
        <f t="shared" si="217"/>
        <v>-971.63899041252216</v>
      </c>
      <c r="AQ57" s="21">
        <f t="shared" si="217"/>
        <v>-699.42527822064733</v>
      </c>
      <c r="AR57" s="21">
        <f>AR50*AR$55</f>
        <v>-187.7438793571834</v>
      </c>
      <c r="AS57" s="21">
        <f t="shared" si="217"/>
        <v>-90.918535693278173</v>
      </c>
      <c r="AT57" s="21">
        <f t="shared" si="217"/>
        <v>89.249612066452798</v>
      </c>
      <c r="AU57" s="21">
        <f t="shared" si="217"/>
        <v>-59.175200251075751</v>
      </c>
      <c r="AV57" s="21">
        <f t="shared" ref="AV57:BF57" si="218">AV50*AV$55</f>
        <v>-195.00103200743698</v>
      </c>
      <c r="AW57" s="21">
        <f t="shared" si="218"/>
        <v>-611.47834151709856</v>
      </c>
      <c r="AX57" s="21">
        <f t="shared" si="218"/>
        <v>-959.06451402072707</v>
      </c>
      <c r="AY57" s="21">
        <f t="shared" si="218"/>
        <v>-1016.6300702161219</v>
      </c>
      <c r="AZ57" s="21">
        <f t="shared" si="218"/>
        <v>-592.06877869043876</v>
      </c>
      <c r="BA57" s="21">
        <f t="shared" si="218"/>
        <v>-345.35131894608372</v>
      </c>
      <c r="BB57" s="21">
        <f t="shared" si="218"/>
        <v>-53.912016916615791</v>
      </c>
      <c r="BC57" s="21">
        <f t="shared" si="218"/>
        <v>-60.212389913062921</v>
      </c>
      <c r="BD57" s="21">
        <f t="shared" si="218"/>
        <v>-107.67895564141098</v>
      </c>
      <c r="BE57" s="21">
        <f t="shared" si="218"/>
        <v>-86.265132990959899</v>
      </c>
      <c r="BF57" s="21">
        <f t="shared" si="218"/>
        <v>-87.157889426154455</v>
      </c>
      <c r="BG57" s="21">
        <f t="shared" ref="BG57:BR57" si="219">BG50*BG$55</f>
        <v>-152.33081372853488</v>
      </c>
      <c r="BH57" s="21">
        <f t="shared" si="219"/>
        <v>-206.97069888999997</v>
      </c>
      <c r="BI57" s="21">
        <f t="shared" si="219"/>
        <v>-252.53014341042012</v>
      </c>
      <c r="BJ57" s="21">
        <f t="shared" si="219"/>
        <v>-199.34035552915651</v>
      </c>
      <c r="BK57" s="21">
        <f t="shared" si="219"/>
        <v>-224.17816168179598</v>
      </c>
      <c r="BL57" s="21">
        <f t="shared" si="219"/>
        <v>-187.98475756780817</v>
      </c>
      <c r="BM57" s="21">
        <f t="shared" si="219"/>
        <v>-182.65433582906749</v>
      </c>
      <c r="BN57" s="21">
        <f t="shared" si="219"/>
        <v>-166.77069905620715</v>
      </c>
      <c r="BO57" s="21">
        <f t="shared" si="219"/>
        <v>-133.60232652991621</v>
      </c>
      <c r="BP57" s="21">
        <f t="shared" si="219"/>
        <v>-79.090359630263706</v>
      </c>
      <c r="BQ57" s="21">
        <f t="shared" si="219"/>
        <v>-96.450452649373446</v>
      </c>
      <c r="BR57" s="21">
        <f t="shared" si="219"/>
        <v>-72.137126589879429</v>
      </c>
      <c r="BS57" s="21">
        <f t="shared" ref="BS57:CE57" si="220">BS50*BS$55</f>
        <v>-43.936506971051003</v>
      </c>
      <c r="BT57" s="21">
        <f t="shared" si="220"/>
        <v>-33.914015559998475</v>
      </c>
      <c r="BU57" s="21">
        <f t="shared" si="220"/>
        <v>-36.465924728884509</v>
      </c>
      <c r="BV57" s="21">
        <f t="shared" si="220"/>
        <v>-10.393196065270105</v>
      </c>
      <c r="BW57" s="21">
        <f t="shared" si="220"/>
        <v>4.3204710031512148</v>
      </c>
      <c r="BX57" s="73">
        <f t="shared" si="220"/>
        <v>12.224040241914571</v>
      </c>
      <c r="BY57" s="72">
        <f t="shared" si="220"/>
        <v>12.382381756167703</v>
      </c>
      <c r="BZ57" s="21">
        <f t="shared" si="220"/>
        <v>22.095719937635486</v>
      </c>
      <c r="CA57" s="21">
        <f t="shared" si="220"/>
        <v>39.032046312320595</v>
      </c>
      <c r="CB57" s="21">
        <f t="shared" si="220"/>
        <v>61.154462137140619</v>
      </c>
      <c r="CC57" s="21">
        <f t="shared" si="220"/>
        <v>85.606324382682445</v>
      </c>
      <c r="CD57" s="21">
        <f t="shared" si="220"/>
        <v>104.38508569452193</v>
      </c>
      <c r="CE57" s="73">
        <f t="shared" si="220"/>
        <v>137.24732340812233</v>
      </c>
      <c r="CF57" s="73">
        <f t="shared" ref="CF57:CQ57" si="221">CF50*CF$55</f>
        <v>181.17828276818983</v>
      </c>
      <c r="CG57" s="73">
        <f t="shared" si="221"/>
        <v>210.47320524801071</v>
      </c>
      <c r="CH57" s="257">
        <f>((CH50+CH67)*CH$55)+'[2]MEEIA 2 calcs'!$CI$36</f>
        <v>313.41127080208997</v>
      </c>
      <c r="CI57" s="73">
        <f t="shared" si="221"/>
        <v>240.95339865057142</v>
      </c>
      <c r="CJ57" s="73">
        <f t="shared" si="221"/>
        <v>230.17563714534754</v>
      </c>
      <c r="CK57" s="73">
        <f t="shared" si="221"/>
        <v>225.02363795828464</v>
      </c>
      <c r="CL57" s="73">
        <f t="shared" si="221"/>
        <v>212.29807629435138</v>
      </c>
      <c r="CM57" s="73">
        <f t="shared" si="221"/>
        <v>194.92225242650642</v>
      </c>
      <c r="CN57" s="73">
        <f t="shared" si="221"/>
        <v>173.16271838458189</v>
      </c>
      <c r="CO57" s="73">
        <f t="shared" si="221"/>
        <v>151.07161021242882</v>
      </c>
      <c r="CP57" s="73">
        <f t="shared" si="221"/>
        <v>126.47975981166785</v>
      </c>
      <c r="CQ57" s="73">
        <f t="shared" si="221"/>
        <v>105.84305325490861</v>
      </c>
      <c r="CR57" s="73">
        <f t="shared" ref="CR57:CT57" si="222">CR50*CR$55</f>
        <v>87.895452273044285</v>
      </c>
      <c r="CS57" s="73">
        <f t="shared" si="222"/>
        <v>66.057106324176942</v>
      </c>
      <c r="CT57" s="75">
        <f t="shared" si="222"/>
        <v>38.535530898483934</v>
      </c>
    </row>
    <row r="58" spans="1:98" x14ac:dyDescent="0.25">
      <c r="A58" t="s">
        <v>5</v>
      </c>
      <c r="B58" s="72">
        <f t="shared" ref="B58:K58" si="223">B51*B$55</f>
        <v>0</v>
      </c>
      <c r="C58" s="21">
        <f t="shared" si="223"/>
        <v>0</v>
      </c>
      <c r="D58" s="21">
        <f t="shared" si="223"/>
        <v>0</v>
      </c>
      <c r="E58" s="21">
        <f t="shared" si="223"/>
        <v>0</v>
      </c>
      <c r="F58" s="21">
        <f t="shared" si="223"/>
        <v>-1.5495162622333332</v>
      </c>
      <c r="G58" s="21">
        <f t="shared" si="223"/>
        <v>-18.904391499220328</v>
      </c>
      <c r="H58" s="21">
        <f t="shared" si="223"/>
        <v>-30.340087896858321</v>
      </c>
      <c r="I58" s="21">
        <f t="shared" si="223"/>
        <v>-44.748466039367237</v>
      </c>
      <c r="J58" s="21">
        <f t="shared" si="223"/>
        <v>-37.50270966646228</v>
      </c>
      <c r="K58" s="21">
        <f t="shared" si="223"/>
        <v>-32.872232112373126</v>
      </c>
      <c r="L58" s="21">
        <f t="shared" ref="L58:T58" si="224">L51*L$55</f>
        <v>-20.868676732477098</v>
      </c>
      <c r="M58" s="21">
        <f t="shared" si="224"/>
        <v>3.9257107474715842</v>
      </c>
      <c r="N58" s="21">
        <f t="shared" si="224"/>
        <v>29.666742518988936</v>
      </c>
      <c r="O58" s="21">
        <f t="shared" si="224"/>
        <v>527.53036565546518</v>
      </c>
      <c r="P58" s="21">
        <f t="shared" si="224"/>
        <v>486.75687733790858</v>
      </c>
      <c r="Q58" s="21">
        <f t="shared" si="224"/>
        <v>264.03814499171392</v>
      </c>
      <c r="R58" s="21">
        <f t="shared" si="224"/>
        <v>68.799280947422886</v>
      </c>
      <c r="S58" s="21">
        <f t="shared" si="224"/>
        <v>-59.978298139174889</v>
      </c>
      <c r="T58" s="21">
        <f t="shared" si="224"/>
        <v>-112.16073121019178</v>
      </c>
      <c r="U58" s="21">
        <f t="shared" ref="U58:W58" si="225">U51*U$55</f>
        <v>-189.58896603322415</v>
      </c>
      <c r="V58" s="21">
        <f t="shared" si="225"/>
        <v>-194.85375291469961</v>
      </c>
      <c r="W58" s="21">
        <f t="shared" si="225"/>
        <v>-335.66335926402445</v>
      </c>
      <c r="X58" s="21">
        <f t="shared" ref="X58:AH58" si="226">X51*X$55</f>
        <v>-417.5440670193704</v>
      </c>
      <c r="Y58" s="21">
        <f t="shared" si="226"/>
        <v>-594.65125678087077</v>
      </c>
      <c r="Z58" s="21">
        <f t="shared" si="226"/>
        <v>-676.64973701294332</v>
      </c>
      <c r="AA58" s="21">
        <f t="shared" si="226"/>
        <v>-1145.6212686730187</v>
      </c>
      <c r="AB58" s="21">
        <f t="shared" si="226"/>
        <v>-1622.4923729692152</v>
      </c>
      <c r="AC58" s="21">
        <f t="shared" si="226"/>
        <v>-2177.7528607609197</v>
      </c>
      <c r="AD58" s="21">
        <f t="shared" si="226"/>
        <v>-2196.0555919724929</v>
      </c>
      <c r="AE58" s="21">
        <f t="shared" si="226"/>
        <v>-1780.9075947711751</v>
      </c>
      <c r="AF58" s="21">
        <f t="shared" si="226"/>
        <v>-789.21294168516681</v>
      </c>
      <c r="AG58" s="21">
        <f t="shared" si="226"/>
        <v>-1.4722742788385799</v>
      </c>
      <c r="AH58" s="21">
        <f t="shared" si="226"/>
        <v>766.65112886554721</v>
      </c>
      <c r="AI58" s="21">
        <f t="shared" ref="AI58" si="227">AI51*AI$55</f>
        <v>781.11198394280609</v>
      </c>
      <c r="AJ58" s="21">
        <f t="shared" ref="AJ58:AU58" si="228">AJ51*AJ$55</f>
        <v>808.58692362258091</v>
      </c>
      <c r="AK58" s="21">
        <f t="shared" si="228"/>
        <v>982.30640256997231</v>
      </c>
      <c r="AL58" s="21">
        <f t="shared" si="228"/>
        <v>1190.7923160903551</v>
      </c>
      <c r="AM58" s="21">
        <f t="shared" si="228"/>
        <v>-40.979354991242424</v>
      </c>
      <c r="AN58" s="21">
        <f t="shared" si="228"/>
        <v>-656.86439024734648</v>
      </c>
      <c r="AO58" s="21">
        <f t="shared" si="228"/>
        <v>-1042.8841987893284</v>
      </c>
      <c r="AP58" s="21">
        <f t="shared" si="228"/>
        <v>-1608.2258327703814</v>
      </c>
      <c r="AQ58" s="21">
        <f t="shared" si="228"/>
        <v>-247.95785636900581</v>
      </c>
      <c r="AR58" s="21">
        <f t="shared" si="228"/>
        <v>1843.3420714572717</v>
      </c>
      <c r="AS58" s="21">
        <f t="shared" si="228"/>
        <v>2864.034360373555</v>
      </c>
      <c r="AT58" s="21">
        <f t="shared" si="228"/>
        <v>3515.5401259732598</v>
      </c>
      <c r="AU58" s="21">
        <f t="shared" si="228"/>
        <v>2887.6094834426062</v>
      </c>
      <c r="AV58" s="21">
        <f t="shared" ref="AV58:BF58" si="229">AV51*AV$55</f>
        <v>2094.2448647222704</v>
      </c>
      <c r="AW58" s="21">
        <f t="shared" si="229"/>
        <v>1772.3313409853304</v>
      </c>
      <c r="AX58" s="21">
        <f t="shared" si="229"/>
        <v>1314.5376436522572</v>
      </c>
      <c r="AY58" s="21">
        <f t="shared" si="229"/>
        <v>1104.8156904047923</v>
      </c>
      <c r="AZ58" s="21">
        <f t="shared" si="229"/>
        <v>1786.9649626340763</v>
      </c>
      <c r="BA58" s="21">
        <f t="shared" si="229"/>
        <v>681.40246756016745</v>
      </c>
      <c r="BB58" s="21">
        <f t="shared" si="229"/>
        <v>67.209762482662768</v>
      </c>
      <c r="BC58" s="21">
        <f t="shared" si="229"/>
        <v>35.660484328436596</v>
      </c>
      <c r="BD58" s="21">
        <f t="shared" si="229"/>
        <v>2.7892363671076592</v>
      </c>
      <c r="BE58" s="21">
        <f t="shared" si="229"/>
        <v>-34.914072881452014</v>
      </c>
      <c r="BF58" s="21">
        <f t="shared" si="229"/>
        <v>-65.590520523184253</v>
      </c>
      <c r="BG58" s="21">
        <f t="shared" ref="BG58:BR58" si="230">BG51*BG$55</f>
        <v>-153.59439166246844</v>
      </c>
      <c r="BH58" s="21">
        <f t="shared" si="230"/>
        <v>-252.51224996855709</v>
      </c>
      <c r="BI58" s="21">
        <f t="shared" si="230"/>
        <v>-355.63682410668883</v>
      </c>
      <c r="BJ58" s="21">
        <f t="shared" si="230"/>
        <v>-312.54503254076121</v>
      </c>
      <c r="BK58" s="21">
        <f t="shared" si="230"/>
        <v>-375.41308283072641</v>
      </c>
      <c r="BL58" s="21">
        <f t="shared" si="230"/>
        <v>-322.96312773357192</v>
      </c>
      <c r="BM58" s="21">
        <f t="shared" si="230"/>
        <v>-319.05947392823975</v>
      </c>
      <c r="BN58" s="21">
        <f t="shared" si="230"/>
        <v>-295.8963719545664</v>
      </c>
      <c r="BO58" s="21">
        <f t="shared" si="230"/>
        <v>-240.7206521946525</v>
      </c>
      <c r="BP58" s="21">
        <f t="shared" si="230"/>
        <v>-145.72869002543362</v>
      </c>
      <c r="BQ58" s="21">
        <f t="shared" si="230"/>
        <v>-184.43220602724173</v>
      </c>
      <c r="BR58" s="21">
        <f t="shared" si="230"/>
        <v>-147.58091136925876</v>
      </c>
      <c r="BS58" s="21">
        <f t="shared" ref="BS58:CE58" si="231">BS51*BS$55</f>
        <v>-98.004810231867978</v>
      </c>
      <c r="BT58" s="21">
        <f t="shared" si="231"/>
        <v>-84.981251552315783</v>
      </c>
      <c r="BU58" s="21">
        <f t="shared" si="231"/>
        <v>-116.12213593172436</v>
      </c>
      <c r="BV58" s="21">
        <f t="shared" si="231"/>
        <v>-77.482174940904287</v>
      </c>
      <c r="BW58" s="21">
        <f t="shared" si="231"/>
        <v>-73.306735890654792</v>
      </c>
      <c r="BX58" s="73">
        <f t="shared" si="231"/>
        <v>-153.49030958372396</v>
      </c>
      <c r="BY58" s="72">
        <f t="shared" si="231"/>
        <v>-120.12933772012889</v>
      </c>
      <c r="BZ58" s="21">
        <f t="shared" si="231"/>
        <v>-167.65993749658782</v>
      </c>
      <c r="CA58" s="21">
        <f t="shared" si="231"/>
        <v>-223.25406262852917</v>
      </c>
      <c r="CB58" s="21">
        <f t="shared" si="231"/>
        <v>-247.2468401673311</v>
      </c>
      <c r="CC58" s="21">
        <f t="shared" si="231"/>
        <v>-233.16553366928704</v>
      </c>
      <c r="CD58" s="21">
        <f t="shared" si="231"/>
        <v>-178.9770731923478</v>
      </c>
      <c r="CE58" s="73">
        <f t="shared" si="231"/>
        <v>-134.99032649128304</v>
      </c>
      <c r="CF58" s="73">
        <f t="shared" ref="CF58:CQ58" si="232">CF51*CF$55</f>
        <v>-69.240832776430977</v>
      </c>
      <c r="CG58" s="73">
        <f t="shared" si="232"/>
        <v>47.004772975279622</v>
      </c>
      <c r="CH58" s="257">
        <f>((CH51+CH68)*CH$55)+'[2]MEEIA 2 calcs'!$CI$46</f>
        <v>287.5011710048102</v>
      </c>
      <c r="CI58" s="73">
        <f t="shared" si="232"/>
        <v>249.33410100220769</v>
      </c>
      <c r="CJ58" s="73">
        <f t="shared" si="232"/>
        <v>244.21319794930508</v>
      </c>
      <c r="CK58" s="73">
        <f t="shared" si="232"/>
        <v>243.93948328237184</v>
      </c>
      <c r="CL58" s="73">
        <f t="shared" si="232"/>
        <v>233.66549457950205</v>
      </c>
      <c r="CM58" s="73">
        <f t="shared" si="232"/>
        <v>221.09127908121852</v>
      </c>
      <c r="CN58" s="73">
        <f t="shared" si="232"/>
        <v>206.07741853931293</v>
      </c>
      <c r="CO58" s="73">
        <f t="shared" si="232"/>
        <v>191.26409408312324</v>
      </c>
      <c r="CP58" s="73">
        <f t="shared" si="232"/>
        <v>173.77277615543258</v>
      </c>
      <c r="CQ58" s="73">
        <f t="shared" si="232"/>
        <v>157.37097903417336</v>
      </c>
      <c r="CR58" s="73">
        <f t="shared" ref="CR58:CT58" si="233">CR51*CR$55</f>
        <v>143.83165450373582</v>
      </c>
      <c r="CS58" s="73">
        <f t="shared" si="233"/>
        <v>129.18375149833921</v>
      </c>
      <c r="CT58" s="75">
        <f t="shared" si="233"/>
        <v>108.53108920858215</v>
      </c>
    </row>
    <row r="59" spans="1:98" x14ac:dyDescent="0.25">
      <c r="A59" t="s">
        <v>6</v>
      </c>
      <c r="B59" s="72">
        <f t="shared" ref="B59:K59" si="234">B52*B$55</f>
        <v>0</v>
      </c>
      <c r="C59" s="21">
        <f t="shared" si="234"/>
        <v>0</v>
      </c>
      <c r="D59" s="21">
        <f t="shared" si="234"/>
        <v>0</v>
      </c>
      <c r="E59" s="21">
        <f t="shared" si="234"/>
        <v>0</v>
      </c>
      <c r="F59" s="21">
        <f t="shared" si="234"/>
        <v>-1.0214870824166666</v>
      </c>
      <c r="G59" s="21">
        <f t="shared" si="234"/>
        <v>-8.6169910456603613</v>
      </c>
      <c r="H59" s="21">
        <f t="shared" si="234"/>
        <v>-17.898704851830928</v>
      </c>
      <c r="I59" s="21">
        <f t="shared" si="234"/>
        <v>-32.3605913762662</v>
      </c>
      <c r="J59" s="21">
        <f>J52*J$55</f>
        <v>-41.863062319361589</v>
      </c>
      <c r="K59" s="21">
        <f t="shared" si="234"/>
        <v>-50.380616408857584</v>
      </c>
      <c r="L59" s="21">
        <f t="shared" ref="L59:T59" si="235">L52*L$55</f>
        <v>-56.544660188163562</v>
      </c>
      <c r="M59" s="21">
        <f t="shared" si="235"/>
        <v>-70.145470613727454</v>
      </c>
      <c r="N59" s="21">
        <f t="shared" si="235"/>
        <v>-68.65967339157126</v>
      </c>
      <c r="O59" s="21">
        <f t="shared" si="235"/>
        <v>1561.3846943178723</v>
      </c>
      <c r="P59" s="21">
        <f t="shared" si="235"/>
        <v>1768.9371438551063</v>
      </c>
      <c r="Q59" s="21">
        <f t="shared" si="235"/>
        <v>1510.9528186153457</v>
      </c>
      <c r="R59" s="21">
        <f t="shared" si="235"/>
        <v>1263.8544498537399</v>
      </c>
      <c r="S59" s="21">
        <f t="shared" si="235"/>
        <v>1313.423076285799</v>
      </c>
      <c r="T59" s="21">
        <f t="shared" si="235"/>
        <v>1126.9445959685868</v>
      </c>
      <c r="U59" s="21">
        <f t="shared" ref="U59:W59" si="236">U52*U$55</f>
        <v>1039.3450717584403</v>
      </c>
      <c r="V59" s="21">
        <f t="shared" si="236"/>
        <v>878.63535585818465</v>
      </c>
      <c r="W59" s="21">
        <f t="shared" si="236"/>
        <v>614.94021884853919</v>
      </c>
      <c r="X59" s="21">
        <f t="shared" ref="X59:AH59" si="237">X52*X$55</f>
        <v>382.6423653733504</v>
      </c>
      <c r="Y59" s="21">
        <f t="shared" si="237"/>
        <v>193.03819575918774</v>
      </c>
      <c r="Z59" s="21">
        <f t="shared" si="237"/>
        <v>-99.633063788966012</v>
      </c>
      <c r="AA59" s="21">
        <f t="shared" si="237"/>
        <v>-390.08880971488958</v>
      </c>
      <c r="AB59" s="21">
        <f t="shared" si="237"/>
        <v>-729.83915889216405</v>
      </c>
      <c r="AC59" s="21">
        <f t="shared" si="237"/>
        <v>-1102.6535231883606</v>
      </c>
      <c r="AD59" s="21">
        <f t="shared" si="237"/>
        <v>-1311.7265760023683</v>
      </c>
      <c r="AE59" s="21">
        <f t="shared" si="237"/>
        <v>-1223.2703143870399</v>
      </c>
      <c r="AF59" s="21">
        <f t="shared" si="237"/>
        <v>-906.67198908750424</v>
      </c>
      <c r="AG59" s="21">
        <f t="shared" si="237"/>
        <v>-647.66805224159054</v>
      </c>
      <c r="AH59" s="21">
        <f t="shared" si="237"/>
        <v>-518.89467387098114</v>
      </c>
      <c r="AI59" s="21">
        <f t="shared" ref="AI59" si="238">AI52*AI$55</f>
        <v>-789.70674594455932</v>
      </c>
      <c r="AJ59" s="21">
        <f t="shared" ref="AJ59:AU59" si="239">AJ52*AJ$55</f>
        <v>-1046.0064108138299</v>
      </c>
      <c r="AK59" s="21">
        <f t="shared" si="239"/>
        <v>-1371.1353405081513</v>
      </c>
      <c r="AL59" s="21">
        <f t="shared" si="239"/>
        <v>-1539.4017045327669</v>
      </c>
      <c r="AM59" s="21">
        <f t="shared" si="239"/>
        <v>-1846.4571991549731</v>
      </c>
      <c r="AN59" s="21">
        <f t="shared" si="239"/>
        <v>-1924.9479885223</v>
      </c>
      <c r="AO59" s="21">
        <f t="shared" si="239"/>
        <v>-1963.086915663559</v>
      </c>
      <c r="AP59" s="21">
        <f t="shared" si="239"/>
        <v>-2076.3728889128788</v>
      </c>
      <c r="AQ59" s="21">
        <f t="shared" si="239"/>
        <v>-1180.216906212203</v>
      </c>
      <c r="AR59" s="21">
        <f t="shared" si="239"/>
        <v>102.46747176241934</v>
      </c>
      <c r="AS59" s="21">
        <f t="shared" si="239"/>
        <v>993.98805333355722</v>
      </c>
      <c r="AT59" s="21">
        <f t="shared" si="239"/>
        <v>1445.4817622153873</v>
      </c>
      <c r="AU59" s="21">
        <f t="shared" si="239"/>
        <v>1273.9836165443292</v>
      </c>
      <c r="AV59" s="21">
        <f t="shared" ref="AV59:BF59" si="240">AV52*AV$55</f>
        <v>985.97099686998013</v>
      </c>
      <c r="AW59" s="21">
        <f t="shared" si="240"/>
        <v>912.76429162233705</v>
      </c>
      <c r="AX59" s="21">
        <f t="shared" si="240"/>
        <v>805.58277555100403</v>
      </c>
      <c r="AY59" s="21">
        <f t="shared" si="240"/>
        <v>712.39645658644179</v>
      </c>
      <c r="AZ59" s="21">
        <f t="shared" si="240"/>
        <v>987.97371291431512</v>
      </c>
      <c r="BA59" s="21">
        <f t="shared" si="240"/>
        <v>398.9405691037876</v>
      </c>
      <c r="BB59" s="21">
        <f t="shared" si="240"/>
        <v>42.860977226296086</v>
      </c>
      <c r="BC59" s="21">
        <f t="shared" si="240"/>
        <v>28.101240720546855</v>
      </c>
      <c r="BD59" s="21">
        <f t="shared" si="240"/>
        <v>21.22129743630968</v>
      </c>
      <c r="BE59" s="21">
        <f t="shared" si="240"/>
        <v>0.54207724333920915</v>
      </c>
      <c r="BF59" s="21">
        <f t="shared" si="240"/>
        <v>-12.337417298003468</v>
      </c>
      <c r="BG59" s="21">
        <f t="shared" ref="BG59:BR59" si="241">BG52*BG$55</f>
        <v>-40.060813868629836</v>
      </c>
      <c r="BH59" s="21">
        <f t="shared" si="241"/>
        <v>-75.932293026933422</v>
      </c>
      <c r="BI59" s="21">
        <f t="shared" si="241"/>
        <v>-114.81775389600574</v>
      </c>
      <c r="BJ59" s="21">
        <f t="shared" si="241"/>
        <v>-103.3490936919268</v>
      </c>
      <c r="BK59" s="21">
        <f t="shared" si="241"/>
        <v>-128.71729834305319</v>
      </c>
      <c r="BL59" s="21">
        <f t="shared" si="241"/>
        <v>-112.56648781659996</v>
      </c>
      <c r="BM59" s="21">
        <f t="shared" si="241"/>
        <v>-112.20462130936816</v>
      </c>
      <c r="BN59" s="21">
        <f t="shared" si="241"/>
        <v>-104.37153610128576</v>
      </c>
      <c r="BO59" s="21">
        <f t="shared" si="241"/>
        <v>-83.760398876801659</v>
      </c>
      <c r="BP59" s="21">
        <f t="shared" si="241"/>
        <v>-48.623832321573744</v>
      </c>
      <c r="BQ59" s="21">
        <f t="shared" si="241"/>
        <v>-58.602747161904951</v>
      </c>
      <c r="BR59" s="21">
        <f t="shared" si="241"/>
        <v>-45.578597840431065</v>
      </c>
      <c r="BS59" s="21">
        <f t="shared" ref="BS59:CE59" si="242">BS52*BS$55</f>
        <v>-30.61571392902092</v>
      </c>
      <c r="BT59" s="21">
        <f t="shared" si="242"/>
        <v>-27.051099481374123</v>
      </c>
      <c r="BU59" s="21">
        <f t="shared" si="242"/>
        <v>-36.941819138329684</v>
      </c>
      <c r="BV59" s="21">
        <f t="shared" si="242"/>
        <v>-25.207385017459963</v>
      </c>
      <c r="BW59" s="21">
        <f t="shared" si="242"/>
        <v>-24.190717910108255</v>
      </c>
      <c r="BX59" s="73">
        <f t="shared" si="242"/>
        <v>-50.931846762508847</v>
      </c>
      <c r="BY59" s="72">
        <f t="shared" si="242"/>
        <v>-39.736271071967337</v>
      </c>
      <c r="BZ59" s="21">
        <f t="shared" si="242"/>
        <v>-55.576057575088129</v>
      </c>
      <c r="CA59" s="21">
        <f t="shared" si="242"/>
        <v>-74.010679090830692</v>
      </c>
      <c r="CB59" s="21">
        <f t="shared" si="242"/>
        <v>-83.840417514995394</v>
      </c>
      <c r="CC59" s="21">
        <f t="shared" si="242"/>
        <v>-81.544024572915404</v>
      </c>
      <c r="CD59" s="21">
        <f t="shared" si="242"/>
        <v>-65.56024008810607</v>
      </c>
      <c r="CE59" s="73">
        <f t="shared" si="242"/>
        <v>-53.172885264888336</v>
      </c>
      <c r="CF59" s="73">
        <f t="shared" ref="CF59:CQ59" si="243">CF52*CF$55</f>
        <v>-32.10547497041167</v>
      </c>
      <c r="CG59" s="73">
        <f t="shared" si="243"/>
        <v>2.9900840504920598</v>
      </c>
      <c r="CH59" s="257">
        <f>((CH52+CH69)*CH$55)+'[2]MEEIA 2 calcs'!$CI$56</f>
        <v>75.353809318388585</v>
      </c>
      <c r="CI59" s="73">
        <f t="shared" si="243"/>
        <v>65.70163969130175</v>
      </c>
      <c r="CJ59" s="73">
        <f t="shared" si="243"/>
        <v>65.423347582788196</v>
      </c>
      <c r="CK59" s="73">
        <f t="shared" si="243"/>
        <v>65.596151993628951</v>
      </c>
      <c r="CL59" s="73">
        <f t="shared" si="243"/>
        <v>63.249314199923099</v>
      </c>
      <c r="CM59" s="73">
        <f t="shared" si="243"/>
        <v>60.514135246207992</v>
      </c>
      <c r="CN59" s="73">
        <f t="shared" si="243"/>
        <v>57.385070759093907</v>
      </c>
      <c r="CO59" s="73">
        <f t="shared" si="243"/>
        <v>53.955324905458461</v>
      </c>
      <c r="CP59" s="73">
        <f t="shared" si="243"/>
        <v>50.014861492827336</v>
      </c>
      <c r="CQ59" s="73">
        <f t="shared" si="243"/>
        <v>46.328081284086849</v>
      </c>
      <c r="CR59" s="73">
        <f t="shared" ref="CR59:CT59" si="244">CR52*CR$55</f>
        <v>43.082138742539321</v>
      </c>
      <c r="CS59" s="73">
        <f t="shared" si="244"/>
        <v>39.538791708559557</v>
      </c>
      <c r="CT59" s="75">
        <f t="shared" si="244"/>
        <v>34.795684495528</v>
      </c>
    </row>
    <row r="60" spans="1:98" ht="15.75" thickBot="1" x14ac:dyDescent="0.3">
      <c r="A60" t="s">
        <v>7</v>
      </c>
      <c r="B60" s="72">
        <f t="shared" ref="B60:K60" si="245">B53*B$55</f>
        <v>0</v>
      </c>
      <c r="C60" s="21">
        <f t="shared" si="245"/>
        <v>0</v>
      </c>
      <c r="D60" s="21">
        <f t="shared" si="245"/>
        <v>0</v>
      </c>
      <c r="E60" s="21">
        <f t="shared" si="245"/>
        <v>0</v>
      </c>
      <c r="F60" s="21">
        <f t="shared" si="245"/>
        <v>0</v>
      </c>
      <c r="G60" s="21">
        <f t="shared" si="245"/>
        <v>-2.5406751929999998</v>
      </c>
      <c r="H60" s="21">
        <f t="shared" si="245"/>
        <v>-7.3592268311878586</v>
      </c>
      <c r="I60" s="21">
        <f t="shared" si="245"/>
        <v>-14.215720334968863</v>
      </c>
      <c r="J60" s="21">
        <f t="shared" si="245"/>
        <v>-19.290866032814765</v>
      </c>
      <c r="K60" s="21">
        <f t="shared" si="245"/>
        <v>-24.097498242389026</v>
      </c>
      <c r="L60" s="21">
        <f t="shared" ref="L60:T60" si="246">L53*L$55</f>
        <v>-28.152975906529171</v>
      </c>
      <c r="M60" s="21">
        <f t="shared" si="246"/>
        <v>-39.303208976549428</v>
      </c>
      <c r="N60" s="21">
        <f t="shared" si="246"/>
        <v>-38.328823074753458</v>
      </c>
      <c r="O60" s="21">
        <f t="shared" si="246"/>
        <v>1223.1510888564089</v>
      </c>
      <c r="P60" s="21">
        <f t="shared" si="246"/>
        <v>1412.1221094587681</v>
      </c>
      <c r="Q60" s="21">
        <f t="shared" si="246"/>
        <v>1245.5176081268712</v>
      </c>
      <c r="R60" s="21">
        <f t="shared" si="246"/>
        <v>1077.935766683669</v>
      </c>
      <c r="S60" s="21">
        <f t="shared" si="246"/>
        <v>1084.8704362505418</v>
      </c>
      <c r="T60" s="21">
        <f t="shared" si="246"/>
        <v>861.3285947528509</v>
      </c>
      <c r="U60" s="21">
        <f t="shared" ref="U60:W60" si="247">U53*U$55</f>
        <v>656.99218427980622</v>
      </c>
      <c r="V60" s="21">
        <f t="shared" si="247"/>
        <v>412.76124385360907</v>
      </c>
      <c r="W60" s="21">
        <f t="shared" si="247"/>
        <v>180.31937312473562</v>
      </c>
      <c r="X60" s="21">
        <f t="shared" ref="X60:AH60" si="248">X53*X$55</f>
        <v>-40.88418126425465</v>
      </c>
      <c r="Y60" s="21">
        <f t="shared" si="248"/>
        <v>-293.15252366424727</v>
      </c>
      <c r="Z60" s="21">
        <f t="shared" si="248"/>
        <v>-517.15798816193967</v>
      </c>
      <c r="AA60" s="21">
        <f t="shared" si="248"/>
        <v>-674.07054249275609</v>
      </c>
      <c r="AB60" s="21">
        <f t="shared" si="248"/>
        <v>-744.505762401423</v>
      </c>
      <c r="AC60" s="21">
        <f t="shared" si="248"/>
        <v>-818.5817724741338</v>
      </c>
      <c r="AD60" s="21">
        <f t="shared" si="248"/>
        <v>-749.30394258439799</v>
      </c>
      <c r="AE60" s="21">
        <f t="shared" si="248"/>
        <v>-672.35778309768375</v>
      </c>
      <c r="AF60" s="21">
        <f t="shared" si="248"/>
        <v>-519.1192043162838</v>
      </c>
      <c r="AG60" s="21">
        <f t="shared" si="248"/>
        <v>-388.99916115823731</v>
      </c>
      <c r="AH60" s="21">
        <f t="shared" si="248"/>
        <v>-292.78679212097535</v>
      </c>
      <c r="AI60" s="21">
        <f t="shared" ref="AI60" si="249">AI53*AI$55</f>
        <v>-270.66950390416946</v>
      </c>
      <c r="AJ60" s="21">
        <f t="shared" ref="AJ60:AU60" si="250">AJ53*AJ$55</f>
        <v>-239.80305033802674</v>
      </c>
      <c r="AK60" s="21">
        <f t="shared" si="250"/>
        <v>-201.15246638038025</v>
      </c>
      <c r="AL60" s="21">
        <f t="shared" si="250"/>
        <v>-138.90257148032677</v>
      </c>
      <c r="AM60" s="21">
        <f t="shared" si="250"/>
        <v>-121.60048645488557</v>
      </c>
      <c r="AN60" s="21">
        <f t="shared" si="250"/>
        <v>-120.48780343467165</v>
      </c>
      <c r="AO60" s="21">
        <f t="shared" si="250"/>
        <v>-128.90372212047055</v>
      </c>
      <c r="AP60" s="21">
        <f t="shared" si="250"/>
        <v>-118.70870337910658</v>
      </c>
      <c r="AQ60" s="21">
        <f t="shared" si="250"/>
        <v>145.71022275145006</v>
      </c>
      <c r="AR60" s="21">
        <f t="shared" si="250"/>
        <v>554.19533099393209</v>
      </c>
      <c r="AS60" s="21">
        <f t="shared" si="250"/>
        <v>802.92568563306349</v>
      </c>
      <c r="AT60" s="21">
        <f t="shared" si="250"/>
        <v>886.5320045431514</v>
      </c>
      <c r="AU60" s="21">
        <f t="shared" si="250"/>
        <v>825.90738904218529</v>
      </c>
      <c r="AV60" s="21">
        <f t="shared" ref="AV60:BF60" si="251">AV53*AV$55</f>
        <v>694.17641588094989</v>
      </c>
      <c r="AW60" s="21">
        <f t="shared" si="251"/>
        <v>724.13700081385105</v>
      </c>
      <c r="AX60" s="21">
        <f t="shared" si="251"/>
        <v>707.20312186390743</v>
      </c>
      <c r="AY60" s="21">
        <f t="shared" si="251"/>
        <v>658.72776659527722</v>
      </c>
      <c r="AZ60" s="21">
        <f t="shared" si="251"/>
        <v>717.12196423094906</v>
      </c>
      <c r="BA60" s="21">
        <f t="shared" si="251"/>
        <v>322.38634298502819</v>
      </c>
      <c r="BB60" s="21">
        <f t="shared" si="251"/>
        <v>39.535503590243977</v>
      </c>
      <c r="BC60" s="21">
        <f t="shared" si="251"/>
        <v>37.304143600969681</v>
      </c>
      <c r="BD60" s="21">
        <f t="shared" si="251"/>
        <v>49.3767375217815</v>
      </c>
      <c r="BE60" s="21">
        <f t="shared" si="251"/>
        <v>28.919505705792737</v>
      </c>
      <c r="BF60" s="21">
        <f t="shared" si="251"/>
        <v>20.800856372705098</v>
      </c>
      <c r="BG60" s="21">
        <f t="shared" ref="BG60:BR60" si="252">BG53*BG$55</f>
        <v>25.843378445761157</v>
      </c>
      <c r="BH60" s="21">
        <f t="shared" si="252"/>
        <v>23.056675085330124</v>
      </c>
      <c r="BI60" s="21">
        <f t="shared" si="252"/>
        <v>14.993968148173296</v>
      </c>
      <c r="BJ60" s="21">
        <f t="shared" si="252"/>
        <v>3.5679272179629953</v>
      </c>
      <c r="BK60" s="21">
        <f t="shared" si="252"/>
        <v>-3.3037407180676013</v>
      </c>
      <c r="BL60" s="21">
        <f t="shared" si="252"/>
        <v>-2.9102954829583068</v>
      </c>
      <c r="BM60" s="21">
        <f t="shared" si="252"/>
        <v>-3.3365146846241336</v>
      </c>
      <c r="BN60" s="21">
        <f t="shared" si="252"/>
        <v>-3.5953047286187818</v>
      </c>
      <c r="BO60" s="21">
        <f t="shared" si="252"/>
        <v>-3.4654391735367489</v>
      </c>
      <c r="BP60" s="21">
        <f t="shared" si="252"/>
        <v>-2.60401980578657</v>
      </c>
      <c r="BQ60" s="21">
        <f t="shared" si="252"/>
        <v>-4.1340523458037133</v>
      </c>
      <c r="BR60" s="21">
        <f t="shared" si="252"/>
        <v>-4.2068337941142611</v>
      </c>
      <c r="BS60" s="21">
        <f t="shared" ref="BS60:CE60" si="253">BS53*BS$55</f>
        <v>-3.4787466208487774</v>
      </c>
      <c r="BT60" s="21">
        <f t="shared" si="253"/>
        <v>-3.7107915003103931</v>
      </c>
      <c r="BU60" s="21">
        <f t="shared" si="253"/>
        <v>-6.7108100003417936</v>
      </c>
      <c r="BV60" s="21">
        <f t="shared" si="253"/>
        <v>-6.3845232495811599</v>
      </c>
      <c r="BW60" s="21">
        <f t="shared" si="253"/>
        <v>-8.3180111997003188</v>
      </c>
      <c r="BX60" s="73">
        <f t="shared" si="253"/>
        <v>-18.156644892592372</v>
      </c>
      <c r="BY60" s="72">
        <f t="shared" si="253"/>
        <v>-10.874654545965134</v>
      </c>
      <c r="BZ60" s="21">
        <f t="shared" si="253"/>
        <v>-15.692848395456528</v>
      </c>
      <c r="CA60" s="21">
        <f t="shared" si="253"/>
        <v>-21.678509461568893</v>
      </c>
      <c r="CB60" s="21">
        <f t="shared" si="253"/>
        <v>-25.451756474755538</v>
      </c>
      <c r="CC60" s="21">
        <f t="shared" si="253"/>
        <v>-26.124944789854457</v>
      </c>
      <c r="CD60" s="21">
        <f t="shared" si="253"/>
        <v>-22.474948618392339</v>
      </c>
      <c r="CE60" s="73">
        <f t="shared" si="253"/>
        <v>-20.648062862399858</v>
      </c>
      <c r="CF60" s="73">
        <f t="shared" ref="CF60:CQ60" si="254">CF53*CF$55</f>
        <v>-17.115512668296951</v>
      </c>
      <c r="CG60" s="73">
        <f t="shared" si="254"/>
        <v>-9.5745183567639014</v>
      </c>
      <c r="CH60" s="257">
        <f>((CH53+CH70)*CH$55)+'[2]MEEIA 2 calcs'!$CI$66</f>
        <v>-6.7298922076042391</v>
      </c>
      <c r="CI60" s="73">
        <f t="shared" si="254"/>
        <v>4.353509305319041</v>
      </c>
      <c r="CJ60" s="73">
        <f t="shared" si="254"/>
        <v>4.6305681823645912</v>
      </c>
      <c r="CK60" s="73">
        <f t="shared" si="254"/>
        <v>4.9873286395081973</v>
      </c>
      <c r="CL60" s="73">
        <f t="shared" si="254"/>
        <v>5.1698989165087195</v>
      </c>
      <c r="CM60" s="73">
        <f t="shared" si="254"/>
        <v>5.3626109362610039</v>
      </c>
      <c r="CN60" s="73">
        <f t="shared" si="254"/>
        <v>5.5411619847284381</v>
      </c>
      <c r="CO60" s="73">
        <f t="shared" si="254"/>
        <v>5.7715773866029618</v>
      </c>
      <c r="CP60" s="73">
        <f t="shared" si="254"/>
        <v>5.9474694528304326</v>
      </c>
      <c r="CQ60" s="73">
        <f t="shared" si="254"/>
        <v>6.0873706808572301</v>
      </c>
      <c r="CR60" s="73">
        <f t="shared" ref="CR60:CT60" si="255">CR53*CR$55</f>
        <v>6.2838422629998743</v>
      </c>
      <c r="CS60" s="73">
        <f t="shared" si="255"/>
        <v>6.4686008997396334</v>
      </c>
      <c r="CT60" s="75">
        <f t="shared" si="255"/>
        <v>6.4585180698268756</v>
      </c>
    </row>
    <row r="61" spans="1:98" ht="16.5" thickTop="1" thickBot="1" x14ac:dyDescent="0.3">
      <c r="A61" s="84" t="s">
        <v>70</v>
      </c>
      <c r="B61" s="85">
        <f>SUM(B56:B60)+SUM(B49:B53)-B64</f>
        <v>0</v>
      </c>
      <c r="C61" s="86">
        <f>SUM(C56:C60)+SUM(C49:C53)-C64</f>
        <v>0</v>
      </c>
      <c r="D61" s="86">
        <f t="shared" ref="D61:J61" si="256">SUM(D56:D60)+SUM(D49:D53)-D64</f>
        <v>0</v>
      </c>
      <c r="E61" s="86">
        <f t="shared" si="256"/>
        <v>0</v>
      </c>
      <c r="F61" s="86">
        <f>SUM(F56:F60)+SUM(F49:F53)-F64</f>
        <v>0</v>
      </c>
      <c r="G61" s="54">
        <f>SUM(G56:G60)+SUM(G49:G53)-G64</f>
        <v>0</v>
      </c>
      <c r="H61" s="86">
        <f t="shared" si="256"/>
        <v>0</v>
      </c>
      <c r="I61" s="86">
        <f t="shared" si="256"/>
        <v>0</v>
      </c>
      <c r="J61" s="86">
        <f t="shared" si="256"/>
        <v>0</v>
      </c>
      <c r="K61" s="86">
        <f>SUM(K56:K60)+SUM(K49:K53)-K64</f>
        <v>0</v>
      </c>
      <c r="L61" s="86">
        <f t="shared" ref="L61:T61" si="257">SUM(L56:L60)+SUM(L49:L53)-L64</f>
        <v>0</v>
      </c>
      <c r="M61" s="86">
        <f t="shared" si="257"/>
        <v>0</v>
      </c>
      <c r="N61" s="86">
        <f t="shared" si="257"/>
        <v>0</v>
      </c>
      <c r="O61" s="54">
        <f>SUM(O56:O60)+SUM(O49:O53)-O64</f>
        <v>0</v>
      </c>
      <c r="P61" s="54">
        <f t="shared" si="257"/>
        <v>0</v>
      </c>
      <c r="Q61" s="54">
        <f t="shared" si="257"/>
        <v>0</v>
      </c>
      <c r="R61" s="54">
        <f t="shared" si="257"/>
        <v>0</v>
      </c>
      <c r="S61" s="54">
        <f>SUM(S56:S60)+SUM(S49:S53)-S64</f>
        <v>0</v>
      </c>
      <c r="T61" s="54">
        <f t="shared" si="257"/>
        <v>0</v>
      </c>
      <c r="U61" s="54">
        <f t="shared" ref="U61" si="258">SUM(U56:U60)+SUM(U49:U53)-U64</f>
        <v>0</v>
      </c>
      <c r="V61" s="54">
        <f t="shared" ref="V61" si="259">SUM(V56:V60)+SUM(V49:V53)-V64</f>
        <v>0</v>
      </c>
      <c r="W61" s="54">
        <f t="shared" ref="W61:AH61" si="260">SUM(W56:W60)+SUM(W49:W53)-W64</f>
        <v>0</v>
      </c>
      <c r="X61" s="54">
        <f t="shared" si="260"/>
        <v>1.862645149230957E-9</v>
      </c>
      <c r="Y61" s="54">
        <f t="shared" si="260"/>
        <v>1.862645149230957E-9</v>
      </c>
      <c r="Z61" s="54">
        <f t="shared" si="260"/>
        <v>1.862645149230957E-9</v>
      </c>
      <c r="AA61" s="54">
        <f t="shared" si="260"/>
        <v>0</v>
      </c>
      <c r="AB61" s="54">
        <f t="shared" si="260"/>
        <v>0</v>
      </c>
      <c r="AC61" s="54">
        <f t="shared" si="260"/>
        <v>0</v>
      </c>
      <c r="AD61" s="54">
        <f t="shared" si="260"/>
        <v>0</v>
      </c>
      <c r="AE61" s="54">
        <f t="shared" si="260"/>
        <v>0</v>
      </c>
      <c r="AF61" s="54">
        <f t="shared" si="260"/>
        <v>0</v>
      </c>
      <c r="AG61" s="54">
        <f t="shared" si="260"/>
        <v>9.3132257461547852E-10</v>
      </c>
      <c r="AH61" s="54">
        <f t="shared" si="260"/>
        <v>0</v>
      </c>
      <c r="AI61" s="54">
        <f t="shared" ref="AI61" si="261">SUM(AI56:AI60)+SUM(AI49:AI53)-AI64</f>
        <v>7.3487171903252602E-10</v>
      </c>
      <c r="AJ61" s="54">
        <f t="shared" ref="AJ61:AU61" si="262">SUM(AJ56:AJ60)+SUM(AJ49:AJ53)-AJ64</f>
        <v>7.5669959187507629E-10</v>
      </c>
      <c r="AK61" s="54">
        <f t="shared" si="262"/>
        <v>9.3132257461547852E-10</v>
      </c>
      <c r="AL61" s="54">
        <f t="shared" si="262"/>
        <v>0</v>
      </c>
      <c r="AM61" s="54">
        <f t="shared" si="262"/>
        <v>0</v>
      </c>
      <c r="AN61" s="54">
        <f t="shared" si="262"/>
        <v>0</v>
      </c>
      <c r="AO61" s="54">
        <f t="shared" si="262"/>
        <v>0</v>
      </c>
      <c r="AP61" s="54">
        <f t="shared" si="262"/>
        <v>0</v>
      </c>
      <c r="AQ61" s="54">
        <f t="shared" si="262"/>
        <v>0</v>
      </c>
      <c r="AR61" s="54">
        <f t="shared" si="262"/>
        <v>1.5133991837501526E-9</v>
      </c>
      <c r="AS61" s="54">
        <f t="shared" si="262"/>
        <v>0</v>
      </c>
      <c r="AT61" s="54">
        <f t="shared" si="262"/>
        <v>0</v>
      </c>
      <c r="AU61" s="54">
        <f t="shared" si="262"/>
        <v>0</v>
      </c>
      <c r="AV61" s="54">
        <f t="shared" ref="AV61:BF61" si="263">SUM(AV56:AV60)+SUM(AV49:AV53)-AV64</f>
        <v>0</v>
      </c>
      <c r="AW61" s="54">
        <f t="shared" si="263"/>
        <v>0</v>
      </c>
      <c r="AX61" s="54">
        <f t="shared" si="263"/>
        <v>0</v>
      </c>
      <c r="AY61" s="54">
        <f t="shared" si="263"/>
        <v>0</v>
      </c>
      <c r="AZ61" s="54">
        <f t="shared" si="263"/>
        <v>0</v>
      </c>
      <c r="BA61" s="54">
        <f t="shared" si="263"/>
        <v>0</v>
      </c>
      <c r="BB61" s="54">
        <f t="shared" si="263"/>
        <v>0</v>
      </c>
      <c r="BC61" s="54">
        <f t="shared" si="263"/>
        <v>0</v>
      </c>
      <c r="BD61" s="54">
        <f t="shared" si="263"/>
        <v>0</v>
      </c>
      <c r="BE61" s="54">
        <f t="shared" si="263"/>
        <v>0</v>
      </c>
      <c r="BF61" s="54">
        <f t="shared" si="263"/>
        <v>0</v>
      </c>
      <c r="BG61" s="54">
        <f>SUM(BG56:BG60)+SUM(BG49:BG53)-BG64</f>
        <v>0</v>
      </c>
      <c r="BH61" s="54">
        <f t="shared" ref="BH61:BR61" si="264">SUM(BH56:BH60)+SUM(BH49:BH53)-BH64</f>
        <v>0</v>
      </c>
      <c r="BI61" s="54">
        <f t="shared" si="264"/>
        <v>0</v>
      </c>
      <c r="BJ61" s="54">
        <f t="shared" si="264"/>
        <v>0</v>
      </c>
      <c r="BK61" s="54">
        <f t="shared" si="264"/>
        <v>0</v>
      </c>
      <c r="BL61" s="54">
        <f t="shared" si="264"/>
        <v>0</v>
      </c>
      <c r="BM61" s="54">
        <f t="shared" si="264"/>
        <v>0</v>
      </c>
      <c r="BN61" s="54">
        <f t="shared" si="264"/>
        <v>0</v>
      </c>
      <c r="BO61" s="54">
        <f t="shared" si="264"/>
        <v>0</v>
      </c>
      <c r="BP61" s="54">
        <f t="shared" si="264"/>
        <v>0</v>
      </c>
      <c r="BQ61" s="54">
        <f t="shared" si="264"/>
        <v>0</v>
      </c>
      <c r="BR61" s="54">
        <f t="shared" si="264"/>
        <v>0</v>
      </c>
      <c r="BS61" s="54">
        <f>SUM(BS56:BS60)+SUM(BS49:BS53)-BS64</f>
        <v>0</v>
      </c>
      <c r="BT61" s="54">
        <f t="shared" ref="BT61:CE61" si="265">SUM(BT56:BT60)+SUM(BT49:BT53)-BT64</f>
        <v>0</v>
      </c>
      <c r="BU61" s="54">
        <f t="shared" si="265"/>
        <v>0</v>
      </c>
      <c r="BV61" s="54">
        <f t="shared" si="265"/>
        <v>1.1641532182693481E-9</v>
      </c>
      <c r="BW61" s="54">
        <f t="shared" si="265"/>
        <v>9.8953023552894592E-10</v>
      </c>
      <c r="BX61" s="105">
        <f t="shared" si="265"/>
        <v>9.8953023552894592E-10</v>
      </c>
      <c r="BY61" s="87">
        <f t="shared" si="265"/>
        <v>1.0186340659856796E-9</v>
      </c>
      <c r="BZ61" s="54">
        <f t="shared" si="265"/>
        <v>1.0186340659856796E-9</v>
      </c>
      <c r="CA61" s="54">
        <f t="shared" si="265"/>
        <v>1.0040821507573128E-9</v>
      </c>
      <c r="CB61" s="54">
        <f t="shared" si="265"/>
        <v>1.0149960871785879E-9</v>
      </c>
      <c r="CC61" s="54">
        <f t="shared" si="265"/>
        <v>9.9680619314312935E-10</v>
      </c>
      <c r="CD61" s="54">
        <f t="shared" si="265"/>
        <v>9.8953023552894592E-10</v>
      </c>
      <c r="CE61" s="105">
        <f t="shared" si="265"/>
        <v>1.0186340659856796E-9</v>
      </c>
      <c r="CF61" s="105">
        <f t="shared" ref="CF61:CQ61" si="266">SUM(CF56:CF60)+SUM(CF49:CF53)-CF64</f>
        <v>9.8953023552894592E-10</v>
      </c>
      <c r="CG61" s="105">
        <f t="shared" si="266"/>
        <v>9.8953023552894592E-10</v>
      </c>
      <c r="CH61" s="105">
        <f t="shared" si="266"/>
        <v>1.1059455573558807E-9</v>
      </c>
      <c r="CI61" s="105">
        <f t="shared" si="266"/>
        <v>1.0477378964424133E-9</v>
      </c>
      <c r="CJ61" s="105">
        <f t="shared" si="266"/>
        <v>9.8953023552894592E-10</v>
      </c>
      <c r="CK61" s="105">
        <f t="shared" si="266"/>
        <v>9.8953023552894592E-10</v>
      </c>
      <c r="CL61" s="105">
        <f t="shared" si="266"/>
        <v>1.0477378964424133E-9</v>
      </c>
      <c r="CM61" s="105">
        <f t="shared" si="266"/>
        <v>1.0477378964424133E-9</v>
      </c>
      <c r="CN61" s="105">
        <f t="shared" si="266"/>
        <v>1.0186340659856796E-9</v>
      </c>
      <c r="CO61" s="105">
        <f t="shared" si="266"/>
        <v>1.076841726899147E-9</v>
      </c>
      <c r="CP61" s="105">
        <f t="shared" si="266"/>
        <v>1.076841726899147E-9</v>
      </c>
      <c r="CQ61" s="105">
        <f t="shared" si="266"/>
        <v>1.076841726899147E-9</v>
      </c>
      <c r="CR61" s="105">
        <f t="shared" ref="CR61:CT61" si="267">SUM(CR56:CR60)+SUM(CR49:CR53)-CR64</f>
        <v>1.076841726899147E-9</v>
      </c>
      <c r="CS61" s="105">
        <f t="shared" si="267"/>
        <v>1.0622898116707802E-9</v>
      </c>
      <c r="CT61" s="88">
        <f t="shared" si="267"/>
        <v>1.0622898116707802E-9</v>
      </c>
    </row>
    <row r="62" spans="1:98" ht="16.5" thickTop="1" thickBot="1" x14ac:dyDescent="0.3">
      <c r="A62" s="84" t="s">
        <v>71</v>
      </c>
      <c r="B62" s="87">
        <f>SUM(B56:B60)-B39</f>
        <v>0</v>
      </c>
      <c r="C62" s="54">
        <f t="shared" ref="C62:I62" si="268">SUM(C56:C60)-C39</f>
        <v>0</v>
      </c>
      <c r="D62" s="54">
        <f t="shared" si="268"/>
        <v>0</v>
      </c>
      <c r="E62" s="54">
        <f t="shared" si="268"/>
        <v>-4.4190201499999526E-3</v>
      </c>
      <c r="F62" s="54">
        <f t="shared" si="268"/>
        <v>2.8282966259043363E-3</v>
      </c>
      <c r="G62" s="54">
        <f>SUM(G56:G60)-G39</f>
        <v>6.5508329572594448E-4</v>
      </c>
      <c r="H62" s="54">
        <f t="shared" si="268"/>
        <v>4.4959036100777894E-3</v>
      </c>
      <c r="I62" s="54">
        <f t="shared" si="268"/>
        <v>-3.2885115697638412E-3</v>
      </c>
      <c r="J62" s="54">
        <f>SUM(J56:J60)-J39</f>
        <v>-9.2119172089155654E-4</v>
      </c>
      <c r="K62" s="54">
        <f>SUM(K56:K60)-K39</f>
        <v>9.656908460442537E-4</v>
      </c>
      <c r="L62" s="54">
        <f>SUM(L56:L60)-L39</f>
        <v>4.3313250095593503E-3</v>
      </c>
      <c r="M62" s="54">
        <f t="shared" ref="M62:T62" si="269">SUM(M56:M60)-M39</f>
        <v>-3.434754698901088E-4</v>
      </c>
      <c r="N62" s="54">
        <f t="shared" si="269"/>
        <v>-3.1017719247756759E-3</v>
      </c>
      <c r="O62" s="54">
        <f>SUM(O56:O60)-O39</f>
        <v>-2.4565982548665488E-3</v>
      </c>
      <c r="P62" s="54">
        <f t="shared" si="269"/>
        <v>-8.8286867503484245E-4</v>
      </c>
      <c r="Q62" s="54">
        <f t="shared" si="269"/>
        <v>1.7046185748768039E-3</v>
      </c>
      <c r="R62" s="54">
        <f t="shared" si="269"/>
        <v>1.0270855009366642E-3</v>
      </c>
      <c r="S62" s="54">
        <f t="shared" si="269"/>
        <v>-3.5935513842559885E-3</v>
      </c>
      <c r="T62" s="54">
        <f t="shared" si="269"/>
        <v>-3.2612096983939409E-3</v>
      </c>
      <c r="U62" s="54">
        <f t="shared" ref="U62:W62" si="270">SUM(U56:U60)-U39</f>
        <v>1.4656542352895485E-3</v>
      </c>
      <c r="V62" s="54">
        <f t="shared" si="270"/>
        <v>-1.801897015866416E-3</v>
      </c>
      <c r="W62" s="54">
        <f t="shared" si="270"/>
        <v>-2.0669412588176783E-3</v>
      </c>
      <c r="X62" s="54">
        <f>SUM(X56:X60)-X39</f>
        <v>1.0094258263961819E-3</v>
      </c>
      <c r="Y62" s="54">
        <f t="shared" ref="Y62:AH62" si="271">SUM(Y56:Y60)-Y39</f>
        <v>4.1330799822389963E-3</v>
      </c>
      <c r="Z62" s="54">
        <f t="shared" si="271"/>
        <v>4.1802119669682725E-3</v>
      </c>
      <c r="AA62" s="54">
        <f t="shared" si="271"/>
        <v>-3.97896756476257E-3</v>
      </c>
      <c r="AB62" s="54">
        <f t="shared" si="271"/>
        <v>2.8651931916101603E-4</v>
      </c>
      <c r="AC62" s="54">
        <f t="shared" si="271"/>
        <v>-1.1791332253778819E-3</v>
      </c>
      <c r="AD62" s="54">
        <f t="shared" si="271"/>
        <v>5.1332319508219371E-3</v>
      </c>
      <c r="AE62" s="54">
        <f t="shared" si="271"/>
        <v>2.4436733110633213E-3</v>
      </c>
      <c r="AF62" s="54">
        <f t="shared" si="271"/>
        <v>-2.9465009865816683E-3</v>
      </c>
      <c r="AG62" s="54">
        <f t="shared" si="271"/>
        <v>-2.1631554640180184E-3</v>
      </c>
      <c r="AH62" s="54">
        <f t="shared" si="271"/>
        <v>4.4638515350925445E-4</v>
      </c>
      <c r="AI62" s="54">
        <f t="shared" ref="AI62" si="272">SUM(AI56:AI60)-AI39</f>
        <v>2.3374008879102348E-3</v>
      </c>
      <c r="AJ62" s="54">
        <f t="shared" ref="AJ62:AU62" si="273">SUM(AJ56:AJ60)-AJ39</f>
        <v>1.7898160226650361E-3</v>
      </c>
      <c r="AK62" s="54">
        <f t="shared" si="273"/>
        <v>-8.7743183030397631E-4</v>
      </c>
      <c r="AL62" s="54">
        <f t="shared" si="273"/>
        <v>-1.7687381478026509E-4</v>
      </c>
      <c r="AM62" s="54">
        <f t="shared" si="273"/>
        <v>-2.1764082157460507E-3</v>
      </c>
      <c r="AN62" s="54">
        <f t="shared" si="273"/>
        <v>-4.3231768631812884E-3</v>
      </c>
      <c r="AO62" s="54">
        <f t="shared" si="273"/>
        <v>1.3711159444937948E-3</v>
      </c>
      <c r="AP62" s="54">
        <f t="shared" si="273"/>
        <v>-1.1434633051976562E-5</v>
      </c>
      <c r="AQ62" s="54">
        <f t="shared" si="273"/>
        <v>4.2034405851154588E-3</v>
      </c>
      <c r="AR62" s="54">
        <f>SUM(AR56:AR60)-AR39</f>
        <v>-3.1528742529189913E-3</v>
      </c>
      <c r="AS62" s="54">
        <f t="shared" si="273"/>
        <v>-2.729253402321774E-3</v>
      </c>
      <c r="AT62" s="54">
        <f t="shared" si="273"/>
        <v>3.7105805859027896E-4</v>
      </c>
      <c r="AU62" s="54">
        <f t="shared" si="273"/>
        <v>-1.2573769117807387E-3</v>
      </c>
      <c r="AV62" s="54">
        <f t="shared" ref="AV62:BF62" si="274">SUM(AV56:AV60)-AV39</f>
        <v>-3.0447198705587653E-3</v>
      </c>
      <c r="AW62" s="54">
        <f t="shared" si="274"/>
        <v>5.3233306266520231E-3</v>
      </c>
      <c r="AX62" s="54">
        <f t="shared" si="274"/>
        <v>-2.642675139441053E-3</v>
      </c>
      <c r="AY62" s="54">
        <f t="shared" si="274"/>
        <v>3.309001796424127E-3</v>
      </c>
      <c r="AZ62" s="54">
        <f t="shared" si="274"/>
        <v>1.9198293159661262E-4</v>
      </c>
      <c r="BA62" s="54">
        <f t="shared" si="274"/>
        <v>-2.7984548049744262E-3</v>
      </c>
      <c r="BB62" s="54">
        <f t="shared" si="274"/>
        <v>-3.3276938347057694E-3</v>
      </c>
      <c r="BC62" s="54">
        <f t="shared" si="274"/>
        <v>-7.1744241517990304E-4</v>
      </c>
      <c r="BD62" s="54">
        <f t="shared" si="274"/>
        <v>-4.1141794039845081E-3</v>
      </c>
      <c r="BE62" s="54">
        <f t="shared" si="274"/>
        <v>3.1624437973505337E-3</v>
      </c>
      <c r="BF62" s="54">
        <f t="shared" si="274"/>
        <v>-1.4721145709017947E-4</v>
      </c>
      <c r="BG62" s="54">
        <f>SUM(BG56:BG60)-BG39</f>
        <v>-1.9517893711054057E-3</v>
      </c>
      <c r="BH62" s="54">
        <f t="shared" ref="BH62:BR62" si="275">SUM(BH56:BH60)-BH39</f>
        <v>1.7337458218662505E-3</v>
      </c>
      <c r="BI62" s="54">
        <f t="shared" si="275"/>
        <v>-3.7115489337793406E-3</v>
      </c>
      <c r="BJ62" s="54">
        <f t="shared" si="275"/>
        <v>-2.7099469564291212E-3</v>
      </c>
      <c r="BK62" s="54">
        <f t="shared" si="275"/>
        <v>-4.0761597820164752E-3</v>
      </c>
      <c r="BL62" s="54">
        <f t="shared" si="275"/>
        <v>-2.4504858156433329E-3</v>
      </c>
      <c r="BM62" s="54">
        <f t="shared" si="275"/>
        <v>2.8349302731385251E-3</v>
      </c>
      <c r="BN62" s="54">
        <f t="shared" si="275"/>
        <v>4.963960494251296E-3</v>
      </c>
      <c r="BO62" s="54">
        <f t="shared" si="275"/>
        <v>-4.5485681749823925E-3</v>
      </c>
      <c r="BP62" s="54">
        <f t="shared" si="275"/>
        <v>3.9657446762930704E-3</v>
      </c>
      <c r="BQ62" s="54">
        <f t="shared" si="275"/>
        <v>-4.4606459391616227E-4</v>
      </c>
      <c r="BR62" s="54">
        <f t="shared" si="275"/>
        <v>2.6830465608327358E-3</v>
      </c>
      <c r="BS62" s="54">
        <f>SUM(BS56:BS60)-BS39</f>
        <v>3.239443829670563E-3</v>
      </c>
      <c r="BT62" s="54">
        <f t="shared" ref="BT62:CE62" si="276">SUM(BT56:BT60)-BT39</f>
        <v>-3.9787276504625879E-3</v>
      </c>
      <c r="BU62" s="54">
        <f t="shared" si="276"/>
        <v>4.6730543199942076E-3</v>
      </c>
      <c r="BV62" s="54">
        <f t="shared" si="276"/>
        <v>2.2231717661327366E-3</v>
      </c>
      <c r="BW62" s="54">
        <f t="shared" si="276"/>
        <v>4.3450993039897412E-3</v>
      </c>
      <c r="BX62" s="105">
        <f t="shared" si="276"/>
        <v>5.0765670937948926E-3</v>
      </c>
      <c r="BY62" s="87">
        <f t="shared" si="276"/>
        <v>1.3620810128998073E-3</v>
      </c>
      <c r="BZ62" s="54">
        <f t="shared" si="276"/>
        <v>4.0147382689781352E-3</v>
      </c>
      <c r="CA62" s="54">
        <f t="shared" si="276"/>
        <v>1.1780377137853293E-3</v>
      </c>
      <c r="CB62" s="54">
        <f t="shared" si="276"/>
        <v>2.963214759454047E-3</v>
      </c>
      <c r="CC62" s="54">
        <f t="shared" si="276"/>
        <v>8.5119882470507946E-4</v>
      </c>
      <c r="CD62" s="54">
        <f t="shared" si="276"/>
        <v>2.8776533997358911E-3</v>
      </c>
      <c r="CE62" s="105">
        <f t="shared" si="276"/>
        <v>3.0146438536462483E-3</v>
      </c>
      <c r="CF62" s="105">
        <f t="shared" ref="CF62:CQ62" si="277">SUM(CF56:CF60)-CF39</f>
        <v>-7.1469968418114149E-4</v>
      </c>
      <c r="CG62" s="105">
        <f>SUM(CG56:CG60)-CG39</f>
        <v>3.2956948166429356E-3</v>
      </c>
      <c r="CH62" s="105">
        <f>SUM(CH56:CH60)-CH39</f>
        <v>1.5436841433711379E-3</v>
      </c>
      <c r="CI62" s="105">
        <f t="shared" si="277"/>
        <v>3.3167101767048734E-3</v>
      </c>
      <c r="CJ62" s="105">
        <f t="shared" si="277"/>
        <v>3.7251307392125454E-3</v>
      </c>
      <c r="CK62" s="105">
        <f t="shared" si="277"/>
        <v>-1.2334613645634818E-3</v>
      </c>
      <c r="CL62" s="105">
        <f t="shared" si="277"/>
        <v>1.2524989369921968E-3</v>
      </c>
      <c r="CM62" s="105">
        <f t="shared" si="277"/>
        <v>5.0436540141163277E-4</v>
      </c>
      <c r="CN62" s="105">
        <f t="shared" si="277"/>
        <v>3.9490272195052967E-3</v>
      </c>
      <c r="CO62" s="105">
        <f t="shared" si="277"/>
        <v>-7.2014073134596401E-4</v>
      </c>
      <c r="CP62" s="105">
        <f t="shared" si="277"/>
        <v>2.6573285097128974E-3</v>
      </c>
      <c r="CQ62" s="105">
        <f t="shared" si="277"/>
        <v>-3.103256165672974E-3</v>
      </c>
      <c r="CR62" s="105">
        <f t="shared" ref="CR62:CT62" si="278">SUM(CR56:CR60)-CR39</f>
        <v>-2.8837836068760225E-3</v>
      </c>
      <c r="CS62" s="105">
        <f t="shared" si="278"/>
        <v>1.0908110153877715E-3</v>
      </c>
      <c r="CT62" s="88">
        <f t="shared" si="278"/>
        <v>3.7242194624695912E-3</v>
      </c>
    </row>
    <row r="63" spans="1:98" ht="15.75" thickTop="1" x14ac:dyDescent="0.25">
      <c r="B63" s="65"/>
      <c r="G63" s="31"/>
      <c r="BY63" s="65"/>
      <c r="CT63" s="67"/>
    </row>
    <row r="64" spans="1:98" x14ac:dyDescent="0.25">
      <c r="A64" t="s">
        <v>72</v>
      </c>
      <c r="B64" s="72">
        <f>(B15-SUM(B22:B26))+SUM(B56:B60)</f>
        <v>0</v>
      </c>
      <c r="C64" s="21">
        <f t="shared" ref="C64:K64" si="279">(SUM(C15:C19)-SUM(C22:C26))+SUM(C56:C60)+B64</f>
        <v>0</v>
      </c>
      <c r="D64" s="21">
        <f t="shared" si="279"/>
        <v>0</v>
      </c>
      <c r="E64" s="21">
        <f>(SUM(E15:E19)-SUM(E22:E26))+SUM(E56:E60)+D64</f>
        <v>1329.6055809798499</v>
      </c>
      <c r="F64" s="21">
        <f t="shared" si="279"/>
        <v>-6541.091590723524</v>
      </c>
      <c r="G64" s="21">
        <f>(SUM(G15:G19)-SUM(G22:G26))+SUM(G56:G60)+F64</f>
        <v>-139667.53093564021</v>
      </c>
      <c r="H64" s="21">
        <f t="shared" si="279"/>
        <v>-191449.07643973659</v>
      </c>
      <c r="I64" s="21">
        <f t="shared" si="279"/>
        <v>-114260.33972824828</v>
      </c>
      <c r="J64" s="21">
        <f t="shared" si="279"/>
        <v>318696.50935056002</v>
      </c>
      <c r="K64" s="73">
        <f t="shared" si="279"/>
        <v>271723.33031625091</v>
      </c>
      <c r="L64" s="73">
        <f t="shared" ref="L64" si="280">(SUM(L15:L19)-SUM(L22:L26))+SUM(L56:L60)+K64</f>
        <v>341028.25464757578</v>
      </c>
      <c r="M64" s="73">
        <f t="shared" ref="M64" si="281">(SUM(M15:M19)-SUM(M22:M26))+SUM(M56:M60)+L64</f>
        <v>493325.63430410041</v>
      </c>
      <c r="N64" s="73">
        <f t="shared" ref="N64" si="282">(SUM(N15:N19)-SUM(N22:N26))+SUM(N56:N60)+M64</f>
        <v>465985.09120232839</v>
      </c>
      <c r="O64" s="73">
        <f>(SUM(O15:O19)-SUM(O22:O26))+SUM(O56:O60)+N64+N65</f>
        <v>12122508.458745729</v>
      </c>
      <c r="P64" s="73">
        <f t="shared" ref="P64" si="283">(SUM(P15:P19)-SUM(P22:P26))+SUM(P56:P60)+O64</f>
        <v>10669334.067862861</v>
      </c>
      <c r="Q64" s="73">
        <f t="shared" ref="Q64" si="284">(SUM(Q15:Q19)-SUM(Q22:Q26))+SUM(Q56:Q60)+P64</f>
        <v>9125180.1095674783</v>
      </c>
      <c r="R64" s="73">
        <f t="shared" ref="R64" si="285">(SUM(R15:R19)-SUM(R22:R26))+SUM(R56:R60)+Q64</f>
        <v>7690348.2805945631</v>
      </c>
      <c r="S64" s="73">
        <f>(SUM(S15:S19)-SUM(S22:S26))+SUM(S56:S60)+R64</f>
        <v>6751239.4870010121</v>
      </c>
      <c r="T64" s="73">
        <f t="shared" ref="T64" si="286">(SUM(T15:T19)-SUM(T22:T26))+SUM(T56:T60)+S64</f>
        <v>5977194.6137398025</v>
      </c>
      <c r="U64" s="73">
        <f t="shared" ref="U64" si="287">(SUM(U15:U19)-SUM(U22:U26))+SUM(U56:U60)+T64</f>
        <v>5292979.7952054562</v>
      </c>
      <c r="V64" s="73">
        <f t="shared" ref="V64" si="288">(SUM(V15:V19)-SUM(V22:V26))+SUM(V56:V60)+U64</f>
        <v>4554328.6234035594</v>
      </c>
      <c r="W64" s="73">
        <f t="shared" ref="W64" si="289">(SUM(W15:W19)-SUM(W22:W26))+SUM(W56:W60)+V64</f>
        <v>3112526.3313366184</v>
      </c>
      <c r="X64" s="73">
        <f t="shared" ref="X64" si="290">(SUM(X15:X19)-SUM(X22:X26))+SUM(X56:X60)+W64</f>
        <v>1984651.7123460432</v>
      </c>
      <c r="Y64" s="73">
        <f t="shared" ref="Y64" si="291">(SUM(Y15:Y19)-SUM(Y22:Y26))+SUM(Y56:Y60)+X64</f>
        <v>810020.77647912409</v>
      </c>
      <c r="Z64" s="73">
        <f t="shared" ref="Z64" si="292">(SUM(Z15:Z19)-SUM(Z22:Z26))+SUM(Z56:Z60)+Y64</f>
        <v>-1091623.6693406648</v>
      </c>
      <c r="AA64" s="73">
        <f t="shared" ref="AA64" si="293">(SUM(AA15:AA19)-SUM(AA22:AA26))+SUM(AA56:AA60)+Z64</f>
        <v>-2719539.8933196319</v>
      </c>
      <c r="AB64" s="73">
        <f t="shared" ref="AB64" si="294">(SUM(AB15:AB19)-SUM(AB22:AB26))+SUM(AB56:AB60)+AA64</f>
        <v>-3863493.4230331113</v>
      </c>
      <c r="AC64" s="73">
        <f t="shared" ref="AC64" si="295">(SUM(AC15:AC19)-SUM(AC22:AC26))+SUM(AC56:AC60)+AB64</f>
        <v>-5105394.6342122452</v>
      </c>
      <c r="AD64" s="73">
        <f t="shared" ref="AD64" si="296">(SUM(AD15:AD19)-SUM(AD22:AD26))+SUM(AD56:AD60)+AC64</f>
        <v>-5699667.009079014</v>
      </c>
      <c r="AE64" s="73">
        <f t="shared" ref="AE64" si="297">(SUM(AE15:AE19)-SUM(AE22:AE26))+SUM(AE56:AE60)+AD64</f>
        <v>-4531783.0866353381</v>
      </c>
      <c r="AF64" s="73">
        <f t="shared" ref="AF64" si="298">(SUM(AF15:AF19)-SUM(AF22:AF26))+SUM(AF56:AF60)+AE64</f>
        <v>-2351007.5095818378</v>
      </c>
      <c r="AG64" s="73">
        <f t="shared" ref="AG64" si="299">(SUM(AG15:AG19)-SUM(AG22:AG26))+SUM(AG56:AG60)+AF64</f>
        <v>-351648.76174499001</v>
      </c>
      <c r="AH64" s="73">
        <f t="shared" ref="AH64:AI64" si="300">(SUM(AH15:AH19)-SUM(AH22:AH26))+SUM(AH56:AH60)+AG64</f>
        <v>591360.5887013945</v>
      </c>
      <c r="AI64" s="73">
        <f t="shared" si="300"/>
        <v>64449.271038792795</v>
      </c>
      <c r="AJ64" s="73">
        <f t="shared" ref="AJ64" si="301">(SUM(AJ15:AJ19)-SUM(AJ22:AJ26))+SUM(AJ56:AJ60)+AI64</f>
        <v>-415334.94717139297</v>
      </c>
      <c r="AK64" s="73">
        <f t="shared" ref="AK64" si="302">(SUM(AK15:AK19)-SUM(AK22:AK26))+SUM(AK56:AK60)+AJ64</f>
        <v>-1038404.758048825</v>
      </c>
      <c r="AL64" s="73">
        <f t="shared" ref="AL64" si="303">(SUM(AL15:AL19)-SUM(AL22:AL26))+SUM(AL56:AL60)+AK64</f>
        <v>-1740645.2982257018</v>
      </c>
      <c r="AM64" s="73">
        <f t="shared" ref="AM64" si="304">(SUM(AM15:AM19)-SUM(AM22:AM26))+SUM(AM56:AM60)+AL64</f>
        <v>-3681557.9104021075</v>
      </c>
      <c r="AN64" s="73">
        <f t="shared" ref="AN64" si="305">(SUM(AN15:AN19)-SUM(AN22:AN26))+SUM(AN56:AN60)+AM64</f>
        <v>-4884403.7947252793</v>
      </c>
      <c r="AO64" s="73">
        <f t="shared" ref="AO64" si="306">(SUM(AO15:AO19)-SUM(AO22:AO26))+SUM(AO56:AO60)+AN64</f>
        <v>-5621636.4633541638</v>
      </c>
      <c r="AP64" s="73">
        <f t="shared" ref="AP64" si="307">(SUM(AP15:AP19)-SUM(AP22:AP26))+SUM(AP56:AP60)+AO64</f>
        <v>-6441982.1833656002</v>
      </c>
      <c r="AQ64" s="73">
        <f t="shared" ref="AQ64" si="308">(SUM(AQ15:AQ19)-SUM(AQ22:AQ26))+SUM(AQ56:AQ60)+AP64</f>
        <v>-3550902.5791621595</v>
      </c>
      <c r="AR64" s="73">
        <f t="shared" ref="AR64" si="309">(SUM(AR15:AR19)-SUM(AR22:AR26))+SUM(AR56:AR60)+AQ64</f>
        <v>137705.12768496387</v>
      </c>
      <c r="AS64" s="73">
        <f t="shared" ref="AS64" si="310">(SUM(AS15:AS19)-SUM(AS22:AS26))+SUM(AS56:AS60)+AR64</f>
        <v>3291474.554955713</v>
      </c>
      <c r="AT64" s="73">
        <f t="shared" ref="AT64" si="311">(SUM(AT15:AT19)-SUM(AT22:AT26))+SUM(AT56:AT60)+AS64</f>
        <v>4727028.6253267694</v>
      </c>
      <c r="AU64" s="73">
        <f>(SUM(AU15:AU19)-SUM(AU22:AU26))+SUM(AU56:AU60)+AT64</f>
        <v>3692370.6240693908</v>
      </c>
      <c r="AV64" s="73">
        <f t="shared" ref="AV64:BF64" si="312">(SUM(AV15:AV19)-SUM(AV22:AV26))+SUM(AV56:AV60)+AU64</f>
        <v>2853309.0810246728</v>
      </c>
      <c r="AW64" s="73">
        <f t="shared" si="312"/>
        <v>1653240.0663480032</v>
      </c>
      <c r="AX64" s="73">
        <f t="shared" si="312"/>
        <v>363915.81370532792</v>
      </c>
      <c r="AY64" s="73">
        <f t="shared" si="312"/>
        <v>-1810802.8929856713</v>
      </c>
      <c r="AZ64" s="73">
        <f t="shared" si="312"/>
        <v>-565028.64279369148</v>
      </c>
      <c r="BA64" s="73">
        <f t="shared" si="312"/>
        <v>-1153811.0355921439</v>
      </c>
      <c r="BB64" s="73">
        <f t="shared" si="312"/>
        <v>-1702771.6489198403</v>
      </c>
      <c r="BC64" s="73">
        <f t="shared" si="312"/>
        <v>-2313690.7996372804</v>
      </c>
      <c r="BD64" s="73">
        <f t="shared" si="312"/>
        <v>-3065845.0137514602</v>
      </c>
      <c r="BE64" s="73">
        <f t="shared" si="312"/>
        <v>-3799181.910589017</v>
      </c>
      <c r="BF64" s="73">
        <f t="shared" si="312"/>
        <v>-4516979.0007362273</v>
      </c>
      <c r="BG64" s="73">
        <f>(SUM(BG15:BG19)-SUM(BG22:BG26))+SUM(BG56:BG60)+BF64</f>
        <v>-5126726.0226880163</v>
      </c>
      <c r="BH64" s="73">
        <f t="shared" ref="BH64" si="313">(SUM(BH15:BH19)-SUM(BH22:BH26))+SUM(BH56:BH60)+BG64</f>
        <v>-5733526.4209542722</v>
      </c>
      <c r="BI64" s="73">
        <f t="shared" ref="BI64" si="314">(SUM(BI15:BI19)-SUM(BI22:BI26))+SUM(BI56:BI60)+BH64</f>
        <v>-6404043.954665822</v>
      </c>
      <c r="BJ64" s="73">
        <f t="shared" ref="BJ64" si="315">(SUM(BJ15:BJ19)-SUM(BJ22:BJ26))+SUM(BJ56:BJ60)+BI64</f>
        <v>-7138231.8773757685</v>
      </c>
      <c r="BK64" s="73">
        <f t="shared" ref="BK64" si="316">(SUM(BK15:BK19)-SUM(BK22:BK26))+SUM(BK56:BK60)+BJ64</f>
        <v>-7243786.3914519278</v>
      </c>
      <c r="BL64" s="73">
        <f t="shared" ref="BL64" si="317">(SUM(BL15:BL19)-SUM(BL22:BL26))+SUM(BL56:BL60)+BK64</f>
        <v>-6650748.043902413</v>
      </c>
      <c r="BM64" s="73">
        <f t="shared" ref="BM64" si="318">(SUM(BM15:BM19)-SUM(BM22:BM26))+SUM(BM56:BM60)+BL64</f>
        <v>-6199625.9010674823</v>
      </c>
      <c r="BN64" s="73">
        <f t="shared" ref="BN64" si="319">(SUM(BN15:BN19)-SUM(BN22:BN26))+SUM(BN56:BN60)+BM64</f>
        <v>-5752938.9861035254</v>
      </c>
      <c r="BO64" s="73">
        <f t="shared" ref="BO64" si="320">(SUM(BO15:BO19)-SUM(BO22:BO26))+SUM(BO56:BO60)+BN64</f>
        <v>-5171823.2006520908</v>
      </c>
      <c r="BP64" s="73">
        <f t="shared" ref="BP64" si="321">(SUM(BP15:BP19)-SUM(BP22:BP26))+SUM(BP56:BP60)+BO64</f>
        <v>-4436600.9866863452</v>
      </c>
      <c r="BQ64" s="73">
        <f t="shared" ref="BQ64" si="322">(SUM(BQ15:BQ19)-SUM(BQ22:BQ26))+SUM(BQ56:BQ60)+BP64</f>
        <v>-3703861.797132411</v>
      </c>
      <c r="BR64" s="73">
        <f t="shared" ref="BR64" si="323">(SUM(BR15:BR19)-SUM(BR22:BR26))+SUM(BR56:BR60)+BQ64</f>
        <v>-3003804.8944493649</v>
      </c>
      <c r="BS64" s="73">
        <f>(SUM(BS15:BS19)-SUM(BS22:BS26))+SUM(BS56:BS60)+BR64</f>
        <v>-2486364.8412099201</v>
      </c>
      <c r="BT64" s="73">
        <f t="shared" ref="BT64:CD64" si="324">(SUM(BT15:BT19)-SUM(BT22:BT26))+SUM(BT56:BT60)+BS64</f>
        <v>-2013068.0751886482</v>
      </c>
      <c r="BU64" s="73">
        <f t="shared" si="324"/>
        <v>-1447724.9105155952</v>
      </c>
      <c r="BV64" s="73">
        <f t="shared" si="324"/>
        <v>-771015.74829242192</v>
      </c>
      <c r="BW64" s="73">
        <f t="shared" si="324"/>
        <v>-322726.52394732524</v>
      </c>
      <c r="BX64" s="73">
        <f t="shared" si="324"/>
        <v>-263697.52887075813</v>
      </c>
      <c r="BY64" s="210">
        <f t="shared" si="324"/>
        <v>-205237.68750867713</v>
      </c>
      <c r="BZ64" s="73">
        <f t="shared" si="324"/>
        <v>-154611.48349393887</v>
      </c>
      <c r="CA64" s="73">
        <f t="shared" si="324"/>
        <v>-96069.982315901143</v>
      </c>
      <c r="CB64" s="73">
        <f t="shared" si="324"/>
        <v>-27654.999352686384</v>
      </c>
      <c r="CC64" s="73">
        <f t="shared" si="324"/>
        <v>39275.201498512441</v>
      </c>
      <c r="CD64" s="73">
        <f t="shared" si="324"/>
        <v>101991.26437616584</v>
      </c>
      <c r="CE64" s="73">
        <f>(SUM(CE15:CE19)-SUM(CE22:CE26))+SUM(CE56:CE60)+CD64</f>
        <v>154688.42739080969</v>
      </c>
      <c r="CF64" s="73">
        <f t="shared" ref="CF64:CQ64" si="325">(SUM(CF15:CF19)-SUM(CF22:CF26))+SUM(CF56:CF60)+CE64</f>
        <v>205263.22667611</v>
      </c>
      <c r="CG64" s="73">
        <f t="shared" si="325"/>
        <v>265660.39997180481</v>
      </c>
      <c r="CH64" s="73">
        <f t="shared" si="325"/>
        <v>329910.29151548893</v>
      </c>
      <c r="CI64" s="73">
        <f t="shared" si="325"/>
        <v>354527.87483219913</v>
      </c>
      <c r="CJ64" s="73">
        <f t="shared" si="325"/>
        <v>330515.90855732985</v>
      </c>
      <c r="CK64" s="73">
        <f t="shared" si="325"/>
        <v>308894.12732386851</v>
      </c>
      <c r="CL64" s="73">
        <f t="shared" si="325"/>
        <v>289539.34857636743</v>
      </c>
      <c r="CM64" s="73">
        <f t="shared" si="325"/>
        <v>265244.87908073282</v>
      </c>
      <c r="CN64" s="73">
        <f t="shared" si="325"/>
        <v>234851.90302976003</v>
      </c>
      <c r="CO64" s="73">
        <f t="shared" si="325"/>
        <v>203302.40230961927</v>
      </c>
      <c r="CP64" s="73">
        <f t="shared" si="325"/>
        <v>173205.97496694775</v>
      </c>
      <c r="CQ64" s="73">
        <f t="shared" si="325"/>
        <v>150175.11186369156</v>
      </c>
      <c r="CR64" s="73">
        <f t="shared" ref="CR64" si="326">(SUM(CR15:CR19)-SUM(CR22:CR26))+SUM(CR56:CR60)+CQ64</f>
        <v>129527.18897990795</v>
      </c>
      <c r="CS64" s="73">
        <f t="shared" ref="CS64" si="327">(SUM(CS15:CS19)-SUM(CS22:CS26))+SUM(CS56:CS60)+CR64</f>
        <v>103164.16007071894</v>
      </c>
      <c r="CT64" s="75">
        <f t="shared" ref="CT64" si="328">(SUM(CT15:CT19)-SUM(CT22:CT26))+SUM(CT56:CT60)+CS64</f>
        <v>69484.073794938362</v>
      </c>
    </row>
    <row r="65" spans="1:98" x14ac:dyDescent="0.25">
      <c r="A65" t="s">
        <v>103</v>
      </c>
      <c r="B65" s="65"/>
      <c r="N65" s="139">
        <v>13541922</v>
      </c>
      <c r="BY65" s="65"/>
      <c r="CH65" s="280">
        <f>SUM(CH66:CH70)</f>
        <v>461.98306154853339</v>
      </c>
      <c r="CT65" s="67"/>
    </row>
    <row r="66" spans="1:98" x14ac:dyDescent="0.25">
      <c r="A66" s="136" t="s">
        <v>0</v>
      </c>
      <c r="B66" s="65"/>
      <c r="N66" s="131">
        <v>7611905</v>
      </c>
      <c r="U66" s="130"/>
      <c r="V66" s="130"/>
      <c r="W66" s="130"/>
      <c r="X66" s="130"/>
      <c r="Y66" s="130"/>
      <c r="Z66" s="130"/>
      <c r="AA66" s="130"/>
      <c r="AB66" s="130"/>
      <c r="AC66" s="130"/>
      <c r="AD66" s="130"/>
      <c r="AE66" s="130"/>
      <c r="AF66" s="130"/>
      <c r="AG66" s="130"/>
      <c r="AH66" s="130"/>
      <c r="AI66" s="130"/>
      <c r="AJ66" s="130"/>
      <c r="AK66" s="130"/>
      <c r="AL66" s="130"/>
      <c r="AM66" s="130"/>
      <c r="AN66" s="130"/>
      <c r="AO66" s="130"/>
      <c r="BY66" s="65"/>
      <c r="CH66" s="300">
        <f>+'[2]MEEIA 2 calcs'!$CI$26</f>
        <v>246.65649828314054</v>
      </c>
      <c r="CT66" s="67"/>
    </row>
    <row r="67" spans="1:98" x14ac:dyDescent="0.25">
      <c r="A67" s="136" t="s">
        <v>4</v>
      </c>
      <c r="B67" s="65"/>
      <c r="N67" s="131">
        <v>668388</v>
      </c>
      <c r="BY67" s="65"/>
      <c r="CH67" s="300">
        <f>+'[2]MEEIA 2 calcs'!$CI$36</f>
        <v>76.803899278672134</v>
      </c>
      <c r="CT67" s="67"/>
    </row>
    <row r="68" spans="1:98" x14ac:dyDescent="0.25">
      <c r="A68" s="136" t="s">
        <v>5</v>
      </c>
      <c r="B68" s="65"/>
      <c r="E68" s="35"/>
      <c r="F68" s="35"/>
      <c r="G68" s="35"/>
      <c r="H68" s="35"/>
      <c r="I68" s="35"/>
      <c r="J68" s="35"/>
      <c r="K68" s="35"/>
      <c r="L68" s="35"/>
      <c r="M68" s="35"/>
      <c r="N68" s="131">
        <v>905881</v>
      </c>
      <c r="P68" s="35"/>
      <c r="Q68" s="35"/>
      <c r="R68" s="35"/>
      <c r="S68" s="35"/>
      <c r="T68" s="35"/>
      <c r="U68" s="31"/>
      <c r="V68" s="31"/>
      <c r="W68" s="31"/>
      <c r="X68" s="31"/>
      <c r="Y68" s="31"/>
      <c r="Z68" s="31"/>
      <c r="AA68" s="31"/>
      <c r="AB68" s="31"/>
      <c r="AC68" s="31"/>
      <c r="AD68" s="31"/>
      <c r="AE68" s="31"/>
      <c r="AF68" s="31"/>
      <c r="AG68" s="31"/>
      <c r="AH68" s="31"/>
      <c r="AI68" s="31"/>
      <c r="AJ68" s="31"/>
      <c r="AK68" s="31"/>
      <c r="AL68" s="31"/>
      <c r="AM68" s="31"/>
      <c r="AN68" s="31"/>
      <c r="AO68" s="31"/>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08"/>
      <c r="BZ68" s="35"/>
      <c r="CA68" s="35"/>
      <c r="CB68" s="35"/>
      <c r="CC68" s="35"/>
      <c r="CD68" s="35"/>
      <c r="CE68" s="35"/>
      <c r="CF68" s="35"/>
      <c r="CG68" s="35"/>
      <c r="CH68" s="300">
        <f>+'[2]MEEIA 2 calcs'!$CI$46</f>
        <v>108.16251961473517</v>
      </c>
      <c r="CI68" s="35"/>
      <c r="CJ68" s="35"/>
      <c r="CK68" s="35"/>
      <c r="CL68" s="35"/>
      <c r="CM68" s="35"/>
      <c r="CN68" s="35"/>
      <c r="CO68" s="35"/>
      <c r="CP68" s="35"/>
      <c r="CQ68" s="35"/>
      <c r="CR68" s="35"/>
      <c r="CS68" s="35"/>
      <c r="CT68" s="301"/>
    </row>
    <row r="69" spans="1:98" x14ac:dyDescent="0.25">
      <c r="A69" s="136" t="s">
        <v>6</v>
      </c>
      <c r="B69" s="65"/>
      <c r="N69" s="131">
        <v>2477462</v>
      </c>
      <c r="BY69" s="65"/>
      <c r="CH69" s="300">
        <f>+'[2]MEEIA 2 calcs'!$CI$56</f>
        <v>34.920399904920714</v>
      </c>
      <c r="CT69" s="67"/>
    </row>
    <row r="70" spans="1:98" ht="15.75" thickBot="1" x14ac:dyDescent="0.3">
      <c r="A70" s="136" t="s">
        <v>7</v>
      </c>
      <c r="B70" s="89"/>
      <c r="C70" s="90"/>
      <c r="D70" s="90"/>
      <c r="E70" s="141"/>
      <c r="F70" s="141"/>
      <c r="G70" s="141"/>
      <c r="H70" s="141"/>
      <c r="I70" s="141"/>
      <c r="J70" s="141"/>
      <c r="K70" s="141"/>
      <c r="L70" s="141"/>
      <c r="M70" s="141"/>
      <c r="N70" s="140">
        <v>1878286</v>
      </c>
      <c r="O70" s="90"/>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309"/>
      <c r="BZ70" s="141"/>
      <c r="CA70" s="141"/>
      <c r="CB70" s="141"/>
      <c r="CC70" s="141"/>
      <c r="CD70" s="141"/>
      <c r="CE70" s="141"/>
      <c r="CF70" s="141"/>
      <c r="CG70" s="141"/>
      <c r="CH70" s="281">
        <f>+'[2]MEEIA 2 calcs'!$CI$66</f>
        <v>-4.5602555329351731</v>
      </c>
      <c r="CI70" s="141"/>
      <c r="CJ70" s="141"/>
      <c r="CK70" s="141"/>
      <c r="CL70" s="141"/>
      <c r="CM70" s="141"/>
      <c r="CN70" s="141"/>
      <c r="CO70" s="141"/>
      <c r="CP70" s="141"/>
      <c r="CQ70" s="141"/>
      <c r="CR70" s="141"/>
      <c r="CS70" s="141"/>
      <c r="CT70" s="302"/>
    </row>
    <row r="71" spans="1:98" x14ac:dyDescent="0.25">
      <c r="B71" s="5"/>
      <c r="C71" s="5"/>
      <c r="D71" s="5"/>
      <c r="E71" s="5"/>
      <c r="F71" s="5"/>
      <c r="G71" s="5"/>
      <c r="H71" s="5"/>
    </row>
    <row r="72" spans="1:98" x14ac:dyDescent="0.25">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230"/>
      <c r="BG72" s="31"/>
      <c r="BH72" s="31"/>
      <c r="BI72" s="31"/>
      <c r="BJ72" s="31"/>
      <c r="BK72" s="31"/>
      <c r="BL72" s="31"/>
      <c r="BM72" s="31"/>
      <c r="BN72" s="31"/>
      <c r="BO72" s="31"/>
      <c r="BP72" s="31"/>
      <c r="BQ72" s="31"/>
      <c r="BR72" s="31"/>
      <c r="BS72" s="230"/>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row>
    <row r="73" spans="1:98" x14ac:dyDescent="0.25">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row>
    <row r="75" spans="1:98" x14ac:dyDescent="0.25">
      <c r="C75" s="5"/>
      <c r="D75" s="5"/>
      <c r="E75" s="5"/>
      <c r="F75" s="5"/>
      <c r="G75" s="5"/>
      <c r="H75" s="5"/>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79998168889431442"/>
  </sheetPr>
  <dimension ref="A1:CG75"/>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R8" sqref="R8"/>
    </sheetView>
  </sheetViews>
  <sheetFormatPr defaultColWidth="9.140625" defaultRowHeight="15" x14ac:dyDescent="0.25"/>
  <cols>
    <col min="1" max="1" width="17.5703125" customWidth="1"/>
    <col min="2" max="2" width="16" customWidth="1"/>
    <col min="3" max="3" width="14.5703125" customWidth="1"/>
    <col min="4" max="4" width="15.140625" customWidth="1"/>
    <col min="5" max="5" width="16.140625" customWidth="1"/>
    <col min="6" max="6" width="14.28515625" bestFit="1" customWidth="1"/>
    <col min="7" max="7" width="16" customWidth="1"/>
    <col min="8" max="9" width="14.28515625" bestFit="1" customWidth="1"/>
    <col min="10" max="10" width="15.5703125" customWidth="1"/>
    <col min="11" max="71" width="14" customWidth="1"/>
    <col min="72" max="72" width="19.140625" bestFit="1" customWidth="1"/>
    <col min="73" max="74" width="15.5703125" customWidth="1"/>
    <col min="75" max="75" width="17.28515625" customWidth="1"/>
  </cols>
  <sheetData>
    <row r="1" spans="1:85" x14ac:dyDescent="0.25">
      <c r="A1" t="s">
        <v>155</v>
      </c>
    </row>
    <row r="2" spans="1:85" x14ac:dyDescent="0.25">
      <c r="B2" s="125" t="s">
        <v>99</v>
      </c>
      <c r="H2" s="2" t="s">
        <v>26</v>
      </c>
      <c r="I2" s="2"/>
    </row>
    <row r="3" spans="1:85" x14ac:dyDescent="0.25">
      <c r="B3" s="52" t="s">
        <v>161</v>
      </c>
      <c r="C3" s="52" t="s">
        <v>63</v>
      </c>
      <c r="D3" s="52" t="s">
        <v>75</v>
      </c>
      <c r="E3" s="52" t="s">
        <v>90</v>
      </c>
      <c r="F3" s="52" t="s">
        <v>64</v>
      </c>
      <c r="G3" s="52" t="s">
        <v>65</v>
      </c>
      <c r="I3" s="2" t="s">
        <v>89</v>
      </c>
      <c r="AJ3" s="17"/>
    </row>
    <row r="4" spans="1:85" x14ac:dyDescent="0.25">
      <c r="A4" s="19" t="s">
        <v>0</v>
      </c>
      <c r="B4" s="21">
        <f>BJ66</f>
        <v>27278.026782997076</v>
      </c>
      <c r="C4" s="21">
        <f>SUM(B29:BV29)</f>
        <v>52640012.513458371</v>
      </c>
      <c r="D4" s="21">
        <f>SUM(B15:BV15)</f>
        <v>51424109.32066264</v>
      </c>
      <c r="E4" s="21">
        <f>+B4-C4+D4</f>
        <v>-1188625.1660127342</v>
      </c>
      <c r="F4" s="21">
        <f>SUM(B56:BV56)</f>
        <v>83585.582668318835</v>
      </c>
      <c r="G4" s="26">
        <f>E4+F4</f>
        <v>-1105039.5833444153</v>
      </c>
      <c r="I4" s="2" t="s">
        <v>97</v>
      </c>
      <c r="AJ4" s="17"/>
    </row>
    <row r="5" spans="1:85" x14ac:dyDescent="0.25">
      <c r="A5" s="19" t="s">
        <v>4</v>
      </c>
      <c r="B5" s="21">
        <f t="shared" ref="B5:B8" si="0">BJ67</f>
        <v>8636.4981081285168</v>
      </c>
      <c r="C5" s="21">
        <f>SUM(B30:BV30)</f>
        <v>12087442.278299395</v>
      </c>
      <c r="D5" s="21">
        <f>SUM(B16:BV16)</f>
        <v>12217568.402596114</v>
      </c>
      <c r="E5" s="21">
        <f t="shared" ref="E5:E8" si="1">+B5-C5+D5</f>
        <v>138762.62240484729</v>
      </c>
      <c r="F5" s="21">
        <f>SUM(B57:BV57)</f>
        <v>-23447.90786953556</v>
      </c>
      <c r="G5" s="26">
        <f>E5+F5</f>
        <v>115314.71453531174</v>
      </c>
      <c r="I5" s="2" t="s">
        <v>98</v>
      </c>
      <c r="AJ5" s="17"/>
    </row>
    <row r="6" spans="1:85" x14ac:dyDescent="0.25">
      <c r="A6" s="19" t="s">
        <v>5</v>
      </c>
      <c r="B6" s="21">
        <f t="shared" si="0"/>
        <v>24323.748103855072</v>
      </c>
      <c r="C6" s="21">
        <f>SUM(B31:BV31)</f>
        <v>27742661.916166086</v>
      </c>
      <c r="D6" s="21">
        <f>SUM(B17:BV17)</f>
        <v>26348451.431796212</v>
      </c>
      <c r="E6" s="21">
        <f t="shared" si="1"/>
        <v>-1369886.7362660207</v>
      </c>
      <c r="F6" s="21">
        <f>SUM(B58:BV58)</f>
        <v>41142.808804023858</v>
      </c>
      <c r="G6" s="26">
        <f>E6+F6</f>
        <v>-1328743.9274619969</v>
      </c>
      <c r="I6" s="2" t="s">
        <v>116</v>
      </c>
      <c r="AJ6" s="17"/>
      <c r="AY6" s="267"/>
    </row>
    <row r="7" spans="1:85" x14ac:dyDescent="0.25">
      <c r="A7" s="19" t="s">
        <v>6</v>
      </c>
      <c r="B7" s="21">
        <f t="shared" si="0"/>
        <v>7798.3319889460026</v>
      </c>
      <c r="C7" s="21">
        <f>SUM(B32:BV32)</f>
        <v>7811843.434306494</v>
      </c>
      <c r="D7" s="21">
        <f>SUM(B18:BV18)</f>
        <v>7596231.848096014</v>
      </c>
      <c r="E7" s="21">
        <f t="shared" si="1"/>
        <v>-207813.25422153436</v>
      </c>
      <c r="F7" s="21">
        <f>SUM(B59:BV59)</f>
        <v>-63357.111102660019</v>
      </c>
      <c r="G7" s="26">
        <f>E7+F7</f>
        <v>-271170.36532419437</v>
      </c>
      <c r="I7" s="2" t="s">
        <v>81</v>
      </c>
      <c r="P7" s="31"/>
      <c r="AB7" s="31"/>
      <c r="AJ7" s="17"/>
      <c r="AY7" s="267"/>
    </row>
    <row r="8" spans="1:85" ht="15.75" thickBot="1" x14ac:dyDescent="0.3">
      <c r="A8" s="19" t="s">
        <v>7</v>
      </c>
      <c r="B8" s="21">
        <f t="shared" si="0"/>
        <v>1447.4688110127506</v>
      </c>
      <c r="C8" s="21">
        <f>SUM(B33:BV33)</f>
        <v>1354905.6724099121</v>
      </c>
      <c r="D8" s="21">
        <f>SUM(B19:BV19)</f>
        <v>1455976.6195923514</v>
      </c>
      <c r="E8" s="21">
        <f t="shared" si="1"/>
        <v>102518.41599345207</v>
      </c>
      <c r="F8" s="21">
        <f>SUM(B60:BV60)</f>
        <v>-5196.8674086835035</v>
      </c>
      <c r="G8" s="26">
        <f>E8+F8</f>
        <v>97321.548584768563</v>
      </c>
      <c r="I8" s="2" t="s">
        <v>95</v>
      </c>
      <c r="O8" s="31"/>
      <c r="AA8" s="31"/>
      <c r="AY8" s="267"/>
    </row>
    <row r="9" spans="1:85" ht="16.5" thickTop="1" thickBot="1" x14ac:dyDescent="0.3">
      <c r="B9" s="54">
        <f>SUM(B4:B8)</f>
        <v>69484.07379493941</v>
      </c>
      <c r="C9" s="54">
        <f t="shared" ref="C9:G9" si="2">SUM(C4:C8)</f>
        <v>101636865.81464024</v>
      </c>
      <c r="D9" s="54">
        <f t="shared" si="2"/>
        <v>99042337.622743338</v>
      </c>
      <c r="E9" s="54">
        <f t="shared" si="2"/>
        <v>-2525044.1181019899</v>
      </c>
      <c r="F9" s="54">
        <f t="shared" si="2"/>
        <v>32726.505091463609</v>
      </c>
      <c r="G9" s="54">
        <f t="shared" si="2"/>
        <v>-2492317.6130105266</v>
      </c>
      <c r="I9" s="2" t="s">
        <v>115</v>
      </c>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267"/>
      <c r="AZ9" s="31"/>
      <c r="BA9" s="31"/>
      <c r="BB9" s="31"/>
      <c r="BC9" s="31"/>
      <c r="BD9" s="31"/>
      <c r="BE9" s="31"/>
      <c r="BF9" s="31"/>
      <c r="BG9" s="31"/>
      <c r="BH9" s="31"/>
      <c r="BI9" s="31"/>
      <c r="BJ9" s="31"/>
      <c r="BK9" s="31"/>
      <c r="BL9" s="31"/>
      <c r="BM9" s="31"/>
      <c r="BN9" s="31"/>
      <c r="BO9" s="31"/>
      <c r="BP9" s="31"/>
      <c r="BQ9" s="31"/>
      <c r="BR9" s="31"/>
      <c r="BS9" s="31"/>
      <c r="BT9" s="31"/>
    </row>
    <row r="10" spans="1:85" ht="16.5" thickTop="1" thickBot="1" x14ac:dyDescent="0.3">
      <c r="E10" s="198" t="s">
        <v>25</v>
      </c>
      <c r="F10" s="201">
        <f>F9-SUM(B39:BV39)</f>
        <v>-0.81490853637660621</v>
      </c>
      <c r="N10" s="31"/>
      <c r="Z10" s="31"/>
      <c r="AY10" s="267"/>
    </row>
    <row r="11" spans="1:85" ht="15.75" thickTop="1" x14ac:dyDescent="0.25">
      <c r="B11" s="31"/>
      <c r="E11" s="3"/>
      <c r="F11" s="31"/>
    </row>
    <row r="12" spans="1:85" ht="15.75" thickBot="1" x14ac:dyDescent="0.3">
      <c r="B12" s="17"/>
      <c r="C12" s="17"/>
      <c r="D12" s="17"/>
      <c r="E12" s="17"/>
      <c r="F12" s="17"/>
      <c r="G12" s="17"/>
      <c r="H12" s="17"/>
      <c r="I12" s="17"/>
      <c r="J12" s="17"/>
      <c r="K12" s="17"/>
      <c r="L12" s="17"/>
      <c r="M12" s="17"/>
      <c r="N12" s="17"/>
      <c r="O12" s="17"/>
      <c r="P12" s="17"/>
      <c r="Q12" s="17"/>
      <c r="R12" s="17"/>
      <c r="S12" s="17"/>
      <c r="T12" s="17"/>
      <c r="U12" s="17"/>
      <c r="V12" s="17"/>
      <c r="W12" s="1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row>
    <row r="13" spans="1:85" ht="15.75" thickBot="1" x14ac:dyDescent="0.3">
      <c r="B13" s="55"/>
      <c r="C13" s="56"/>
      <c r="D13" s="57" t="s">
        <v>134</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323" t="s">
        <v>66</v>
      </c>
      <c r="BU13" s="324"/>
      <c r="BV13" s="325"/>
    </row>
    <row r="14" spans="1:85" x14ac:dyDescent="0.25">
      <c r="A14" t="s">
        <v>74</v>
      </c>
      <c r="B14" s="58">
        <v>43466</v>
      </c>
      <c r="C14" s="59">
        <f>EDATE(B14,1)</f>
        <v>43497</v>
      </c>
      <c r="D14" s="59">
        <f t="shared" ref="D14:BV14" si="3">EDATE(C14,1)</f>
        <v>43525</v>
      </c>
      <c r="E14" s="59">
        <f t="shared" si="3"/>
        <v>43556</v>
      </c>
      <c r="F14" s="59">
        <f t="shared" si="3"/>
        <v>43586</v>
      </c>
      <c r="G14" s="59">
        <f t="shared" si="3"/>
        <v>43617</v>
      </c>
      <c r="H14" s="59">
        <f t="shared" si="3"/>
        <v>43647</v>
      </c>
      <c r="I14" s="59">
        <f t="shared" si="3"/>
        <v>43678</v>
      </c>
      <c r="J14" s="59">
        <f t="shared" si="3"/>
        <v>43709</v>
      </c>
      <c r="K14" s="59">
        <f t="shared" si="3"/>
        <v>43739</v>
      </c>
      <c r="L14" s="59">
        <f t="shared" ref="L14" si="4">EDATE(K14,1)</f>
        <v>43770</v>
      </c>
      <c r="M14" s="59">
        <f t="shared" ref="M14" si="5">EDATE(L14,1)</f>
        <v>43800</v>
      </c>
      <c r="N14" s="59">
        <f t="shared" ref="N14" si="6">EDATE(M14,1)</f>
        <v>43831</v>
      </c>
      <c r="O14" s="59">
        <f t="shared" ref="O14" si="7">EDATE(N14,1)</f>
        <v>43862</v>
      </c>
      <c r="P14" s="59">
        <f t="shared" ref="P14" si="8">EDATE(O14,1)</f>
        <v>43891</v>
      </c>
      <c r="Q14" s="59">
        <f t="shared" ref="Q14" si="9">EDATE(P14,1)</f>
        <v>43922</v>
      </c>
      <c r="R14" s="59">
        <f t="shared" ref="R14" si="10">EDATE(Q14,1)</f>
        <v>43952</v>
      </c>
      <c r="S14" s="59">
        <f t="shared" ref="S14" si="11">EDATE(R14,1)</f>
        <v>43983</v>
      </c>
      <c r="T14" s="59">
        <f t="shared" ref="T14" si="12">EDATE(S14,1)</f>
        <v>44013</v>
      </c>
      <c r="U14" s="59">
        <f t="shared" ref="U14" si="13">EDATE(T14,1)</f>
        <v>44044</v>
      </c>
      <c r="V14" s="59">
        <f t="shared" ref="V14" si="14">EDATE(U14,1)</f>
        <v>44075</v>
      </c>
      <c r="W14" s="59">
        <f t="shared" ref="W14" si="15">EDATE(V14,1)</f>
        <v>44105</v>
      </c>
      <c r="X14" s="59">
        <f t="shared" ref="X14" si="16">EDATE(W14,1)</f>
        <v>44136</v>
      </c>
      <c r="Y14" s="59">
        <f t="shared" ref="Y14" si="17">EDATE(X14,1)</f>
        <v>44166</v>
      </c>
      <c r="Z14" s="59">
        <f t="shared" ref="Z14" si="18">EDATE(Y14,1)</f>
        <v>44197</v>
      </c>
      <c r="AA14" s="59">
        <f t="shared" ref="AA14" si="19">EDATE(Z14,1)</f>
        <v>44228</v>
      </c>
      <c r="AB14" s="59">
        <f t="shared" ref="AB14" si="20">EDATE(AA14,1)</f>
        <v>44256</v>
      </c>
      <c r="AC14" s="59">
        <f t="shared" ref="AC14" si="21">EDATE(AB14,1)</f>
        <v>44287</v>
      </c>
      <c r="AD14" s="59">
        <f t="shared" ref="AD14" si="22">EDATE(AC14,1)</f>
        <v>44317</v>
      </c>
      <c r="AE14" s="59">
        <f t="shared" ref="AE14" si="23">EDATE(AD14,1)</f>
        <v>44348</v>
      </c>
      <c r="AF14" s="59">
        <f t="shared" ref="AF14" si="24">EDATE(AE14,1)</f>
        <v>44378</v>
      </c>
      <c r="AG14" s="59">
        <f t="shared" ref="AG14" si="25">EDATE(AF14,1)</f>
        <v>44409</v>
      </c>
      <c r="AH14" s="59">
        <f t="shared" ref="AH14" si="26">EDATE(AG14,1)</f>
        <v>44440</v>
      </c>
      <c r="AI14" s="59">
        <f t="shared" ref="AI14" si="27">EDATE(AH14,1)</f>
        <v>44470</v>
      </c>
      <c r="AJ14" s="59">
        <f t="shared" ref="AJ14" si="28">EDATE(AI14,1)</f>
        <v>44501</v>
      </c>
      <c r="AK14" s="59">
        <f t="shared" ref="AK14" si="29">EDATE(AJ14,1)</f>
        <v>44531</v>
      </c>
      <c r="AL14" s="59">
        <f t="shared" ref="AL14" si="30">EDATE(AK14,1)</f>
        <v>44562</v>
      </c>
      <c r="AM14" s="59">
        <f t="shared" ref="AM14" si="31">EDATE(AL14,1)</f>
        <v>44593</v>
      </c>
      <c r="AN14" s="59">
        <f t="shared" ref="AN14" si="32">EDATE(AM14,1)</f>
        <v>44621</v>
      </c>
      <c r="AO14" s="59">
        <f t="shared" ref="AO14" si="33">EDATE(AN14,1)</f>
        <v>44652</v>
      </c>
      <c r="AP14" s="59">
        <f t="shared" ref="AP14" si="34">EDATE(AO14,1)</f>
        <v>44682</v>
      </c>
      <c r="AQ14" s="59">
        <f t="shared" ref="AQ14" si="35">EDATE(AP14,1)</f>
        <v>44713</v>
      </c>
      <c r="AR14" s="59">
        <f t="shared" ref="AR14" si="36">EDATE(AQ14,1)</f>
        <v>44743</v>
      </c>
      <c r="AS14" s="59">
        <f t="shared" ref="AS14" si="37">EDATE(AR14,1)</f>
        <v>44774</v>
      </c>
      <c r="AT14" s="59">
        <f t="shared" ref="AT14" si="38">EDATE(AS14,1)</f>
        <v>44805</v>
      </c>
      <c r="AU14" s="59">
        <f t="shared" ref="AU14" si="39">EDATE(AT14,1)</f>
        <v>44835</v>
      </c>
      <c r="AV14" s="59">
        <f t="shared" ref="AV14" si="40">EDATE(AU14,1)</f>
        <v>44866</v>
      </c>
      <c r="AW14" s="59">
        <f t="shared" ref="AW14" si="41">EDATE(AV14,1)</f>
        <v>44896</v>
      </c>
      <c r="AX14" s="59">
        <f t="shared" ref="AX14" si="42">EDATE(AW14,1)</f>
        <v>44927</v>
      </c>
      <c r="AY14" s="59">
        <f t="shared" ref="AY14" si="43">EDATE(AX14,1)</f>
        <v>44958</v>
      </c>
      <c r="AZ14" s="59">
        <f t="shared" ref="AZ14" si="44">EDATE(AY14,1)</f>
        <v>44986</v>
      </c>
      <c r="BA14" s="59">
        <f t="shared" ref="BA14" si="45">EDATE(AZ14,1)</f>
        <v>45017</v>
      </c>
      <c r="BB14" s="59">
        <f t="shared" ref="BB14" si="46">EDATE(BA14,1)</f>
        <v>45047</v>
      </c>
      <c r="BC14" s="59">
        <f t="shared" ref="BC14" si="47">EDATE(BB14,1)</f>
        <v>45078</v>
      </c>
      <c r="BD14" s="59">
        <f t="shared" ref="BD14" si="48">EDATE(BC14,1)</f>
        <v>45108</v>
      </c>
      <c r="BE14" s="59">
        <f t="shared" ref="BE14" si="49">EDATE(BD14,1)</f>
        <v>45139</v>
      </c>
      <c r="BF14" s="59">
        <f t="shared" ref="BF14" si="50">EDATE(BE14,1)</f>
        <v>45170</v>
      </c>
      <c r="BG14" s="59">
        <f t="shared" ref="BG14" si="51">EDATE(BF14,1)</f>
        <v>45200</v>
      </c>
      <c r="BH14" s="59">
        <f t="shared" ref="BH14" si="52">EDATE(BG14,1)</f>
        <v>45231</v>
      </c>
      <c r="BI14" s="59">
        <f t="shared" ref="BI14" si="53">EDATE(BH14,1)</f>
        <v>45261</v>
      </c>
      <c r="BJ14" s="59">
        <f t="shared" ref="BJ14" si="54">EDATE(BI14,1)</f>
        <v>45292</v>
      </c>
      <c r="BK14" s="59">
        <f t="shared" ref="BK14" si="55">EDATE(BJ14,1)</f>
        <v>45323</v>
      </c>
      <c r="BL14" s="59">
        <f t="shared" ref="BL14" si="56">EDATE(BK14,1)</f>
        <v>45352</v>
      </c>
      <c r="BM14" s="59">
        <f t="shared" ref="BM14" si="57">EDATE(BL14,1)</f>
        <v>45383</v>
      </c>
      <c r="BN14" s="59">
        <f t="shared" ref="BN14" si="58">EDATE(BM14,1)</f>
        <v>45413</v>
      </c>
      <c r="BO14" s="59">
        <f t="shared" ref="BO14" si="59">EDATE(BN14,1)</f>
        <v>45444</v>
      </c>
      <c r="BP14" s="59">
        <f t="shared" ref="BP14" si="60">EDATE(BO14,1)</f>
        <v>45474</v>
      </c>
      <c r="BQ14" s="59">
        <f t="shared" ref="BQ14" si="61">EDATE(BP14,1)</f>
        <v>45505</v>
      </c>
      <c r="BR14" s="59">
        <f t="shared" ref="BR14" si="62">EDATE(BQ14,1)</f>
        <v>45536</v>
      </c>
      <c r="BS14" s="59">
        <f t="shared" ref="BS14" si="63">EDATE(BR14,1)</f>
        <v>45566</v>
      </c>
      <c r="BT14" s="58">
        <f>EDATE(BS14,1)</f>
        <v>45597</v>
      </c>
      <c r="BU14" s="59">
        <f t="shared" si="3"/>
        <v>45627</v>
      </c>
      <c r="BV14" s="60">
        <f t="shared" si="3"/>
        <v>45658</v>
      </c>
      <c r="BX14" s="1"/>
      <c r="BY14" s="1"/>
      <c r="BZ14" s="1"/>
      <c r="CA14" s="1"/>
      <c r="CB14" s="1"/>
      <c r="CC14" s="1"/>
      <c r="CD14" s="1"/>
      <c r="CE14" s="1"/>
      <c r="CF14" s="1"/>
      <c r="CG14" s="1"/>
    </row>
    <row r="15" spans="1:85" x14ac:dyDescent="0.25">
      <c r="A15" t="s">
        <v>0</v>
      </c>
      <c r="B15" s="61">
        <v>0</v>
      </c>
      <c r="C15" s="62">
        <v>0</v>
      </c>
      <c r="D15" s="62">
        <v>0</v>
      </c>
      <c r="E15" s="62">
        <v>3542.7066619947968</v>
      </c>
      <c r="F15" s="62">
        <v>26593.748856903429</v>
      </c>
      <c r="G15" s="62">
        <v>243363.92907678595</v>
      </c>
      <c r="H15" s="62">
        <v>441129.8099540461</v>
      </c>
      <c r="I15" s="62">
        <v>538055.00088770315</v>
      </c>
      <c r="J15" s="62">
        <v>375001.00963366695</v>
      </c>
      <c r="K15" s="62">
        <v>137834.38057719183</v>
      </c>
      <c r="L15" s="62">
        <v>274809.55657286098</v>
      </c>
      <c r="M15" s="62">
        <v>467843.25553902646</v>
      </c>
      <c r="N15" s="62">
        <v>544296.07292371744</v>
      </c>
      <c r="O15" s="62">
        <v>676189.22029010952</v>
      </c>
      <c r="P15" s="62">
        <v>463090.51540533279</v>
      </c>
      <c r="Q15" s="62">
        <v>212999.83668866704</v>
      </c>
      <c r="R15" s="62">
        <v>239315.41925638349</v>
      </c>
      <c r="S15" s="62">
        <v>745964.63979628112</v>
      </c>
      <c r="T15" s="62">
        <v>1021961.1417325244</v>
      </c>
      <c r="U15" s="62">
        <v>1221140.287913003</v>
      </c>
      <c r="V15" s="62">
        <v>1038934.5439936385</v>
      </c>
      <c r="W15" s="62">
        <v>456853.18990942289</v>
      </c>
      <c r="X15" s="62">
        <v>609473.30327174987</v>
      </c>
      <c r="Y15" s="62">
        <v>767580.56672561402</v>
      </c>
      <c r="Z15" s="62">
        <v>793063.84804214339</v>
      </c>
      <c r="AA15" s="62">
        <v>764854.30430963449</v>
      </c>
      <c r="AB15" s="62">
        <v>819560.20806617534</v>
      </c>
      <c r="AC15" s="62">
        <v>733166.25858200283</v>
      </c>
      <c r="AD15" s="62">
        <v>808585.44290839287</v>
      </c>
      <c r="AE15" s="62">
        <v>2229150.475396621</v>
      </c>
      <c r="AF15" s="62">
        <v>2728598.0253418689</v>
      </c>
      <c r="AG15" s="62">
        <v>2843181.2454154654</v>
      </c>
      <c r="AH15" s="62">
        <v>2152415.8892408246</v>
      </c>
      <c r="AI15" s="69">
        <v>886771.1903804827</v>
      </c>
      <c r="AJ15" s="69">
        <v>1017970.7346454827</v>
      </c>
      <c r="AK15" s="69">
        <v>1252923.0225376603</v>
      </c>
      <c r="AL15" s="69">
        <v>1434652.1574546397</v>
      </c>
      <c r="AM15" s="69">
        <v>1242256.6900827016</v>
      </c>
      <c r="AN15" s="69">
        <v>466704.19082447694</v>
      </c>
      <c r="AO15" s="69">
        <v>411086.64598257263</v>
      </c>
      <c r="AP15" s="69">
        <v>460606.66199414816</v>
      </c>
      <c r="AQ15" s="69">
        <v>1458035.3553365585</v>
      </c>
      <c r="AR15" s="69">
        <v>1865399.5827007205</v>
      </c>
      <c r="AS15" s="69">
        <v>1789207.583547906</v>
      </c>
      <c r="AT15" s="69">
        <v>1230661.6176145528</v>
      </c>
      <c r="AU15" s="69">
        <v>448108.96181830607</v>
      </c>
      <c r="AV15" s="69">
        <v>511415.71013617213</v>
      </c>
      <c r="AW15" s="69">
        <v>657599.6612363765</v>
      </c>
      <c r="AX15" s="69">
        <v>715751.71736553009</v>
      </c>
      <c r="AY15" s="69">
        <v>611610.33271900774</v>
      </c>
      <c r="AZ15" s="69">
        <v>580052.23772821727</v>
      </c>
      <c r="BA15" s="69">
        <v>485147.45423910866</v>
      </c>
      <c r="BB15" s="69">
        <v>579019.58477694308</v>
      </c>
      <c r="BC15" s="69">
        <v>2075209.7832731153</v>
      </c>
      <c r="BD15" s="69">
        <v>336900.48174892482</v>
      </c>
      <c r="BE15" s="69">
        <v>423106.97149800922</v>
      </c>
      <c r="BF15" s="69">
        <v>257414.74403194929</v>
      </c>
      <c r="BG15" s="69">
        <v>72670.704773576188</v>
      </c>
      <c r="BH15" s="69">
        <f>'[2]MEEIA 3 calcs'!BJ27</f>
        <v>107651.21205611953</v>
      </c>
      <c r="BI15" s="69">
        <f>'[2]MEEIA 3 calcs'!BK27</f>
        <v>190082.4773555084</v>
      </c>
      <c r="BJ15" s="69">
        <f>'[2]MEEIA 3 calcs'!BL27</f>
        <v>234716.31279439255</v>
      </c>
      <c r="BK15" s="69">
        <f>'[2]MEEIA 3 calcs'!BM27</f>
        <v>189707.45135280554</v>
      </c>
      <c r="BL15" s="69">
        <f>'[2]MEEIA 3 calcs'!BN27</f>
        <v>161384.19695432918</v>
      </c>
      <c r="BM15" s="69">
        <f>'[2]MEEIA 3 calcs'!BO27</f>
        <v>121228.18203919443</v>
      </c>
      <c r="BN15" s="69">
        <f>'[2]MEEIA 3 calcs'!BP27</f>
        <v>171153.07554214355</v>
      </c>
      <c r="BO15" s="69">
        <f>'[2]MEEIA 3 calcs'!BQ27</f>
        <v>726807.55664463679</v>
      </c>
      <c r="BP15" s="69">
        <f>'[2]MEEIA 3 calcs'!BR27</f>
        <v>1035244.8874318618</v>
      </c>
      <c r="BQ15" s="69">
        <f>'[2]MEEIA 3 calcs'!BS27</f>
        <v>1044606.4999408977</v>
      </c>
      <c r="BR15" s="69">
        <f>'[2]MEEIA 3 calcs'!BT27</f>
        <v>601256.55125012272</v>
      </c>
      <c r="BS15" s="69">
        <f>'[2]MEEIA 3 calcs'!BU27</f>
        <v>165216.72821033362</v>
      </c>
      <c r="BT15" s="93">
        <f>'[2]M3 Allocations - TD'!BT31</f>
        <v>239550.05334239668</v>
      </c>
      <c r="BU15" s="94">
        <f>'[2]M3 Allocations - TD'!BU31</f>
        <v>384889.84076727502</v>
      </c>
      <c r="BV15" s="95">
        <f>'[2]M3 Allocations - TD'!BV31</f>
        <v>401782.68356373912</v>
      </c>
    </row>
    <row r="16" spans="1:85" x14ac:dyDescent="0.25">
      <c r="A16" t="s">
        <v>4</v>
      </c>
      <c r="B16" s="61">
        <v>0</v>
      </c>
      <c r="C16" s="62">
        <v>0</v>
      </c>
      <c r="D16" s="62">
        <v>0.34412602678174997</v>
      </c>
      <c r="E16" s="62">
        <v>593.85341007321881</v>
      </c>
      <c r="F16" s="62">
        <v>8368.5225960071712</v>
      </c>
      <c r="G16" s="62">
        <v>23641.814181406706</v>
      </c>
      <c r="H16" s="62">
        <v>47663.861231335664</v>
      </c>
      <c r="I16" s="62">
        <v>53414.007632337976</v>
      </c>
      <c r="J16" s="62">
        <v>71963.570102025027</v>
      </c>
      <c r="K16" s="62">
        <v>61965.410188273323</v>
      </c>
      <c r="L16" s="62">
        <v>64700.998849587129</v>
      </c>
      <c r="M16" s="62">
        <v>81956.189294724609</v>
      </c>
      <c r="N16" s="62">
        <v>113990.99327753842</v>
      </c>
      <c r="O16" s="62">
        <v>88043.147483850829</v>
      </c>
      <c r="P16" s="62">
        <v>103641.60510926238</v>
      </c>
      <c r="Q16" s="62">
        <v>44495.668454394727</v>
      </c>
      <c r="R16" s="62">
        <v>72447.479306892477</v>
      </c>
      <c r="S16" s="62">
        <v>100242.14080653639</v>
      </c>
      <c r="T16" s="62">
        <v>144814.88878280437</v>
      </c>
      <c r="U16" s="62">
        <v>113846.66455304027</v>
      </c>
      <c r="V16" s="62">
        <v>127713.0610159208</v>
      </c>
      <c r="W16" s="62">
        <v>102944.20736329375</v>
      </c>
      <c r="X16" s="62">
        <v>98619.753088261379</v>
      </c>
      <c r="Y16" s="62">
        <v>116491.49867964754</v>
      </c>
      <c r="Z16" s="62">
        <v>196559.66519683803</v>
      </c>
      <c r="AA16" s="62">
        <v>143190.44336244816</v>
      </c>
      <c r="AB16" s="62">
        <v>165885.95699877734</v>
      </c>
      <c r="AC16" s="62">
        <v>168014.93999895826</v>
      </c>
      <c r="AD16" s="62">
        <v>224708.57117023846</v>
      </c>
      <c r="AE16" s="62">
        <v>334985.01191056194</v>
      </c>
      <c r="AF16" s="62">
        <v>449867.18718954525</v>
      </c>
      <c r="AG16" s="62">
        <v>392143.15877642907</v>
      </c>
      <c r="AH16" s="62">
        <v>337751.81199888035</v>
      </c>
      <c r="AI16" s="69">
        <v>247793.76914859904</v>
      </c>
      <c r="AJ16" s="69">
        <v>222262.13845546212</v>
      </c>
      <c r="AK16" s="69">
        <v>249509.48642011534</v>
      </c>
      <c r="AL16" s="69">
        <v>321944.69044732186</v>
      </c>
      <c r="AM16" s="69">
        <v>246962.75301226831</v>
      </c>
      <c r="AN16" s="69">
        <v>100845.58616926862</v>
      </c>
      <c r="AO16" s="69">
        <v>127422.49440160212</v>
      </c>
      <c r="AP16" s="69">
        <v>191471.00601967305</v>
      </c>
      <c r="AQ16" s="69">
        <v>262682.7688338983</v>
      </c>
      <c r="AR16" s="69">
        <v>354188.78297288192</v>
      </c>
      <c r="AS16" s="69">
        <v>291793.54141646903</v>
      </c>
      <c r="AT16" s="69">
        <v>288002.90399346605</v>
      </c>
      <c r="AU16" s="69">
        <v>176158.92806469859</v>
      </c>
      <c r="AV16" s="69">
        <v>148988.71783347923</v>
      </c>
      <c r="AW16" s="69">
        <v>166383.33688258496</v>
      </c>
      <c r="AX16" s="69">
        <v>230424.97504364184</v>
      </c>
      <c r="AY16" s="69">
        <v>167267.8186977868</v>
      </c>
      <c r="AZ16" s="69">
        <v>188556.51884636932</v>
      </c>
      <c r="BA16" s="69">
        <v>207172.72942284547</v>
      </c>
      <c r="BB16" s="69">
        <v>282077.02604301338</v>
      </c>
      <c r="BC16" s="69">
        <v>384908.25435282208</v>
      </c>
      <c r="BD16" s="69">
        <v>139737.20125715411</v>
      </c>
      <c r="BE16" s="69">
        <v>125981.43604405341</v>
      </c>
      <c r="BF16" s="69">
        <v>117180.62967897265</v>
      </c>
      <c r="BG16" s="69">
        <v>83769.976962386063</v>
      </c>
      <c r="BH16" s="69">
        <f>'[2]MEEIA 3 calcs'!BJ37</f>
        <v>86625.171754673938</v>
      </c>
      <c r="BI16" s="69">
        <f>'[2]MEEIA 3 calcs'!BK37</f>
        <v>103759.43732189588</v>
      </c>
      <c r="BJ16" s="69">
        <f>'[2]MEEIA 3 calcs'!BL37</f>
        <v>153373.54325638647</v>
      </c>
      <c r="BK16" s="69">
        <f>'[2]MEEIA 3 calcs'!BM37</f>
        <v>106775.05460937983</v>
      </c>
      <c r="BL16" s="69">
        <f>'[2]MEEIA 3 calcs'!BN37</f>
        <v>120639.5759518858</v>
      </c>
      <c r="BM16" s="69">
        <f>'[2]MEEIA 3 calcs'!BO37</f>
        <v>133274.54920832094</v>
      </c>
      <c r="BN16" s="69">
        <f>'[2]MEEIA 3 calcs'!BP37</f>
        <v>178850.56851695653</v>
      </c>
      <c r="BO16" s="69">
        <f>'[2]MEEIA 3 calcs'!BQ37</f>
        <v>275918.7728501762</v>
      </c>
      <c r="BP16" s="69">
        <f>'[2]MEEIA 3 calcs'!BR37</f>
        <v>360364.02993826458</v>
      </c>
      <c r="BQ16" s="69">
        <f>'[2]MEEIA 3 calcs'!BS37</f>
        <v>316057.92453325889</v>
      </c>
      <c r="BR16" s="69">
        <f>'[2]MEEIA 3 calcs'!BT37</f>
        <v>271016.40741513378</v>
      </c>
      <c r="BS16" s="69">
        <f>'[2]MEEIA 3 calcs'!BU37</f>
        <v>173245.5348725713</v>
      </c>
      <c r="BT16" s="93">
        <f>'[2]M3 Allocations - TD'!BT32</f>
        <v>156606.5114440406</v>
      </c>
      <c r="BU16" s="94">
        <f>'[2]M3 Allocations - TD'!BU32</f>
        <v>189358.16827443533</v>
      </c>
      <c r="BV16" s="95">
        <f>'[2]M3 Allocations - TD'!BV32</f>
        <v>213549.25609198381</v>
      </c>
    </row>
    <row r="17" spans="1:76" x14ac:dyDescent="0.25">
      <c r="A17" t="s">
        <v>5</v>
      </c>
      <c r="B17" s="61">
        <v>0</v>
      </c>
      <c r="C17" s="62">
        <v>0</v>
      </c>
      <c r="D17" s="62">
        <v>0.36790548240712501</v>
      </c>
      <c r="E17" s="62">
        <v>549.3842450882164</v>
      </c>
      <c r="F17" s="62">
        <v>3822.5375931394819</v>
      </c>
      <c r="G17" s="62">
        <v>16781.332362054229</v>
      </c>
      <c r="H17" s="62">
        <v>40077.718380542559</v>
      </c>
      <c r="I17" s="62">
        <v>54061.137994792116</v>
      </c>
      <c r="J17" s="62">
        <v>79608.348605740233</v>
      </c>
      <c r="K17" s="62">
        <v>56432.915123633284</v>
      </c>
      <c r="L17" s="62">
        <v>84805.665004540322</v>
      </c>
      <c r="M17" s="62">
        <v>101585.96799703788</v>
      </c>
      <c r="N17" s="62">
        <v>154209.2659634623</v>
      </c>
      <c r="O17" s="62">
        <v>122696.92137199735</v>
      </c>
      <c r="P17" s="62">
        <v>123411.87388052933</v>
      </c>
      <c r="Q17" s="62">
        <v>47446.211556775474</v>
      </c>
      <c r="R17" s="62">
        <v>83556.534245541465</v>
      </c>
      <c r="S17" s="62">
        <v>189049.36683437167</v>
      </c>
      <c r="T17" s="62">
        <v>265484.4397628404</v>
      </c>
      <c r="U17" s="62">
        <v>248590.59560852987</v>
      </c>
      <c r="V17" s="62">
        <v>229992.78825383674</v>
      </c>
      <c r="W17" s="62">
        <v>142655.78999924072</v>
      </c>
      <c r="X17" s="62">
        <v>140592.80164431839</v>
      </c>
      <c r="Y17" s="62">
        <v>171784.13279113677</v>
      </c>
      <c r="Z17" s="62">
        <v>283797.45031291858</v>
      </c>
      <c r="AA17" s="62">
        <v>210481.86723637651</v>
      </c>
      <c r="AB17" s="62">
        <v>232927.56555946911</v>
      </c>
      <c r="AC17" s="62">
        <v>221111.27962203597</v>
      </c>
      <c r="AD17" s="62">
        <v>314679.79966629087</v>
      </c>
      <c r="AE17" s="62">
        <v>715299.40366319334</v>
      </c>
      <c r="AF17" s="62">
        <v>953627.42461110547</v>
      </c>
      <c r="AG17" s="62">
        <v>939310.43288894033</v>
      </c>
      <c r="AH17" s="62">
        <v>659615.18241367524</v>
      </c>
      <c r="AI17" s="69">
        <v>353569.18814987835</v>
      </c>
      <c r="AJ17" s="69">
        <v>343727.65210763505</v>
      </c>
      <c r="AK17" s="69">
        <v>418850.04670264991</v>
      </c>
      <c r="AL17" s="69">
        <v>627056.98298263596</v>
      </c>
      <c r="AM17" s="69">
        <v>475288.11809378932</v>
      </c>
      <c r="AN17" s="69">
        <v>288997.35659879085</v>
      </c>
      <c r="AO17" s="69">
        <v>253245.26358346242</v>
      </c>
      <c r="AP17" s="69">
        <v>337719.24594805558</v>
      </c>
      <c r="AQ17" s="69">
        <v>917413.81462190335</v>
      </c>
      <c r="AR17" s="69">
        <v>1145597.0197120309</v>
      </c>
      <c r="AS17" s="69">
        <v>988866.58881189337</v>
      </c>
      <c r="AT17" s="69">
        <v>672365.26793086936</v>
      </c>
      <c r="AU17" s="69">
        <v>344986.1375718661</v>
      </c>
      <c r="AV17" s="69">
        <v>367525.10463732504</v>
      </c>
      <c r="AW17" s="69">
        <v>468411.57966709038</v>
      </c>
      <c r="AX17" s="69">
        <v>620203.95847182651</v>
      </c>
      <c r="AY17" s="69">
        <v>478324.36066286819</v>
      </c>
      <c r="AZ17" s="69">
        <v>479847.59845747025</v>
      </c>
      <c r="BA17" s="69">
        <v>438290.6610723678</v>
      </c>
      <c r="BB17" s="69">
        <v>600233.99929541291</v>
      </c>
      <c r="BC17" s="69">
        <v>1562742.7352753344</v>
      </c>
      <c r="BD17" s="69">
        <v>403317.94432410318</v>
      </c>
      <c r="BE17" s="69">
        <v>405009.19644890801</v>
      </c>
      <c r="BF17" s="69">
        <v>309717.05932065495</v>
      </c>
      <c r="BG17" s="69">
        <v>165446.63321632627</v>
      </c>
      <c r="BH17" s="69">
        <f>'[2]MEEIA 3 calcs'!BJ47</f>
        <v>177257.17636601315</v>
      </c>
      <c r="BI17" s="69">
        <f>'[2]MEEIA 3 calcs'!BK47</f>
        <v>216355.69459913264</v>
      </c>
      <c r="BJ17" s="69">
        <f>'[2]MEEIA 3 calcs'!BL47</f>
        <v>297766.07742960955</v>
      </c>
      <c r="BK17" s="69">
        <f>'[2]MEEIA 3 calcs'!BM47</f>
        <v>221766.54736590007</v>
      </c>
      <c r="BL17" s="69">
        <f>'[2]MEEIA 3 calcs'!BN47</f>
        <v>235868.07069965589</v>
      </c>
      <c r="BM17" s="69">
        <f>'[2]MEEIA 3 calcs'!BO47</f>
        <v>217209.78009139144</v>
      </c>
      <c r="BN17" s="69">
        <f>'[2]MEEIA 3 calcs'!BP47</f>
        <v>282620.40359287354</v>
      </c>
      <c r="BO17" s="69">
        <f>'[2]MEEIA 3 calcs'!BQ47</f>
        <v>698718.28942311229</v>
      </c>
      <c r="BP17" s="69">
        <f>'[2]MEEIA 3 calcs'!BR47</f>
        <v>853101.84507416235</v>
      </c>
      <c r="BQ17" s="69">
        <f>'[2]MEEIA 3 calcs'!BS47</f>
        <v>813199.23858644778</v>
      </c>
      <c r="BR17" s="69">
        <f>'[2]MEEIA 3 calcs'!BT47</f>
        <v>604659.70795225631</v>
      </c>
      <c r="BS17" s="69">
        <f>'[2]MEEIA 3 calcs'!BU47</f>
        <v>297586.42900451482</v>
      </c>
      <c r="BT17" s="93">
        <f>'[2]M3 Allocations - TD'!BT33</f>
        <v>289593.1978996573</v>
      </c>
      <c r="BU17" s="94">
        <f>'[2]M3 Allocations - TD'!BU33</f>
        <v>366512.06607265963</v>
      </c>
      <c r="BV17" s="95">
        <f>'[2]M3 Allocations - TD'!BV33</f>
        <v>421436.89087504114</v>
      </c>
    </row>
    <row r="18" spans="1:76" x14ac:dyDescent="0.25">
      <c r="A18" t="s">
        <v>6</v>
      </c>
      <c r="B18" s="61">
        <v>0</v>
      </c>
      <c r="C18" s="62">
        <v>0</v>
      </c>
      <c r="D18" s="62">
        <v>0</v>
      </c>
      <c r="E18" s="62">
        <v>9.4764517045030008</v>
      </c>
      <c r="F18" s="62">
        <v>992.38480063141662</v>
      </c>
      <c r="G18" s="62">
        <v>7292.1248374502911</v>
      </c>
      <c r="H18" s="62">
        <v>15994.94501268368</v>
      </c>
      <c r="I18" s="62">
        <v>17286.492613957165</v>
      </c>
      <c r="J18" s="62">
        <v>20593.63561343183</v>
      </c>
      <c r="K18" s="62">
        <v>13281.46306563299</v>
      </c>
      <c r="L18" s="62">
        <v>20634.15638219006</v>
      </c>
      <c r="M18" s="62">
        <v>18530.128304448888</v>
      </c>
      <c r="N18" s="62">
        <v>41320.38859087076</v>
      </c>
      <c r="O18" s="62">
        <v>29425.974245256413</v>
      </c>
      <c r="P18" s="62">
        <v>32165.147795809222</v>
      </c>
      <c r="Q18" s="62">
        <v>21213.003373036219</v>
      </c>
      <c r="R18" s="62">
        <v>41395.000804902586</v>
      </c>
      <c r="S18" s="62">
        <v>92952.761963081415</v>
      </c>
      <c r="T18" s="62">
        <v>123951.10916307675</v>
      </c>
      <c r="U18" s="62">
        <v>122809.27801030048</v>
      </c>
      <c r="V18" s="62">
        <v>96049.861338882605</v>
      </c>
      <c r="W18" s="62">
        <v>51830.00376307463</v>
      </c>
      <c r="X18" s="62">
        <v>49578.466987818043</v>
      </c>
      <c r="Y18" s="62">
        <v>51735.412802116007</v>
      </c>
      <c r="Z18" s="62">
        <v>90838.744276912417</v>
      </c>
      <c r="AA18" s="62">
        <v>65459.948883100595</v>
      </c>
      <c r="AB18" s="62">
        <v>71534.944524128558</v>
      </c>
      <c r="AC18" s="62">
        <v>71343.757771636898</v>
      </c>
      <c r="AD18" s="62">
        <v>103296.3103477702</v>
      </c>
      <c r="AE18" s="62">
        <v>256562.81120160531</v>
      </c>
      <c r="AF18" s="62">
        <v>319479.07850425603</v>
      </c>
      <c r="AG18" s="62">
        <v>309875.12991512951</v>
      </c>
      <c r="AH18" s="62">
        <v>200668.49634980995</v>
      </c>
      <c r="AI18" s="69">
        <v>111417.50190042912</v>
      </c>
      <c r="AJ18" s="69">
        <v>93253.892629017733</v>
      </c>
      <c r="AK18" s="69">
        <v>103488.5984224446</v>
      </c>
      <c r="AL18" s="69">
        <v>144414.82989089785</v>
      </c>
      <c r="AM18" s="69">
        <v>110066.63506595949</v>
      </c>
      <c r="AN18" s="69">
        <v>50328.1679847302</v>
      </c>
      <c r="AO18" s="69">
        <v>48818.637830727937</v>
      </c>
      <c r="AP18" s="69">
        <v>69139.5977047872</v>
      </c>
      <c r="AQ18" s="69">
        <v>204404.00741586328</v>
      </c>
      <c r="AR18" s="69">
        <v>281050.68735267245</v>
      </c>
      <c r="AS18" s="69">
        <v>243115.17544525067</v>
      </c>
      <c r="AT18" s="69">
        <v>160177.67633933009</v>
      </c>
      <c r="AU18" s="69">
        <v>71401.608823197399</v>
      </c>
      <c r="AV18" s="69">
        <v>68759.703767405808</v>
      </c>
      <c r="AW18" s="69">
        <v>79423.074388787179</v>
      </c>
      <c r="AX18" s="69">
        <v>124152.16010630637</v>
      </c>
      <c r="AY18" s="69">
        <v>90652.290206343227</v>
      </c>
      <c r="AZ18" s="69">
        <v>95391.182401412632</v>
      </c>
      <c r="BA18" s="69">
        <v>98092.186887780408</v>
      </c>
      <c r="BB18" s="69">
        <v>146238.88433112807</v>
      </c>
      <c r="BC18" s="69">
        <v>408596.36444724287</v>
      </c>
      <c r="BD18" s="69">
        <v>130017.57406535599</v>
      </c>
      <c r="BE18" s="69">
        <v>135925.39692325707</v>
      </c>
      <c r="BF18" s="69">
        <v>99875.595046319839</v>
      </c>
      <c r="BG18" s="69">
        <v>47172.903672076238</v>
      </c>
      <c r="BH18" s="69">
        <f>'[2]MEEIA 3 calcs'!BJ57</f>
        <v>49418.318001211912</v>
      </c>
      <c r="BI18" s="69">
        <f>'[2]MEEIA 3 calcs'!BK57</f>
        <v>61971.31365560359</v>
      </c>
      <c r="BJ18" s="69">
        <f>'[2]MEEIA 3 calcs'!BL57</f>
        <v>100140.32783463651</v>
      </c>
      <c r="BK18" s="69">
        <f>'[2]MEEIA 3 calcs'!BM57</f>
        <v>68610.098480887449</v>
      </c>
      <c r="BL18" s="69">
        <f>'[2]MEEIA 3 calcs'!BN57</f>
        <v>73112.306140790664</v>
      </c>
      <c r="BM18" s="69">
        <f>'[2]MEEIA 3 calcs'!BO57</f>
        <v>69892.91956161111</v>
      </c>
      <c r="BN18" s="69">
        <f>'[2]MEEIA 3 calcs'!BP57</f>
        <v>99056.640281670465</v>
      </c>
      <c r="BO18" s="69">
        <f>'[2]MEEIA 3 calcs'!BQ57</f>
        <v>258498.69847281641</v>
      </c>
      <c r="BP18" s="69">
        <f>'[2]MEEIA 3 calcs'!BR57</f>
        <v>303959.92143258377</v>
      </c>
      <c r="BQ18" s="69">
        <f>'[2]MEEIA 3 calcs'!BS57</f>
        <v>294161.07992542034</v>
      </c>
      <c r="BR18" s="69">
        <f>'[2]MEEIA 3 calcs'!BT57</f>
        <v>208587.29192292673</v>
      </c>
      <c r="BS18" s="69">
        <f>'[2]MEEIA 3 calcs'!BU57</f>
        <v>99425.405828224626</v>
      </c>
      <c r="BT18" s="93">
        <f>'[2]M3 Allocations - TD'!BT34</f>
        <v>91295.116338149382</v>
      </c>
      <c r="BU18" s="94">
        <f>'[2]M3 Allocations - TD'!BU34</f>
        <v>112244.64566505696</v>
      </c>
      <c r="BV18" s="95">
        <f>'[2]M3 Allocations - TD'!BV34</f>
        <v>132382.9938109974</v>
      </c>
    </row>
    <row r="19" spans="1:76" x14ac:dyDescent="0.25">
      <c r="A19" t="s">
        <v>7</v>
      </c>
      <c r="B19" s="61">
        <v>0</v>
      </c>
      <c r="C19" s="62">
        <v>0</v>
      </c>
      <c r="D19" s="62">
        <v>0</v>
      </c>
      <c r="E19" s="62">
        <v>0</v>
      </c>
      <c r="F19" s="62">
        <v>158.37627524588399</v>
      </c>
      <c r="G19" s="62">
        <v>597.17310476301054</v>
      </c>
      <c r="H19" s="62">
        <v>0</v>
      </c>
      <c r="I19" s="62">
        <v>224.30843760020062</v>
      </c>
      <c r="J19" s="62">
        <v>578.11242788452876</v>
      </c>
      <c r="K19" s="62">
        <v>553.72176658848127</v>
      </c>
      <c r="L19" s="62">
        <v>4498.45610981133</v>
      </c>
      <c r="M19" s="62">
        <v>2468.5744882877784</v>
      </c>
      <c r="N19" s="62">
        <v>6482.3323978120161</v>
      </c>
      <c r="O19" s="62">
        <v>4714.4220035550234</v>
      </c>
      <c r="P19" s="62">
        <v>4933.2233077077817</v>
      </c>
      <c r="Q19" s="62">
        <v>4340.5509347173938</v>
      </c>
      <c r="R19" s="62">
        <v>11799.946486826884</v>
      </c>
      <c r="S19" s="62">
        <v>38257.943252341713</v>
      </c>
      <c r="T19" s="62">
        <v>40690.592006909494</v>
      </c>
      <c r="U19" s="62">
        <v>41885.585703975645</v>
      </c>
      <c r="V19" s="62">
        <v>26780.761635291285</v>
      </c>
      <c r="W19" s="62">
        <v>10597.262650374174</v>
      </c>
      <c r="X19" s="62">
        <v>10543.327297722915</v>
      </c>
      <c r="Y19" s="62">
        <v>12471.245557264963</v>
      </c>
      <c r="Z19" s="62">
        <v>12960.956487818141</v>
      </c>
      <c r="AA19" s="62">
        <v>11180.008563256184</v>
      </c>
      <c r="AB19" s="62">
        <v>10723.724250200386</v>
      </c>
      <c r="AC19" s="62">
        <v>12186.584798764601</v>
      </c>
      <c r="AD19" s="62">
        <v>21281.154475581399</v>
      </c>
      <c r="AE19" s="62">
        <v>66612.208134140514</v>
      </c>
      <c r="AF19" s="62">
        <v>73408.187300820806</v>
      </c>
      <c r="AG19" s="62">
        <v>73181.995355948209</v>
      </c>
      <c r="AH19" s="62">
        <v>44682.245754003154</v>
      </c>
      <c r="AI19" s="69">
        <v>19447.902145822471</v>
      </c>
      <c r="AJ19" s="69">
        <v>16125.741463642871</v>
      </c>
      <c r="AK19" s="69">
        <v>19063.36096942682</v>
      </c>
      <c r="AL19" s="69">
        <v>18825.407725594807</v>
      </c>
      <c r="AM19" s="69">
        <v>15042.280346882986</v>
      </c>
      <c r="AN19" s="69">
        <v>5372.5491881501548</v>
      </c>
      <c r="AO19" s="69">
        <v>5761.1753207721658</v>
      </c>
      <c r="AP19" s="69">
        <v>7701.1665386990999</v>
      </c>
      <c r="AQ19" s="69">
        <v>20816.695916117322</v>
      </c>
      <c r="AR19" s="69">
        <v>29321.450972661642</v>
      </c>
      <c r="AS19" s="69">
        <v>29057.042020850196</v>
      </c>
      <c r="AT19" s="69">
        <v>22639.119300577775</v>
      </c>
      <c r="AU19" s="69">
        <v>10522.674846079888</v>
      </c>
      <c r="AV19" s="69">
        <v>8402.9395721317924</v>
      </c>
      <c r="AW19" s="69">
        <v>10147.866510048789</v>
      </c>
      <c r="AX19" s="69">
        <v>10184.952993836321</v>
      </c>
      <c r="AY19" s="69">
        <v>9072.0567893273928</v>
      </c>
      <c r="AZ19" s="69">
        <v>9954.6531526973886</v>
      </c>
      <c r="BA19" s="69">
        <v>10973.088832331672</v>
      </c>
      <c r="BB19" s="69">
        <v>20516.921574305627</v>
      </c>
      <c r="BC19" s="69">
        <v>80173.370498125121</v>
      </c>
      <c r="BD19" s="69">
        <v>41066.173957788429</v>
      </c>
      <c r="BE19" s="69">
        <v>43464.865379167015</v>
      </c>
      <c r="BF19" s="69">
        <v>24572.609553779672</v>
      </c>
      <c r="BG19" s="69">
        <v>6397.8158425259671</v>
      </c>
      <c r="BH19" s="69">
        <f>'[2]MEEIA 3 calcs'!BJ67</f>
        <v>5740.4513919906103</v>
      </c>
      <c r="BI19" s="69">
        <f>'[2]MEEIA 3 calcs'!BK67</f>
        <v>7252.8607050266928</v>
      </c>
      <c r="BJ19" s="69">
        <f>'[2]MEEIA 3 calcs'!BL67</f>
        <v>15609.264533708742</v>
      </c>
      <c r="BK19" s="69">
        <f>'[2]MEEIA 3 calcs'!BM67</f>
        <v>9931.0061988053349</v>
      </c>
      <c r="BL19" s="69">
        <f>'[2]MEEIA 3 calcs'!BN67</f>
        <v>10734.517311806689</v>
      </c>
      <c r="BM19" s="69">
        <f>'[2]MEEIA 3 calcs'!BO67</f>
        <v>12461.71833996677</v>
      </c>
      <c r="BN19" s="69">
        <f>'[2]MEEIA 3 calcs'!BP67</f>
        <v>22695.241702912812</v>
      </c>
      <c r="BO19" s="69">
        <f>'[2]MEEIA 3 calcs'!BQ67</f>
        <v>65408.507485155234</v>
      </c>
      <c r="BP19" s="69">
        <f>'[2]MEEIA 3 calcs'!BR67</f>
        <v>72715.89068358489</v>
      </c>
      <c r="BQ19" s="69">
        <f>'[2]MEEIA 3 calcs'!BS67</f>
        <v>72974.667994930234</v>
      </c>
      <c r="BR19" s="69">
        <f>'[2]MEEIA 3 calcs'!BT67</f>
        <v>48263.382838753387</v>
      </c>
      <c r="BS19" s="69">
        <f>'[2]MEEIA 3 calcs'!BU67</f>
        <v>20055.85905487034</v>
      </c>
      <c r="BT19" s="93">
        <f>'[2]M3 Allocations - TD'!BT35</f>
        <v>14245.616514940328</v>
      </c>
      <c r="BU19" s="94">
        <f>'[2]M3 Allocations - TD'!BU35</f>
        <v>16045.340693591272</v>
      </c>
      <c r="BV19" s="95">
        <f>'[2]M3 Allocations - TD'!BV35</f>
        <v>18425.431765750742</v>
      </c>
    </row>
    <row r="20" spans="1:76" x14ac:dyDescent="0.25">
      <c r="B20" s="65"/>
      <c r="G20" s="3"/>
      <c r="BT20" s="66"/>
      <c r="BU20" s="31"/>
      <c r="BV20" s="67"/>
    </row>
    <row r="21" spans="1:76" x14ac:dyDescent="0.25">
      <c r="A21" t="s">
        <v>117</v>
      </c>
      <c r="B21" s="65"/>
      <c r="D21" s="68" t="s">
        <v>67</v>
      </c>
      <c r="G21" s="3"/>
      <c r="BT21" s="66"/>
      <c r="BU21" s="31"/>
      <c r="BV21" s="67"/>
      <c r="BW21" t="s">
        <v>105</v>
      </c>
    </row>
    <row r="22" spans="1:76" x14ac:dyDescent="0.25">
      <c r="A22" t="s">
        <v>0</v>
      </c>
      <c r="B22" s="61">
        <v>0</v>
      </c>
      <c r="C22" s="62">
        <v>0</v>
      </c>
      <c r="D22" s="62">
        <v>0</v>
      </c>
      <c r="E22" s="62">
        <v>0</v>
      </c>
      <c r="F22" s="62">
        <v>28084.31</v>
      </c>
      <c r="G22" s="62">
        <v>338961.47</v>
      </c>
      <c r="H22" s="62">
        <v>431295.26</v>
      </c>
      <c r="I22" s="62">
        <v>454282.99</v>
      </c>
      <c r="J22" s="62">
        <v>419095.06</v>
      </c>
      <c r="K22" s="62">
        <v>344369.99</v>
      </c>
      <c r="L22" s="191">
        <v>308922.04000000004</v>
      </c>
      <c r="M22" s="191">
        <v>415727.27</v>
      </c>
      <c r="N22" s="191">
        <v>459121.81</v>
      </c>
      <c r="O22" s="191">
        <v>465524.23000000004</v>
      </c>
      <c r="P22" s="191">
        <v>420640.45999999996</v>
      </c>
      <c r="Q22" s="191">
        <v>333131.02</v>
      </c>
      <c r="R22" s="191">
        <v>297680.28000000003</v>
      </c>
      <c r="S22" s="191">
        <v>393958.54999999993</v>
      </c>
      <c r="T22" s="191">
        <v>529326.34</v>
      </c>
      <c r="U22" s="191">
        <v>496875.44000000006</v>
      </c>
      <c r="V22" s="191">
        <v>447785.36000000004</v>
      </c>
      <c r="W22" s="191">
        <v>302563.73</v>
      </c>
      <c r="X22" s="191">
        <v>322763.35000000003</v>
      </c>
      <c r="Y22" s="191">
        <v>427989.89000000013</v>
      </c>
      <c r="Z22" s="191">
        <v>556980.74999999988</v>
      </c>
      <c r="AA22" s="191">
        <v>1353651.1500000001</v>
      </c>
      <c r="AB22" s="191">
        <v>1757169.11</v>
      </c>
      <c r="AC22" s="191">
        <v>1185680.5900000001</v>
      </c>
      <c r="AD22" s="191">
        <v>1113985.45</v>
      </c>
      <c r="AE22" s="191">
        <v>1461163.7500000002</v>
      </c>
      <c r="AF22" s="191">
        <v>1930056.9700000002</v>
      </c>
      <c r="AG22" s="191">
        <v>1969181.3399999996</v>
      </c>
      <c r="AH22" s="191">
        <v>1934282.8</v>
      </c>
      <c r="AI22" s="208">
        <v>1339485.0199999998</v>
      </c>
      <c r="AJ22" s="208">
        <v>1255194.55</v>
      </c>
      <c r="AK22" s="208">
        <v>1570523.0000000002</v>
      </c>
      <c r="AL22" s="208">
        <v>2029992.9200000002</v>
      </c>
      <c r="AM22" s="208">
        <v>1633369.1100000003</v>
      </c>
      <c r="AN22" s="208">
        <v>714783.1</v>
      </c>
      <c r="AO22" s="208">
        <v>547759.59000000008</v>
      </c>
      <c r="AP22" s="208">
        <v>512195.46999999991</v>
      </c>
      <c r="AQ22" s="208">
        <v>651024.83000000007</v>
      </c>
      <c r="AR22" s="208">
        <v>895488.57999999984</v>
      </c>
      <c r="AS22" s="208">
        <v>853007.9</v>
      </c>
      <c r="AT22" s="208">
        <v>710408.71999999974</v>
      </c>
      <c r="AU22" s="208">
        <v>511382.35999999987</v>
      </c>
      <c r="AV22" s="208">
        <v>484043.54000000004</v>
      </c>
      <c r="AW22" s="208">
        <v>740070.25</v>
      </c>
      <c r="AX22" s="208">
        <v>888488.17000000016</v>
      </c>
      <c r="AY22" s="208">
        <v>877032.3600000001</v>
      </c>
      <c r="AZ22" s="208">
        <v>866898.88</v>
      </c>
      <c r="BA22" s="208">
        <v>747574.22</v>
      </c>
      <c r="BB22" s="208">
        <v>639066.06000000006</v>
      </c>
      <c r="BC22" s="208">
        <v>826550.16999999993</v>
      </c>
      <c r="BD22" s="208">
        <v>1081582.31</v>
      </c>
      <c r="BE22" s="208">
        <v>1114808.7899999996</v>
      </c>
      <c r="BF22" s="208">
        <v>1031141.02</v>
      </c>
      <c r="BG22" s="208">
        <v>747638.7000000003</v>
      </c>
      <c r="BH22" s="208">
        <f>-'[1]TDR.2 (M3)'!BD6</f>
        <v>653625.79</v>
      </c>
      <c r="BI22" s="208">
        <f>-'[1]TDR.2 (M3)'!BE6</f>
        <v>910434.22</v>
      </c>
      <c r="BJ22" s="208">
        <f>-'[1]TDR.2 (M3)'!BF6</f>
        <v>1191729.8599999992</v>
      </c>
      <c r="BK22" s="208">
        <f>-'[1]TDR.2 (M3)'!BG6</f>
        <v>902975.12999999896</v>
      </c>
      <c r="BL22" s="208">
        <f>-'[1]TDR.2 (M3)'!BH6</f>
        <v>301871.3200000003</v>
      </c>
      <c r="BM22" s="208">
        <f>-'[1]TDR.2 (M3)'!BI6</f>
        <v>270897.64000000019</v>
      </c>
      <c r="BN22" s="208">
        <f>-'[1]TDR.2 (M3)'!BJ6</f>
        <v>245579.13000000018</v>
      </c>
      <c r="BO22" s="208">
        <f>-'[1]TDR.2 (M3)'!BK6</f>
        <v>335264.72000000038</v>
      </c>
      <c r="BP22" s="208">
        <f>-'[1]TDR.2 (M3)'!BL6</f>
        <v>448247.77000000014</v>
      </c>
      <c r="BQ22" s="208">
        <f>-'[1]TDR.2 (M3)'!BM6</f>
        <v>408404.26</v>
      </c>
      <c r="BR22" s="208">
        <f>-'[1]TDR.2 (M3)'!BN6</f>
        <v>387762.56999999983</v>
      </c>
      <c r="BS22" s="208">
        <f>-'[1]TDR.2 (M3)'!BO6</f>
        <v>283021.01999999996</v>
      </c>
      <c r="BT22" s="210">
        <f>+'PCR (M3)'!BU28*'TDR (M3)'!$BW$22+BT36</f>
        <v>309858.29870482441</v>
      </c>
      <c r="BU22" s="21">
        <f>+'PCR (M3)'!BV28*'TDR (M3)'!$BW$22+BU36</f>
        <v>391405.78792820557</v>
      </c>
      <c r="BV22" s="241">
        <f>+'PCR (M3)'!BW28*'TDR (M3)'!$BW$22+BV36</f>
        <v>460580.52577097504</v>
      </c>
      <c r="BW22" s="70">
        <v>3.3599999999999998E-4</v>
      </c>
      <c r="BX22" s="3"/>
    </row>
    <row r="23" spans="1:76" x14ac:dyDescent="0.25">
      <c r="A23" t="s">
        <v>4</v>
      </c>
      <c r="B23" s="61">
        <v>0</v>
      </c>
      <c r="C23" s="62">
        <v>0</v>
      </c>
      <c r="D23" s="62">
        <v>0</v>
      </c>
      <c r="E23" s="62">
        <v>0</v>
      </c>
      <c r="F23" s="62">
        <v>4774.55</v>
      </c>
      <c r="G23" s="62">
        <v>61751.54</v>
      </c>
      <c r="H23" s="62">
        <v>70665.5</v>
      </c>
      <c r="I23" s="62">
        <v>72630.98</v>
      </c>
      <c r="J23" s="62">
        <v>70137.22</v>
      </c>
      <c r="K23" s="62">
        <v>63135.64</v>
      </c>
      <c r="L23" s="191">
        <v>56628.270000000019</v>
      </c>
      <c r="M23" s="191">
        <v>66553.34</v>
      </c>
      <c r="N23" s="191">
        <v>70974.640000000029</v>
      </c>
      <c r="O23" s="191">
        <v>74514.040000000008</v>
      </c>
      <c r="P23" s="191">
        <v>73821.709999999977</v>
      </c>
      <c r="Q23" s="191">
        <v>56719.110000000008</v>
      </c>
      <c r="R23" s="191">
        <v>51424.729999999989</v>
      </c>
      <c r="S23" s="191">
        <v>64574.180000000022</v>
      </c>
      <c r="T23" s="191">
        <v>80406.710000000021</v>
      </c>
      <c r="U23" s="191">
        <v>78372.460000000021</v>
      </c>
      <c r="V23" s="191">
        <v>75020.860000000015</v>
      </c>
      <c r="W23" s="191">
        <v>60809.53</v>
      </c>
      <c r="X23" s="191">
        <v>60774.799999999996</v>
      </c>
      <c r="Y23" s="191">
        <v>70212.570000000007</v>
      </c>
      <c r="Z23" s="191">
        <v>83755.55</v>
      </c>
      <c r="AA23" s="191">
        <v>247981.22999999998</v>
      </c>
      <c r="AB23" s="191">
        <v>383476.25999999995</v>
      </c>
      <c r="AC23" s="191">
        <v>305019.12000000005</v>
      </c>
      <c r="AD23" s="191">
        <v>298211.62</v>
      </c>
      <c r="AE23" s="191">
        <v>355738.7099999999</v>
      </c>
      <c r="AF23" s="191">
        <v>421100.94999999995</v>
      </c>
      <c r="AG23" s="191">
        <v>421260.25</v>
      </c>
      <c r="AH23" s="191">
        <v>425647.35000000009</v>
      </c>
      <c r="AI23" s="208">
        <v>355043.17</v>
      </c>
      <c r="AJ23" s="208">
        <v>317440.44000000006</v>
      </c>
      <c r="AK23" s="208">
        <v>361675.88999999996</v>
      </c>
      <c r="AL23" s="208">
        <v>427108.58</v>
      </c>
      <c r="AM23" s="208">
        <v>352548.03000000009</v>
      </c>
      <c r="AN23" s="208">
        <v>202576.29999999996</v>
      </c>
      <c r="AO23" s="208">
        <v>179190.8</v>
      </c>
      <c r="AP23" s="208">
        <v>173555.15</v>
      </c>
      <c r="AQ23" s="208">
        <v>201857.14</v>
      </c>
      <c r="AR23" s="208">
        <v>241561.14999999997</v>
      </c>
      <c r="AS23" s="208">
        <v>236616.93999999997</v>
      </c>
      <c r="AT23" s="208">
        <v>216950.84000000003</v>
      </c>
      <c r="AU23" s="208">
        <v>178443.24999999994</v>
      </c>
      <c r="AV23" s="208">
        <v>170114.82</v>
      </c>
      <c r="AW23" s="208">
        <v>212488.19</v>
      </c>
      <c r="AX23" s="208">
        <v>243116.99</v>
      </c>
      <c r="AY23" s="208">
        <v>187551.07</v>
      </c>
      <c r="AZ23" s="208">
        <v>136792.68</v>
      </c>
      <c r="BA23" s="208">
        <v>125661.64000000001</v>
      </c>
      <c r="BB23" s="208">
        <v>115949.34</v>
      </c>
      <c r="BC23" s="208">
        <v>139369.25</v>
      </c>
      <c r="BD23" s="208">
        <v>161718.04000000004</v>
      </c>
      <c r="BE23" s="208">
        <v>165200.46000000008</v>
      </c>
      <c r="BF23" s="208">
        <v>159904.26000000004</v>
      </c>
      <c r="BG23" s="208">
        <v>135422.35000000003</v>
      </c>
      <c r="BH23" s="208">
        <f>-'[1]TDR.2 (M3)'!BD7</f>
        <v>124505.35000000008</v>
      </c>
      <c r="BI23" s="208">
        <f>-'[1]TDR.2 (M3)'!BE7</f>
        <v>143114.57999999967</v>
      </c>
      <c r="BJ23" s="208">
        <f>-'[1]TDR.2 (M3)'!BF7</f>
        <v>172661.9399999998</v>
      </c>
      <c r="BK23" s="208">
        <f>-'[1]TDR.2 (M3)'!BG7</f>
        <v>182184.4699999998</v>
      </c>
      <c r="BL23" s="208">
        <f>-'[1]TDR.2 (M3)'!BH7</f>
        <v>166367.26999999993</v>
      </c>
      <c r="BM23" s="208">
        <f>-'[1]TDR.2 (M3)'!BI7</f>
        <v>161733.90000000005</v>
      </c>
      <c r="BN23" s="208">
        <f>-'[1]TDR.2 (M3)'!BJ7</f>
        <v>154028.50999999998</v>
      </c>
      <c r="BO23" s="208">
        <f>-'[1]TDR.2 (M3)'!BK7</f>
        <v>188258.76999999987</v>
      </c>
      <c r="BP23" s="208">
        <f>-'[1]TDR.2 (M3)'!BL7</f>
        <v>225103.89999999997</v>
      </c>
      <c r="BQ23" s="208">
        <f>-'[1]TDR.2 (M3)'!BM7</f>
        <v>211259.27000000022</v>
      </c>
      <c r="BR23" s="208">
        <f>-'[1]TDR.2 (M3)'!BN7</f>
        <v>205684.71999999997</v>
      </c>
      <c r="BS23" s="208">
        <f>-'[1]TDR.2 (M3)'!BO7</f>
        <v>173502.17999999996</v>
      </c>
      <c r="BT23" s="210">
        <f>+'PCR (M3)'!BU29*'TDR (M3)'!$BW$23</f>
        <v>163003.31398066776</v>
      </c>
      <c r="BU23" s="21">
        <f>+'PCR (M3)'!BV29*'TDR (M3)'!$BW$23</f>
        <v>195117.55307211404</v>
      </c>
      <c r="BV23" s="241">
        <f>+'PCR (M3)'!BW29*'TDR (M3)'!$BW$23</f>
        <v>219449.73927501347</v>
      </c>
      <c r="BW23" s="70">
        <v>7.0699999999999995E-4</v>
      </c>
      <c r="BX23" s="3"/>
    </row>
    <row r="24" spans="1:76" x14ac:dyDescent="0.25">
      <c r="A24" t="s">
        <v>5</v>
      </c>
      <c r="B24" s="61">
        <v>0</v>
      </c>
      <c r="C24" s="62">
        <v>0</v>
      </c>
      <c r="D24" s="62">
        <v>0</v>
      </c>
      <c r="E24" s="62">
        <v>0</v>
      </c>
      <c r="F24" s="62">
        <v>7030.01</v>
      </c>
      <c r="G24" s="62">
        <v>109921.60000000001</v>
      </c>
      <c r="H24" s="62">
        <v>118808.51</v>
      </c>
      <c r="I24" s="62">
        <v>121642.28</v>
      </c>
      <c r="J24" s="62">
        <v>122769.41</v>
      </c>
      <c r="K24" s="62">
        <v>112787.98</v>
      </c>
      <c r="L24" s="191">
        <v>99578.229999999981</v>
      </c>
      <c r="M24" s="191">
        <v>107954.60999999999</v>
      </c>
      <c r="N24" s="191">
        <v>111669.28</v>
      </c>
      <c r="O24" s="191">
        <v>108510.19999999998</v>
      </c>
      <c r="P24" s="191">
        <v>102469.35000000002</v>
      </c>
      <c r="Q24" s="191">
        <v>87569.04</v>
      </c>
      <c r="R24" s="191">
        <v>81676.990000000005</v>
      </c>
      <c r="S24" s="191">
        <v>96788.800000000003</v>
      </c>
      <c r="T24" s="191">
        <v>113009.34999999999</v>
      </c>
      <c r="U24" s="191">
        <v>112596.33999999998</v>
      </c>
      <c r="V24" s="191">
        <v>112065.74</v>
      </c>
      <c r="W24" s="191">
        <v>95621.750000000015</v>
      </c>
      <c r="X24" s="191">
        <v>93151.01</v>
      </c>
      <c r="Y24" s="191">
        <v>100114.88000000002</v>
      </c>
      <c r="Z24" s="191">
        <v>107296.64000000003</v>
      </c>
      <c r="AA24" s="191">
        <v>327311.55000000005</v>
      </c>
      <c r="AB24" s="191">
        <v>570755.54999999993</v>
      </c>
      <c r="AC24" s="191">
        <v>508275.99999999983</v>
      </c>
      <c r="AD24" s="191">
        <v>517711.44000000018</v>
      </c>
      <c r="AE24" s="191">
        <v>575315.39</v>
      </c>
      <c r="AF24" s="191">
        <v>673826.0199999999</v>
      </c>
      <c r="AG24" s="191">
        <v>667802.69000000006</v>
      </c>
      <c r="AH24" s="191">
        <v>680633.38000000012</v>
      </c>
      <c r="AI24" s="208">
        <v>598281.08999999985</v>
      </c>
      <c r="AJ24" s="208">
        <v>531580.7699999999</v>
      </c>
      <c r="AK24" s="208">
        <v>580996.62999999989</v>
      </c>
      <c r="AL24" s="208">
        <v>621109.79</v>
      </c>
      <c r="AM24" s="208">
        <v>504253.87000000011</v>
      </c>
      <c r="AN24" s="208">
        <v>301892.69</v>
      </c>
      <c r="AO24" s="208">
        <v>280545.47000000009</v>
      </c>
      <c r="AP24" s="208">
        <v>290164.87</v>
      </c>
      <c r="AQ24" s="208">
        <v>325613.77</v>
      </c>
      <c r="AR24" s="208">
        <v>365143.97000000003</v>
      </c>
      <c r="AS24" s="208">
        <v>362549.21000000008</v>
      </c>
      <c r="AT24" s="208">
        <v>346741.86</v>
      </c>
      <c r="AU24" s="208">
        <v>297961.13</v>
      </c>
      <c r="AV24" s="208">
        <v>289745.45</v>
      </c>
      <c r="AW24" s="208">
        <v>322981.7</v>
      </c>
      <c r="AX24" s="208">
        <v>335255.09999999998</v>
      </c>
      <c r="AY24" s="208">
        <v>503655.97000000003</v>
      </c>
      <c r="AZ24" s="208">
        <v>786219.87</v>
      </c>
      <c r="BA24" s="208">
        <v>753502.02</v>
      </c>
      <c r="BB24" s="208">
        <v>749883.21</v>
      </c>
      <c r="BC24" s="208">
        <v>846049.12000000011</v>
      </c>
      <c r="BD24" s="208">
        <v>910940.94000000018</v>
      </c>
      <c r="BE24" s="208">
        <v>943469.0700000003</v>
      </c>
      <c r="BF24" s="208">
        <v>944687.32000000007</v>
      </c>
      <c r="BG24" s="208">
        <v>830714.64999999967</v>
      </c>
      <c r="BH24" s="208">
        <f>-'[1]TDR.2 (M3)'!BD8</f>
        <v>765733.92</v>
      </c>
      <c r="BI24" s="208">
        <f>-'[1]TDR.2 (M3)'!BE8</f>
        <v>816557.83999999973</v>
      </c>
      <c r="BJ24" s="208">
        <f>-'[1]TDR.2 (M3)'!BF8</f>
        <v>899820.36999999988</v>
      </c>
      <c r="BK24" s="208">
        <f>-'[1]TDR.2 (M3)'!BG8</f>
        <v>678121.61999999953</v>
      </c>
      <c r="BL24" s="208">
        <f>-'[1]TDR.2 (M3)'!BH8</f>
        <v>394853.95999999996</v>
      </c>
      <c r="BM24" s="208">
        <f>-'[1]TDR.2 (M3)'!BI8</f>
        <v>390347.84000000026</v>
      </c>
      <c r="BN24" s="208">
        <f>-'[1]TDR.2 (M3)'!BJ8</f>
        <v>392311.86000000004</v>
      </c>
      <c r="BO24" s="208">
        <f>-'[1]TDR.2 (M3)'!BK8</f>
        <v>444401.89</v>
      </c>
      <c r="BP24" s="208">
        <f>-'[1]TDR.2 (M3)'!BL8</f>
        <v>501845.24000000011</v>
      </c>
      <c r="BQ24" s="208">
        <f>-'[1]TDR.2 (M3)'!BM8</f>
        <v>470958.4699999998</v>
      </c>
      <c r="BR24" s="208">
        <f>-'[1]TDR.2 (M3)'!BN8</f>
        <v>471187.06999999989</v>
      </c>
      <c r="BS24" s="208">
        <f>-'[1]TDR.2 (M3)'!BO8</f>
        <v>420272.20999999985</v>
      </c>
      <c r="BT24" s="210">
        <f>+'PCR (M3)'!BU30*'TDR (M3)'!$BW$24</f>
        <v>399198.07514596864</v>
      </c>
      <c r="BU24" s="21">
        <f>+'PCR (M3)'!BV30*'TDR (M3)'!$BW$24</f>
        <v>439298.2949126719</v>
      </c>
      <c r="BV24" s="241">
        <f>+'PCR (M3)'!BW30*'TDR (M3)'!$BW$24</f>
        <v>461628.46892766497</v>
      </c>
      <c r="BW24" s="70">
        <v>7.9299999999999998E-4</v>
      </c>
      <c r="BX24" s="3"/>
    </row>
    <row r="25" spans="1:76" x14ac:dyDescent="0.25">
      <c r="A25" t="s">
        <v>6</v>
      </c>
      <c r="B25" s="61">
        <v>0</v>
      </c>
      <c r="C25" s="62">
        <v>0</v>
      </c>
      <c r="D25" s="62">
        <v>0</v>
      </c>
      <c r="E25" s="62">
        <v>0</v>
      </c>
      <c r="F25" s="62">
        <v>2496.56</v>
      </c>
      <c r="G25" s="62">
        <v>42291.09</v>
      </c>
      <c r="H25" s="62">
        <v>47913.74</v>
      </c>
      <c r="I25" s="62">
        <v>50299.83</v>
      </c>
      <c r="J25" s="62">
        <v>49993.73</v>
      </c>
      <c r="K25" s="62">
        <v>46326.65</v>
      </c>
      <c r="L25" s="191">
        <v>42840.76999999999</v>
      </c>
      <c r="M25" s="191">
        <v>43135.039999999994</v>
      </c>
      <c r="N25" s="191">
        <v>44374.039999999994</v>
      </c>
      <c r="O25" s="191">
        <v>45259.54</v>
      </c>
      <c r="P25" s="191">
        <v>39182.19</v>
      </c>
      <c r="Q25" s="191">
        <v>38273.289999999994</v>
      </c>
      <c r="R25" s="191">
        <v>36030.869999999995</v>
      </c>
      <c r="S25" s="191">
        <v>41962.670000000006</v>
      </c>
      <c r="T25" s="191">
        <v>44167.05000000001</v>
      </c>
      <c r="U25" s="191">
        <v>46294.410000000018</v>
      </c>
      <c r="V25" s="191">
        <v>46306.19</v>
      </c>
      <c r="W25" s="191">
        <v>41160.139999999992</v>
      </c>
      <c r="X25" s="191">
        <v>40868.619999999988</v>
      </c>
      <c r="Y25" s="191">
        <v>42762.14</v>
      </c>
      <c r="Z25" s="191">
        <v>41986.66</v>
      </c>
      <c r="AA25" s="191">
        <v>113037.43</v>
      </c>
      <c r="AB25" s="191">
        <v>187949.41</v>
      </c>
      <c r="AC25" s="191">
        <v>188602.40000000008</v>
      </c>
      <c r="AD25" s="191">
        <v>195382.66999999995</v>
      </c>
      <c r="AE25" s="191">
        <v>188207.84000000005</v>
      </c>
      <c r="AF25" s="191">
        <v>251615.09000000005</v>
      </c>
      <c r="AG25" s="191">
        <v>231015.31</v>
      </c>
      <c r="AH25" s="191">
        <v>233947.54999999996</v>
      </c>
      <c r="AI25" s="208">
        <v>202010.25</v>
      </c>
      <c r="AJ25" s="208">
        <v>176212.47999999998</v>
      </c>
      <c r="AK25" s="208">
        <v>231619.08</v>
      </c>
      <c r="AL25" s="208">
        <v>223678.56999999998</v>
      </c>
      <c r="AM25" s="208">
        <v>167453.83999999997</v>
      </c>
      <c r="AN25" s="208">
        <v>87280.08</v>
      </c>
      <c r="AO25" s="208">
        <v>74518.28</v>
      </c>
      <c r="AP25" s="208">
        <v>87009.310000000012</v>
      </c>
      <c r="AQ25" s="208">
        <v>99059.549999999988</v>
      </c>
      <c r="AR25" s="208">
        <v>102989.08</v>
      </c>
      <c r="AS25" s="208">
        <v>102162.93000000001</v>
      </c>
      <c r="AT25" s="208">
        <v>99521.61</v>
      </c>
      <c r="AU25" s="208">
        <v>88233.749999999971</v>
      </c>
      <c r="AV25" s="208">
        <v>89104.03</v>
      </c>
      <c r="AW25" s="208">
        <v>92492.2</v>
      </c>
      <c r="AX25" s="208">
        <v>88054.049999999988</v>
      </c>
      <c r="AY25" s="208">
        <v>120533.48000000001</v>
      </c>
      <c r="AZ25" s="208">
        <v>193175.06999999998</v>
      </c>
      <c r="BA25" s="208">
        <v>200125.63999999998</v>
      </c>
      <c r="BB25" s="208">
        <v>199975.26</v>
      </c>
      <c r="BC25" s="208">
        <v>209103.63</v>
      </c>
      <c r="BD25" s="208">
        <v>214447.90999999997</v>
      </c>
      <c r="BE25" s="208">
        <v>242601.69000000012</v>
      </c>
      <c r="BF25" s="208">
        <v>231833.74000000011</v>
      </c>
      <c r="BG25" s="208">
        <v>201281.08999999994</v>
      </c>
      <c r="BH25" s="208">
        <f>-'[1]TDR.2 (M3)'!BD9</f>
        <v>202710.94999999998</v>
      </c>
      <c r="BI25" s="208">
        <f>-'[1]TDR.2 (M3)'!BE9</f>
        <v>199303.11000000002</v>
      </c>
      <c r="BJ25" s="208">
        <f>-'[1]TDR.2 (M3)'!BF9</f>
        <v>210550.35000000006</v>
      </c>
      <c r="BK25" s="208">
        <f>-'[1]TDR.2 (M3)'!BG9</f>
        <v>168623.56000000006</v>
      </c>
      <c r="BL25" s="208">
        <f>-'[1]TDR.2 (M3)'!BH9</f>
        <v>84037.779999999955</v>
      </c>
      <c r="BM25" s="208">
        <f>-'[1]TDR.2 (M3)'!BI9</f>
        <v>76596.08</v>
      </c>
      <c r="BN25" s="208">
        <f>-'[1]TDR.2 (M3)'!BJ9</f>
        <v>80331.309999999983</v>
      </c>
      <c r="BO25" s="208">
        <f>-'[1]TDR.2 (M3)'!BK9</f>
        <v>87580.989999999991</v>
      </c>
      <c r="BP25" s="208">
        <f>-'[1]TDR.2 (M3)'!BL9</f>
        <v>94051.099999999991</v>
      </c>
      <c r="BQ25" s="208">
        <f>-'[1]TDR.2 (M3)'!BM9</f>
        <v>88881.490000000034</v>
      </c>
      <c r="BR25" s="208">
        <f>-'[1]TDR.2 (M3)'!BN9</f>
        <v>87211.459999999992</v>
      </c>
      <c r="BS25" s="208">
        <f>-'[1]TDR.2 (M3)'!BO9</f>
        <v>85590.090000000055</v>
      </c>
      <c r="BT25" s="210">
        <f>+'PCR (M3)'!BU31*'TDR (M3)'!$BW$25</f>
        <v>81524.150058755928</v>
      </c>
      <c r="BU25" s="21">
        <f>+'PCR (M3)'!BV31*'TDR (M3)'!$BW$25</f>
        <v>86196.342512000105</v>
      </c>
      <c r="BV25" s="241">
        <f>+'PCR (M3)'!BW31*'TDR (M3)'!$BW$25</f>
        <v>89922.413412669499</v>
      </c>
      <c r="BW25" s="70">
        <v>3.6900000000000002E-4</v>
      </c>
      <c r="BX25" s="3"/>
    </row>
    <row r="26" spans="1:76" x14ac:dyDescent="0.25">
      <c r="A26" t="s">
        <v>7</v>
      </c>
      <c r="B26" s="61">
        <v>0</v>
      </c>
      <c r="C26" s="62">
        <v>0</v>
      </c>
      <c r="D26" s="62">
        <v>0</v>
      </c>
      <c r="E26" s="62">
        <v>0</v>
      </c>
      <c r="F26" s="62">
        <v>0</v>
      </c>
      <c r="G26" s="62">
        <v>4678.1400000000003</v>
      </c>
      <c r="H26" s="62">
        <v>7353.04</v>
      </c>
      <c r="I26" s="62">
        <v>8142.09</v>
      </c>
      <c r="J26" s="62">
        <v>8251.43</v>
      </c>
      <c r="K26" s="62">
        <v>7783.91</v>
      </c>
      <c r="L26" s="191">
        <v>6912.6799999999994</v>
      </c>
      <c r="M26" s="191">
        <v>6504.34</v>
      </c>
      <c r="N26" s="191">
        <v>6883.48</v>
      </c>
      <c r="O26" s="191">
        <v>11571.119999999999</v>
      </c>
      <c r="P26" s="191">
        <v>19931.79</v>
      </c>
      <c r="Q26" s="191">
        <v>21827.09</v>
      </c>
      <c r="R26" s="191">
        <v>22161.010000000002</v>
      </c>
      <c r="S26" s="191">
        <v>17306.599999999999</v>
      </c>
      <c r="T26" s="191">
        <v>24911.24</v>
      </c>
      <c r="U26" s="191">
        <v>25659.019999999997</v>
      </c>
      <c r="V26" s="191">
        <v>26024.15</v>
      </c>
      <c r="W26" s="191">
        <v>22923.1</v>
      </c>
      <c r="X26" s="191">
        <v>22483.33</v>
      </c>
      <c r="Y26" s="191">
        <v>22959.239999999998</v>
      </c>
      <c r="Z26" s="191">
        <v>20997.32</v>
      </c>
      <c r="AA26" s="191">
        <v>34921.4</v>
      </c>
      <c r="AB26" s="191">
        <v>24946.880000000001</v>
      </c>
      <c r="AC26" s="191">
        <v>42288.49</v>
      </c>
      <c r="AD26" s="191">
        <v>42963.199999999997</v>
      </c>
      <c r="AE26" s="191">
        <v>41464.469999999994</v>
      </c>
      <c r="AF26" s="191">
        <v>52916.49</v>
      </c>
      <c r="AG26" s="191">
        <v>50374.329999999994</v>
      </c>
      <c r="AH26" s="191">
        <v>54469.920000000006</v>
      </c>
      <c r="AI26" s="208">
        <v>49925.55</v>
      </c>
      <c r="AJ26" s="208">
        <v>33144.800000000003</v>
      </c>
      <c r="AK26" s="208">
        <v>46471.669999999991</v>
      </c>
      <c r="AL26" s="208">
        <v>43301.109999999993</v>
      </c>
      <c r="AM26" s="208">
        <v>35959.279999999999</v>
      </c>
      <c r="AN26" s="208">
        <v>6497.26</v>
      </c>
      <c r="AO26" s="208">
        <v>-22925.25</v>
      </c>
      <c r="AP26" s="208">
        <v>5065.8700000000008</v>
      </c>
      <c r="AQ26" s="208">
        <v>6175.3700000000008</v>
      </c>
      <c r="AR26" s="208">
        <v>7084.6299999999992</v>
      </c>
      <c r="AS26" s="208">
        <v>7005.1099999999988</v>
      </c>
      <c r="AT26" s="208">
        <v>7302.95</v>
      </c>
      <c r="AU26" s="208">
        <v>6273.92</v>
      </c>
      <c r="AV26" s="208">
        <v>6266.68</v>
      </c>
      <c r="AW26" s="208">
        <v>6152.05</v>
      </c>
      <c r="AX26" s="208">
        <v>5193.43</v>
      </c>
      <c r="AY26" s="208">
        <v>7679.01</v>
      </c>
      <c r="AZ26" s="208">
        <v>21723.21</v>
      </c>
      <c r="BA26" s="208">
        <v>21854.95</v>
      </c>
      <c r="BB26" s="208">
        <v>22860.41</v>
      </c>
      <c r="BC26" s="208">
        <v>27496.559999999998</v>
      </c>
      <c r="BD26" s="208">
        <v>25753.58</v>
      </c>
      <c r="BE26" s="208">
        <v>29526.94</v>
      </c>
      <c r="BF26" s="208">
        <v>32202.720000000001</v>
      </c>
      <c r="BG26" s="208">
        <v>32474.480000000003</v>
      </c>
      <c r="BH26" s="208">
        <f>-'[1]TDR.2 (M3)'!BD10</f>
        <v>28952.260000000006</v>
      </c>
      <c r="BI26" s="208">
        <f>-'[1]TDR.2 (M3)'!BE10</f>
        <v>32597.200000000004</v>
      </c>
      <c r="BJ26" s="208">
        <f>-'[1]TDR.2 (M3)'!BF10</f>
        <v>28562.539999999997</v>
      </c>
      <c r="BK26" s="208">
        <f>-'[1]TDR.2 (M3)'!BG10</f>
        <v>20444.850000000002</v>
      </c>
      <c r="BL26" s="208">
        <f>-'[1]TDR.2 (M3)'!BH10</f>
        <v>14661.1</v>
      </c>
      <c r="BM26" s="208">
        <f>-'[1]TDR.2 (M3)'!BI10</f>
        <v>14188.33</v>
      </c>
      <c r="BN26" s="208">
        <f>-'[1]TDR.2 (M3)'!BJ10</f>
        <v>17263.419999999998</v>
      </c>
      <c r="BO26" s="208">
        <f>-'[1]TDR.2 (M3)'!BK10</f>
        <v>17504.250000000004</v>
      </c>
      <c r="BP26" s="208">
        <f>-'[1]TDR.2 (M3)'!BL10</f>
        <v>20201.560000000001</v>
      </c>
      <c r="BQ26" s="208">
        <f>-'[1]TDR.2 (M3)'!BM10</f>
        <v>19905.560000000001</v>
      </c>
      <c r="BR26" s="208">
        <f>-'[1]TDR.2 (M3)'!BN10</f>
        <v>17391.68</v>
      </c>
      <c r="BS26" s="208">
        <f>-'[1]TDR.2 (M3)'!BO10</f>
        <v>17371.310000000001</v>
      </c>
      <c r="BT26" s="210">
        <f>+'PCR (M3)'!BU32*'TDR (M3)'!$BW$26</f>
        <v>16810.834836388542</v>
      </c>
      <c r="BU26" s="21">
        <f>+'PCR (M3)'!BV32*'TDR (M3)'!$BW$26</f>
        <v>16621.425025293112</v>
      </c>
      <c r="BV26" s="241">
        <f>+'PCR (M3)'!BW32*'TDR (M3)'!$BW$26</f>
        <v>16558.441077042335</v>
      </c>
      <c r="BW26" s="70">
        <v>2.4800000000000001E-4</v>
      </c>
      <c r="BX26" s="3"/>
    </row>
    <row r="27" spans="1:76" x14ac:dyDescent="0.2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71"/>
      <c r="BU27" s="3"/>
      <c r="BV27" s="67"/>
      <c r="BX27" s="3"/>
    </row>
    <row r="28" spans="1:76" x14ac:dyDescent="0.25">
      <c r="A28" t="s">
        <v>100</v>
      </c>
      <c r="B28" s="66"/>
      <c r="D28" s="68"/>
      <c r="BT28" s="71"/>
      <c r="BU28" s="3"/>
      <c r="BV28" s="67"/>
    </row>
    <row r="29" spans="1:76" x14ac:dyDescent="0.25">
      <c r="A29" t="s">
        <v>0</v>
      </c>
      <c r="B29" s="72">
        <v>0</v>
      </c>
      <c r="C29" s="21">
        <v>0</v>
      </c>
      <c r="D29" s="21">
        <v>0</v>
      </c>
      <c r="E29" s="21">
        <v>0</v>
      </c>
      <c r="F29" s="206">
        <f>+(F22-F36)+(F36*'PCR (M3)'!G28/SUM('PCR (M3)'!G28:G32))</f>
        <v>28636.335868779192</v>
      </c>
      <c r="G29" s="206">
        <f>+(G22-G36)+(G36*'PCR (M3)'!H28/SUM('PCR (M3)'!H28:H32))</f>
        <v>344669.92129031231</v>
      </c>
      <c r="H29" s="206">
        <f>+(H22-H36)+(H36*'PCR (M3)'!I28/SUM('PCR (M3)'!I28:I32))</f>
        <v>437739.69493695599</v>
      </c>
      <c r="I29" s="206">
        <f>+(I22-I36)+(I36*'PCR (M3)'!J28/SUM('PCR (M3)'!J28:J32))</f>
        <v>461093.89388914994</v>
      </c>
      <c r="J29" s="206">
        <f>+(J22-J36)+(J36*'PCR (M3)'!K28/SUM('PCR (M3)'!K28:K32))</f>
        <v>425531.99443758972</v>
      </c>
      <c r="K29" s="206">
        <f>+(K22-K36)+(K36*'PCR (M3)'!L28/SUM('PCR (M3)'!L28:L32))</f>
        <v>350101.97926152864</v>
      </c>
      <c r="L29" s="206">
        <f>+(L22-L36)+(L36*'PCR (M3)'!M28/SUM('PCR (M3)'!M28:M32))</f>
        <v>315194.78964232607</v>
      </c>
      <c r="M29" s="206">
        <f>+(M22-M36)+(M36*'PCR (M3)'!N28/SUM('PCR (M3)'!N28:N32))</f>
        <v>423499.84124645527</v>
      </c>
      <c r="N29" s="206">
        <f>+(N22-N36)+(N36*'PCR (M3)'!O28/SUM('PCR (M3)'!O28:O32))</f>
        <v>467459.76087976695</v>
      </c>
      <c r="O29" s="206">
        <f>+(O22-O36)+(O36*'PCR (M3)'!P28/SUM('PCR (M3)'!P28:P32))</f>
        <v>474323.05163473403</v>
      </c>
      <c r="P29" s="206">
        <f>+(P22-P36)+(P36*'PCR (M3)'!Q28/SUM('PCR (M3)'!Q28:Q32))</f>
        <v>428810.25716296647</v>
      </c>
      <c r="Q29" s="206">
        <f>+(Q22-Q36)+(Q36*'PCR (M3)'!R28/SUM('PCR (M3)'!R28:R32))</f>
        <v>339346.33491655142</v>
      </c>
      <c r="R29" s="206">
        <f>+(R22-R36)+(R36*'PCR (M3)'!S28/SUM('PCR (M3)'!S28:S32))</f>
        <v>302925.05162387801</v>
      </c>
      <c r="S29" s="206">
        <f>+(S22-S36)+(S36*'PCR (M3)'!T28/SUM('PCR (M3)'!T28:T32))</f>
        <v>399589.74786578165</v>
      </c>
      <c r="T29" s="206">
        <f>+(T22-T36)+(T36*'PCR (M3)'!U28/SUM('PCR (M3)'!U28:U32))</f>
        <v>536049.73122413771</v>
      </c>
      <c r="U29" s="206">
        <f>+(U22-U36)+(U36*'PCR (M3)'!V28/SUM('PCR (M3)'!V28:V32))</f>
        <v>503311.04413038638</v>
      </c>
      <c r="V29" s="206">
        <f>+(V22-V36)+(V36*'PCR (M3)'!W28/SUM('PCR (M3)'!W28:W32))</f>
        <v>453730.11803544639</v>
      </c>
      <c r="W29" s="206">
        <f>+(W22-W36)+(W36*'PCR (M3)'!X28/SUM('PCR (M3)'!X28:X32))</f>
        <v>307694.93026905361</v>
      </c>
      <c r="X29" s="206">
        <f>+(X22-X36)+(X36*'PCR (M3)'!Y28/SUM('PCR (M3)'!Y28:Y32))</f>
        <v>328619.27667869354</v>
      </c>
      <c r="Y29" s="206">
        <f>+(Y22-Y36)+(Y36*'PCR (M3)'!Z28/SUM('PCR (M3)'!Z28:Z32))</f>
        <v>435339.54516653373</v>
      </c>
      <c r="Z29" s="206">
        <f>+(Z22-Z36)+(Z36*'PCR (M3)'!AA28/SUM('PCR (M3)'!AA28:AA32))</f>
        <v>565868.6449616137</v>
      </c>
      <c r="AA29" s="206">
        <f>+(AA22-AA36)+(AA36*'PCR (M3)'!AB28/SUM('PCR (M3)'!AB28:AB32))</f>
        <v>1375644.4768897498</v>
      </c>
      <c r="AB29" s="206">
        <f>+(AB22-AB36)+(AB36*'PCR (M3)'!AC28/SUM('PCR (M3)'!AC28:AC32))</f>
        <v>1787809.7846895901</v>
      </c>
      <c r="AC29" s="206">
        <f>+(AC22-AC36)+(AC36*'PCR (M3)'!AD28/SUM('PCR (M3)'!AD28:AD32))</f>
        <v>1208966.210998087</v>
      </c>
      <c r="AD29" s="206">
        <f>+(AD22-AD36)+(AD36*'PCR (M3)'!AE28/SUM('PCR (M3)'!AE28:AE32))</f>
        <v>1135096.7258818494</v>
      </c>
      <c r="AE29" s="206">
        <f>+(AE22-AE36)+(AE36*'PCR (M3)'!AF28/SUM('PCR (M3)'!AF28:AF32))</f>
        <v>1483131.5421443435</v>
      </c>
      <c r="AF29" s="206">
        <f>+(AF22-AF36)+(AF36*'PCR (M3)'!AG28/SUM('PCR (M3)'!AG28:AG32))</f>
        <v>1957827.6512690855</v>
      </c>
      <c r="AG29" s="206">
        <f>+(AG22-AG36)+(AG36*'PCR (M3)'!AH28/SUM('PCR (M3)'!AH28:AH32))</f>
        <v>1996815.8330496505</v>
      </c>
      <c r="AH29" s="206">
        <f>+(AH22-AH36)+(AH36*'PCR (M3)'!AI28/SUM('PCR (M3)'!AI28:AI32))</f>
        <v>1962236.8311878431</v>
      </c>
      <c r="AI29" s="206">
        <f>+(AI22-AI36)+(AI36*'PCR (M3)'!AJ28/SUM('PCR (M3)'!AJ28:AJ32))</f>
        <v>1361448.9893388001</v>
      </c>
      <c r="AJ29" s="206">
        <f>+(AJ22-AJ36)+(AJ36*'PCR (M3)'!AK28/SUM('PCR (M3)'!AK28:AK32))</f>
        <v>1281352.7100728622</v>
      </c>
      <c r="AK29" s="206">
        <f>+(AK22-AK36)+(AK36*'PCR (M3)'!AL28/SUM('PCR (M3)'!AL28:AL32))</f>
        <v>1606180.5544486167</v>
      </c>
      <c r="AL29" s="206">
        <f>+(AL22-AL36)+(AL36*'PCR (M3)'!AM28/SUM('PCR (M3)'!AM28:AM32))</f>
        <v>2073689.0595104089</v>
      </c>
      <c r="AM29" s="206">
        <f>+(AM22-AM36)+(AM36*'PCR (M3)'!AN28/SUM('PCR (M3)'!AN28:AN32))</f>
        <v>1671524.4079852235</v>
      </c>
      <c r="AN29" s="206">
        <f>+(AN22-AN36)+(AN36*'PCR (M3)'!AO28/SUM('PCR (M3)'!AO28:AO32))</f>
        <v>731304.04769213265</v>
      </c>
      <c r="AO29" s="206">
        <f>+(AO22-AO36)+(AO36*'PCR (M3)'!AP28/SUM('PCR (M3)'!AP28:AP32))</f>
        <v>560620.84130505694</v>
      </c>
      <c r="AP29" s="206">
        <f>+(AP22-AP36)+(AP36*'PCR (M3)'!AQ28/SUM('PCR (M3)'!AQ28:AQ32))</f>
        <v>521764.12904962641</v>
      </c>
      <c r="AQ29" s="206">
        <f>+(AQ22-AQ36)+(AQ36*'PCR (M3)'!AR28/SUM('PCR (M3)'!AR28:AR32))</f>
        <v>661161.70778883004</v>
      </c>
      <c r="AR29" s="206">
        <f>+(AR22-AR36)+(AR36*'PCR (M3)'!AS28/SUM('PCR (M3)'!AS28:AS32))</f>
        <v>907955.14836252958</v>
      </c>
      <c r="AS29" s="206">
        <f>+(AS22-AS36)+(AS36*'PCR (M3)'!AT28/SUM('PCR (M3)'!AT28:AT32))</f>
        <v>865613.78677226591</v>
      </c>
      <c r="AT29" s="206">
        <f>+(AT22-AT36)+(AT36*'PCR (M3)'!AU28/SUM('PCR (M3)'!AU28:AU32))</f>
        <v>722180.00996221555</v>
      </c>
      <c r="AU29" s="203">
        <f>+(AU22-AU36)+(AU36*'PCR (M3)'!AV28/SUM('PCR (M3)'!AV28:AV32))</f>
        <v>521401.47348380263</v>
      </c>
      <c r="AV29" s="203">
        <f>+(AV22-AV36)+(AV36*'PCR (M3)'!AW28/SUM('PCR (M3)'!AW28:AW32))</f>
        <v>494704.46538048889</v>
      </c>
      <c r="AW29" s="203">
        <f>+(AW22-AW36)+(AW36*'PCR (M3)'!AX28/SUM('PCR (M3)'!AX28:AX32))</f>
        <v>756126.23939637165</v>
      </c>
      <c r="AX29" s="203">
        <f>+(AX22-AX36)+(AX36*'PCR (M3)'!AY28/SUM('PCR (M3)'!AY28:AY32))</f>
        <v>905435.35475830093</v>
      </c>
      <c r="AY29" s="203">
        <f>+(AY22-AY36)+(AY36*'PCR (M3)'!AZ28/SUM('PCR (M3)'!AZ28:AZ32))</f>
        <v>894861.30971378391</v>
      </c>
      <c r="AZ29" s="203">
        <f>+(AZ22-AZ36)+(AZ36*'PCR (M3)'!BA28/SUM('PCR (M3)'!BA28:BA32))</f>
        <v>886186.43605950114</v>
      </c>
      <c r="BA29" s="203">
        <f>+(BA22-BA36)+(BA36*'PCR (M3)'!BB28/SUM('PCR (M3)'!BB28:BB32))</f>
        <v>765014.07629471621</v>
      </c>
      <c r="BB29" s="203">
        <f>+(BB22-BB36)+(BB36*'PCR (M3)'!BC28/SUM('PCR (M3)'!BC28:BC32))</f>
        <v>653602.05200737016</v>
      </c>
      <c r="BC29" s="203">
        <f>+(BC22-BC36)+(BC36*'PCR (M3)'!BD28/SUM('PCR (M3)'!BD28:BD32))</f>
        <v>842781.28485866322</v>
      </c>
      <c r="BD29" s="203">
        <f>+(BD22-BD36)+(BD36*'PCR (M3)'!BE28/SUM('PCR (M3)'!BE28:BE32))</f>
        <v>1100550.8342116643</v>
      </c>
      <c r="BE29" s="203">
        <f>+(BE22-BE36)+(BE36*'PCR (M3)'!BF28/SUM('PCR (M3)'!BF28:BF32))</f>
        <v>1135131.3126591193</v>
      </c>
      <c r="BF29" s="203">
        <f>+(BF22-BF36)+(BF36*'PCR (M3)'!BG28/SUM('PCR (M3)'!BG28:BG32))</f>
        <v>1050840.2575926636</v>
      </c>
      <c r="BG29" s="203">
        <f>+(BG22-BG36)+(BG36*'PCR (M3)'!BH28/SUM('PCR (M3)'!BH28:BH32))</f>
        <v>764524.99814993294</v>
      </c>
      <c r="BH29" s="203">
        <f>+(BH22-BH36)+(BH36*'PCR (M3)'!BI28/SUM('PCR (M3)'!BI28:BI32))</f>
        <v>670016.45565617608</v>
      </c>
      <c r="BI29" s="203">
        <f>+(BI22-BI36)+(BI36*'PCR (M3)'!BJ28/SUM('PCR (M3)'!BJ28:BJ32))</f>
        <v>931821.74610436941</v>
      </c>
      <c r="BJ29" s="203">
        <f>+(BJ22-BJ36)+(BJ36*'PCR (M3)'!BK28/SUM('PCR (M3)'!BK28:BK32))</f>
        <v>1217209.6013274554</v>
      </c>
      <c r="BK29" s="203">
        <f>+(BK22-BK36)+(BK36*'PCR (M3)'!BL28/SUM('PCR (M3)'!BL28:BL32))</f>
        <v>923613.94602948369</v>
      </c>
      <c r="BL29" s="203">
        <f>+(BL22-BL36)+(BL36*'PCR (M3)'!BM28/SUM('PCR (M3)'!BM28:BM32))</f>
        <v>309676.3040438632</v>
      </c>
      <c r="BM29" s="203">
        <f>+(BM22-BM36)+(BM36*'PCR (M3)'!BN28/SUM('PCR (M3)'!BN28:BN32))</f>
        <v>277828.71246966749</v>
      </c>
      <c r="BN29" s="203">
        <f>+(BN22-BN36)+(BN36*'PCR (M3)'!BO28/SUM('PCR (M3)'!BO28:BO32))</f>
        <v>251603.36248509737</v>
      </c>
      <c r="BO29" s="203">
        <f>+(BO22-BO36)+(BO36*'PCR (M3)'!BP28/SUM('PCR (M3)'!BP28:BP32))</f>
        <v>342099.90476893174</v>
      </c>
      <c r="BP29" s="203">
        <f>+(BP22-BP36)+(BP36*'PCR (M3)'!BQ28/SUM('PCR (M3)'!BQ28:BQ32))</f>
        <v>456637.17127485404</v>
      </c>
      <c r="BQ29" s="203">
        <f>+(BQ22-BQ36)+(BQ36*'PCR (M3)'!BR28/SUM('PCR (M3)'!BR28:BR32))</f>
        <v>416198.73979180312</v>
      </c>
      <c r="BR29" s="203">
        <f>+(BR22-BR36)+(BR36*'PCR (M3)'!BS28/SUM('PCR (M3)'!BS28:BS32))</f>
        <v>395220.80121849291</v>
      </c>
      <c r="BS29" s="203">
        <f>+(BS22-BS36)+(BS36*'PCR (M3)'!BT28/SUM('PCR (M3)'!BT28:BT32))</f>
        <v>289269.856468543</v>
      </c>
      <c r="BT29" s="232">
        <f>+(BT22-BT36)+(BT36*'PCR (M3)'!BU28/SUM('PCR (M3)'!BU28:BU32))</f>
        <v>316702.31165735261</v>
      </c>
      <c r="BU29" s="206">
        <f>+(BU22-BU36)+(BU36*'PCR (M3)'!BV28/SUM('PCR (M3)'!BV28:BV32))</f>
        <v>399492.0191064456</v>
      </c>
      <c r="BV29" s="209">
        <f>+(BV22-BV36)+(BV36*'PCR (M3)'!BW28/SUM('PCR (M3)'!BW28:BW32))</f>
        <v>469601.09296804987</v>
      </c>
      <c r="BW29" s="260"/>
    </row>
    <row r="30" spans="1:76" x14ac:dyDescent="0.25">
      <c r="A30" t="s">
        <v>4</v>
      </c>
      <c r="B30" s="72">
        <v>0</v>
      </c>
      <c r="C30" s="21">
        <v>0</v>
      </c>
      <c r="D30" s="21">
        <v>0</v>
      </c>
      <c r="E30" s="21">
        <v>0</v>
      </c>
      <c r="F30" s="206">
        <f>+F23+(F36*'PCR (M3)'!G29/SUM('PCR (M3)'!G28:G32))</f>
        <v>4662.874879564878</v>
      </c>
      <c r="G30" s="206">
        <f>+G23+(G36*'PCR (M3)'!H29/SUM('PCR (M3)'!H28:H32))</f>
        <v>60575.806014450071</v>
      </c>
      <c r="H30" s="206">
        <f>+H23+(H36*'PCR (M3)'!I29/SUM('PCR (M3)'!I28:I32))</f>
        <v>69235.226705339766</v>
      </c>
      <c r="I30" s="206">
        <f>+I23+(I36*'PCR (M3)'!J29/SUM('PCR (M3)'!J28:J32))</f>
        <v>71132.268141530934</v>
      </c>
      <c r="J30" s="206">
        <f>+J23+(J36*'PCR (M3)'!K29/SUM('PCR (M3)'!K28:K32))</f>
        <v>68766.003213137257</v>
      </c>
      <c r="K30" s="206">
        <f>+K23+(K36*'PCR (M3)'!L29/SUM('PCR (M3)'!L28:L32))</f>
        <v>61936.863591354115</v>
      </c>
      <c r="L30" s="206">
        <f>+L23+(L36*'PCR (M3)'!M29/SUM('PCR (M3)'!M28:M32))</f>
        <v>55314.675500358848</v>
      </c>
      <c r="M30" s="206">
        <f>+M23+(M36*'PCR (M3)'!N29/SUM('PCR (M3)'!N28:N32))</f>
        <v>64772.869833744619</v>
      </c>
      <c r="N30" s="206">
        <f>+N23+(N36*'PCR (M3)'!O29/SUM('PCR (M3)'!O28:O32))</f>
        <v>69020.979330338494</v>
      </c>
      <c r="O30" s="206">
        <f>+O23+(O36*'PCR (M3)'!P29/SUM('PCR (M3)'!P28:P32))</f>
        <v>72477.677451482828</v>
      </c>
      <c r="P30" s="206">
        <f>+P23+(P36*'PCR (M3)'!Q29/SUM('PCR (M3)'!Q28:Q32))</f>
        <v>71928.028717536537</v>
      </c>
      <c r="Q30" s="206">
        <f>+Q23+(Q36*'PCR (M3)'!R29/SUM('PCR (M3)'!R28:R32))</f>
        <v>55453.451619799715</v>
      </c>
      <c r="R30" s="206">
        <f>+R23+(R36*'PCR (M3)'!S29/SUM('PCR (M3)'!S28:S32))</f>
        <v>50391.746026202454</v>
      </c>
      <c r="S30" s="206">
        <f>+S23+(S36*'PCR (M3)'!T29/SUM('PCR (M3)'!T28:T32))</f>
        <v>63389.498728401421</v>
      </c>
      <c r="T30" s="206">
        <f>+T23+(T36*'PCR (M3)'!U29/SUM('PCR (M3)'!U28:U32))</f>
        <v>78881.85589058495</v>
      </c>
      <c r="U30" s="206">
        <f>+U23+(U36*'PCR (M3)'!V29/SUM('PCR (M3)'!V28:V32))</f>
        <v>76955.027031945225</v>
      </c>
      <c r="V30" s="206">
        <f>+V23+(V36*'PCR (M3)'!W29/SUM('PCR (M3)'!W28:W32))</f>
        <v>73755.388306573848</v>
      </c>
      <c r="W30" s="206">
        <f>+W23+(W36*'PCR (M3)'!X29/SUM('PCR (M3)'!X28:X32))</f>
        <v>59772.834718849517</v>
      </c>
      <c r="X30" s="206">
        <f>+X23+(X36*'PCR (M3)'!Y29/SUM('PCR (M3)'!Y28:Y32))</f>
        <v>59572.876185864698</v>
      </c>
      <c r="Y30" s="206">
        <f>+Y23+(Y36*'PCR (M3)'!Z29/SUM('PCR (M3)'!Z28:Z32))</f>
        <v>68599.470346323797</v>
      </c>
      <c r="Z30" s="206">
        <f>+Z23+(Z36*'PCR (M3)'!AA29/SUM('PCR (M3)'!AA28:AA32))</f>
        <v>81564.73791205966</v>
      </c>
      <c r="AA30" s="206">
        <f>+AA23+(AA36*'PCR (M3)'!AB29/SUM('PCR (M3)'!AB28:AB32))</f>
        <v>242664.75286538462</v>
      </c>
      <c r="AB30" s="206">
        <f>+AB23+(AB36*'PCR (M3)'!AC29/SUM('PCR (M3)'!AC28:AC32))</f>
        <v>375919.83719992836</v>
      </c>
      <c r="AC30" s="206">
        <f>+AC23+(AC36*'PCR (M3)'!AD29/SUM('PCR (M3)'!AD28:AD32))</f>
        <v>300075.62636462267</v>
      </c>
      <c r="AD30" s="206">
        <f>+AD23+(AD36*'PCR (M3)'!AE29/SUM('PCR (M3)'!AE28:AE32))</f>
        <v>293923.98139317043</v>
      </c>
      <c r="AE30" s="206">
        <f>+AE23+(AE36*'PCR (M3)'!AF29/SUM('PCR (M3)'!AF28:AF32))</f>
        <v>350815.31218641653</v>
      </c>
      <c r="AF30" s="206">
        <f>+AF23+(AF36*'PCR (M3)'!AG29/SUM('PCR (M3)'!AG28:AG32))</f>
        <v>415012.49945076345</v>
      </c>
      <c r="AG30" s="206">
        <f>+AG23+(AG36*'PCR (M3)'!AH29/SUM('PCR (M3)'!AH28:AH32))</f>
        <v>415043.37829811877</v>
      </c>
      <c r="AH30" s="206">
        <f>+AH23+(AH36*'PCR (M3)'!AI29/SUM('PCR (M3)'!AI28:AI32))</f>
        <v>419425.17682734365</v>
      </c>
      <c r="AI30" s="206">
        <f>+AI23+(AI36*'PCR (M3)'!AJ29/SUM('PCR (M3)'!AJ28:AJ32))</f>
        <v>350351.57477839955</v>
      </c>
      <c r="AJ30" s="206">
        <f>+AJ23+(AJ36*'PCR (M3)'!AK29/SUM('PCR (M3)'!AK28:AK32))</f>
        <v>311669.30222826096</v>
      </c>
      <c r="AK30" s="206">
        <f>+AK23+(AK36*'PCR (M3)'!AL29/SUM('PCR (M3)'!AL28:AL32))</f>
        <v>354085.59169796278</v>
      </c>
      <c r="AL30" s="206">
        <f>+AL23+(AL36*'PCR (M3)'!AM29/SUM('PCR (M3)'!AM28:AM32))</f>
        <v>416632.60304568737</v>
      </c>
      <c r="AM30" s="206">
        <f>+AM23+(AM36*'PCR (M3)'!AN29/SUM('PCR (M3)'!AN28:AN32))</f>
        <v>343013.74640381185</v>
      </c>
      <c r="AN30" s="206">
        <f>+AN23+(AN36*'PCR (M3)'!AO29/SUM('PCR (M3)'!AO28:AO32))</f>
        <v>198643.80240817313</v>
      </c>
      <c r="AO30" s="206">
        <f>+AO23+(AO36*'PCR (M3)'!AP29/SUM('PCR (M3)'!AP28:AP32))</f>
        <v>176362.35535747116</v>
      </c>
      <c r="AP30" s="206">
        <f>+AP23+(AP36*'PCR (M3)'!AQ29/SUM('PCR (M3)'!AQ28:AQ32))</f>
        <v>171488.95640428353</v>
      </c>
      <c r="AQ30" s="206">
        <f>+AQ23+(AQ36*'PCR (M3)'!AR29/SUM('PCR (M3)'!AR28:AR32))</f>
        <v>199615.15184616181</v>
      </c>
      <c r="AR30" s="206">
        <f>+AR23+(AR36*'PCR (M3)'!AS29/SUM('PCR (M3)'!AS28:AS32))</f>
        <v>238634.4266269854</v>
      </c>
      <c r="AS30" s="206">
        <f>+AS23+(AS36*'PCR (M3)'!AT29/SUM('PCR (M3)'!AT28:AT32))</f>
        <v>233703.41244781745</v>
      </c>
      <c r="AT30" s="206">
        <f>+AT23+(AT36*'PCR (M3)'!AU29/SUM('PCR (M3)'!AU28:AU32))</f>
        <v>214332.64423371095</v>
      </c>
      <c r="AU30" s="203">
        <f>+AU23+(AU36*'PCR (M3)'!AV29/SUM('PCR (M3)'!AV28:AV32))</f>
        <v>176304.09895000394</v>
      </c>
      <c r="AV30" s="203">
        <f>+AV23+(AV36*'PCR (M3)'!AW29/SUM('PCR (M3)'!AW28:AW32))</f>
        <v>167898.42293823551</v>
      </c>
      <c r="AW30" s="203">
        <f>+AW23+(AW36*'PCR (M3)'!AX29/SUM('PCR (M3)'!AX28:AX32))</f>
        <v>208742.33055279544</v>
      </c>
      <c r="AX30" s="203">
        <f>+AX23+(AX36*'PCR (M3)'!AY29/SUM('PCR (M3)'!AY28:AY32))</f>
        <v>238776.54615310833</v>
      </c>
      <c r="AY30" s="203">
        <f>+AY23+(AY36*'PCR (M3)'!AZ29/SUM('PCR (M3)'!AZ28:AZ32))</f>
        <v>183122.16294648265</v>
      </c>
      <c r="AZ30" s="203">
        <f>+AZ23+(AZ36*'PCR (M3)'!BA29/SUM('PCR (M3)'!BA28:BA32))</f>
        <v>132175.3110263155</v>
      </c>
      <c r="BA30" s="203">
        <f>+BA23+(BA36*'PCR (M3)'!BB29/SUM('PCR (M3)'!BB28:BB32))</f>
        <v>121716.31880553746</v>
      </c>
      <c r="BB30" s="203">
        <f>+BB23+(BB36*'PCR (M3)'!BC29/SUM('PCR (M3)'!BC28:BC32))</f>
        <v>112859.12458406219</v>
      </c>
      <c r="BC30" s="203">
        <f>+BC23+(BC36*'PCR (M3)'!BD29/SUM('PCR (M3)'!BD28:BD32))</f>
        <v>135711.65425614105</v>
      </c>
      <c r="BD30" s="203">
        <f>+BD23+(BD36*'PCR (M3)'!BE29/SUM('PCR (M3)'!BE28:BE32))</f>
        <v>157092.67328108678</v>
      </c>
      <c r="BE30" s="203">
        <f>+BE23+(BE36*'PCR (M3)'!BF29/SUM('PCR (M3)'!BF28:BF32))</f>
        <v>160402.84864590416</v>
      </c>
      <c r="BF30" s="203">
        <f>+BF23+(BF36*'PCR (M3)'!BG29/SUM('PCR (M3)'!BG28:BG32))</f>
        <v>155339.15490700735</v>
      </c>
      <c r="BG30" s="203">
        <f>+BG23+(BG36*'PCR (M3)'!BH29/SUM('PCR (M3)'!BH28:BH32))</f>
        <v>131677.62985970048</v>
      </c>
      <c r="BH30" s="203">
        <f>+BH23+(BH36*'PCR (M3)'!BI29/SUM('PCR (M3)'!BI28:BI32))</f>
        <v>120918.22269657692</v>
      </c>
      <c r="BI30" s="203">
        <f>+BI23+(BI36*'PCR (M3)'!BJ29/SUM('PCR (M3)'!BJ28:BJ32))</f>
        <v>138127.8273363492</v>
      </c>
      <c r="BJ30" s="203">
        <f>+BJ23+(BJ36*'PCR (M3)'!BK29/SUM('PCR (M3)'!BK28:BK32))</f>
        <v>166136.60452411807</v>
      </c>
      <c r="BK30" s="203">
        <f>+BK23+(BK36*'PCR (M3)'!BL29/SUM('PCR (M3)'!BL28:BL32))</f>
        <v>176808.40654881686</v>
      </c>
      <c r="BL30" s="203">
        <f>+BL23+(BL36*'PCR (M3)'!BM29/SUM('PCR (M3)'!BM28:BM32))</f>
        <v>164534.37132568451</v>
      </c>
      <c r="BM30" s="203">
        <f>+BM23+(BM36*'PCR (M3)'!BN29/SUM('PCR (M3)'!BN28:BN32))</f>
        <v>160123.77436654741</v>
      </c>
      <c r="BN30" s="203">
        <f>+BN23+(BN36*'PCR (M3)'!BO29/SUM('PCR (M3)'!BO28:BO32))</f>
        <v>152714.47419511771</v>
      </c>
      <c r="BO30" s="203">
        <f>+BO23+(BO36*'PCR (M3)'!BP29/SUM('PCR (M3)'!BP28:BP32))</f>
        <v>186653.21437213777</v>
      </c>
      <c r="BP30" s="203">
        <f>+BP23+(BP36*'PCR (M3)'!BQ29/SUM('PCR (M3)'!BQ28:BQ32))</f>
        <v>223027.91014690808</v>
      </c>
      <c r="BQ30" s="203">
        <f>+BQ23+(BQ36*'PCR (M3)'!BR29/SUM('PCR (M3)'!BR28:BR32))</f>
        <v>209338.96303343459</v>
      </c>
      <c r="BR30" s="203">
        <f>+BR23+(BR36*'PCR (M3)'!BS29/SUM('PCR (M3)'!BS28:BS32))</f>
        <v>203862.27643138557</v>
      </c>
      <c r="BS30" s="203">
        <f>+BS23+(BS36*'PCR (M3)'!BT29/SUM('PCR (M3)'!BT28:BT32))</f>
        <v>172077.40616793599</v>
      </c>
      <c r="BT30" s="232">
        <f>+BT23+(BT36*'PCR (M3)'!BU29/SUM('PCR (M3)'!BU28:BU32))</f>
        <v>161460.37279541328</v>
      </c>
      <c r="BU30" s="206">
        <f>+BU23+(BU36*'PCR (M3)'!BV29/SUM('PCR (M3)'!BV28:BV32))</f>
        <v>193143.64387531852</v>
      </c>
      <c r="BV30" s="209">
        <f>+BV23+(BV36*'PCR (M3)'!BW29/SUM('PCR (M3)'!BW28:BW32))</f>
        <v>217122.24136735094</v>
      </c>
      <c r="BW30" s="260"/>
    </row>
    <row r="31" spans="1:76" x14ac:dyDescent="0.25">
      <c r="A31" t="s">
        <v>5</v>
      </c>
      <c r="B31" s="72">
        <v>0</v>
      </c>
      <c r="C31" s="21">
        <v>0</v>
      </c>
      <c r="D31" s="21">
        <v>0</v>
      </c>
      <c r="E31" s="21">
        <v>0</v>
      </c>
      <c r="F31" s="206">
        <f>+F24+(F36*'PCR (M3)'!G30/SUM('PCR (M3)'!G28:G32))</f>
        <v>6753.6701978728988</v>
      </c>
      <c r="G31" s="206">
        <f>+G24+(G36*'PCR (M3)'!H30/SUM('PCR (M3)'!H28:H32))</f>
        <v>107151.44580605239</v>
      </c>
      <c r="H31" s="206">
        <f>+H24+(H36*'PCR (M3)'!I30/SUM('PCR (M3)'!I28:I32))</f>
        <v>115634.5208649429</v>
      </c>
      <c r="I31" s="206">
        <f>+I24+(I36*'PCR (M3)'!J30/SUM('PCR (M3)'!J28:J32))</f>
        <v>118331.81312804784</v>
      </c>
      <c r="J31" s="206">
        <f>+J24+(J36*'PCR (M3)'!K30/SUM('PCR (M3)'!K28:K32))</f>
        <v>119601.33814288217</v>
      </c>
      <c r="K31" s="206">
        <f>+K24+(K36*'PCR (M3)'!L30/SUM('PCR (M3)'!L28:L32))</f>
        <v>109968.9574924099</v>
      </c>
      <c r="L31" s="206">
        <f>+L24+(L36*'PCR (M3)'!M30/SUM('PCR (M3)'!M28:M32))</f>
        <v>96533.881711475115</v>
      </c>
      <c r="M31" s="206">
        <f>+M24+(M36*'PCR (M3)'!N30/SUM('PCR (M3)'!N28:N32))</f>
        <v>104142.56971532077</v>
      </c>
      <c r="N31" s="206">
        <f>+N24+(N36*'PCR (M3)'!O30/SUM('PCR (M3)'!O28:O32))</f>
        <v>107611.86637282498</v>
      </c>
      <c r="O31" s="206">
        <f>+O24+(O36*'PCR (M3)'!P30/SUM('PCR (M3)'!P28:P32))</f>
        <v>104313.87773241717</v>
      </c>
      <c r="P31" s="206">
        <f>+P24+(P36*'PCR (M3)'!Q30/SUM('PCR (M3)'!Q28:Q32))</f>
        <v>98420.974410363589</v>
      </c>
      <c r="Q31" s="206">
        <f>+Q24+(Q36*'PCR (M3)'!R30/SUM('PCR (M3)'!R28:R32))</f>
        <v>84560.155028366615</v>
      </c>
      <c r="R31" s="206">
        <f>+R24+(R36*'PCR (M3)'!S30/SUM('PCR (M3)'!S28:S32))</f>
        <v>79147.524446379844</v>
      </c>
      <c r="S31" s="206">
        <f>+S24+(S36*'PCR (M3)'!T30/SUM('PCR (M3)'!T28:T32))</f>
        <v>94049.927973792379</v>
      </c>
      <c r="T31" s="206">
        <f>+T24+(T36*'PCR (M3)'!U30/SUM('PCR (M3)'!U28:U32))</f>
        <v>109708.4867735197</v>
      </c>
      <c r="U31" s="206">
        <f>+U24+(U36*'PCR (M3)'!V30/SUM('PCR (M3)'!V28:V32))</f>
        <v>109463.73998502945</v>
      </c>
      <c r="V31" s="206">
        <f>+V24+(V36*'PCR (M3)'!W30/SUM('PCR (M3)'!W28:W32))</f>
        <v>109154.24836711264</v>
      </c>
      <c r="W31" s="206">
        <f>+W24+(W36*'PCR (M3)'!X30/SUM('PCR (M3)'!X28:X32))</f>
        <v>93111.170115006898</v>
      </c>
      <c r="X31" s="206">
        <f>+X24+(X36*'PCR (M3)'!Y30/SUM('PCR (M3)'!Y28:Y32))</f>
        <v>90314.439841834988</v>
      </c>
      <c r="Y31" s="206">
        <f>+Y24+(Y36*'PCR (M3)'!Z30/SUM('PCR (M3)'!Z28:Z32))</f>
        <v>96572.606390330693</v>
      </c>
      <c r="Z31" s="206">
        <f>+Z24+(Z36*'PCR (M3)'!AA30/SUM('PCR (M3)'!AA28:AA32))</f>
        <v>102973.56100695566</v>
      </c>
      <c r="AA31" s="206">
        <f>+AA24+(AA36*'PCR (M3)'!AB30/SUM('PCR (M3)'!AB28:AB32))</f>
        <v>317054.12799449288</v>
      </c>
      <c r="AB31" s="206">
        <f>+AB24+(AB36*'PCR (M3)'!AC30/SUM('PCR (M3)'!AC28:AC32))</f>
        <v>555274.69988765672</v>
      </c>
      <c r="AC31" s="206">
        <f>+AC24+(AC36*'PCR (M3)'!AD30/SUM('PCR (M3)'!AD28:AD32))</f>
        <v>496959.09444564441</v>
      </c>
      <c r="AD31" s="206">
        <f>+AD24+(AD36*'PCR (M3)'!AE30/SUM('PCR (M3)'!AE28:AE32))</f>
        <v>507462.60422851151</v>
      </c>
      <c r="AE31" s="206">
        <f>+AE24+(AE36*'PCR (M3)'!AF30/SUM('PCR (M3)'!AF28:AF32))</f>
        <v>564396.00989380945</v>
      </c>
      <c r="AF31" s="206">
        <f>+AF24+(AF36*'PCR (M3)'!AG30/SUM('PCR (M3)'!AG28:AG32))</f>
        <v>660447.26760719228</v>
      </c>
      <c r="AG31" s="206">
        <f>+AG24+(AG36*'PCR (M3)'!AH30/SUM('PCR (M3)'!AH28:AH32))</f>
        <v>654260.67532357108</v>
      </c>
      <c r="AH31" s="206">
        <f>+AH24+(AH36*'PCR (M3)'!AI30/SUM('PCR (M3)'!AI28:AI32))</f>
        <v>666957.41235823929</v>
      </c>
      <c r="AI31" s="206">
        <f>+AI24+(AI36*'PCR (M3)'!AJ30/SUM('PCR (M3)'!AJ28:AJ32))</f>
        <v>587413.62430156581</v>
      </c>
      <c r="AJ31" s="206">
        <f>+AJ24+(AJ36*'PCR (M3)'!AK30/SUM('PCR (M3)'!AK28:AK32))</f>
        <v>518301.68729724281</v>
      </c>
      <c r="AK31" s="206">
        <f>+AK24+(AK36*'PCR (M3)'!AL30/SUM('PCR (M3)'!AL28:AL32))</f>
        <v>564263.98623198003</v>
      </c>
      <c r="AL31" s="206">
        <f>+AL24+(AL36*'PCR (M3)'!AM30/SUM('PCR (M3)'!AM28:AM32))</f>
        <v>600156.67821640242</v>
      </c>
      <c r="AM31" s="206">
        <f>+AM24+(AM36*'PCR (M3)'!AN30/SUM('PCR (M3)'!AN28:AN32))</f>
        <v>485815.15413385624</v>
      </c>
      <c r="AN31" s="206">
        <f>+AN24+(AN36*'PCR (M3)'!AO30/SUM('PCR (M3)'!AO28:AO32))</f>
        <v>293847.62845519924</v>
      </c>
      <c r="AO31" s="206">
        <f>+AO24+(AO36*'PCR (M3)'!AP30/SUM('PCR (M3)'!AP28:AP32))</f>
        <v>274342.84538315737</v>
      </c>
      <c r="AP31" s="206">
        <f>+AP24+(AP36*'PCR (M3)'!AQ30/SUM('PCR (M3)'!AQ28:AQ32))</f>
        <v>285405.182845061</v>
      </c>
      <c r="AQ31" s="206">
        <f>+AQ24+(AQ36*'PCR (M3)'!AR30/SUM('PCR (M3)'!AR28:AR32))</f>
        <v>320626.18147462484</v>
      </c>
      <c r="AR31" s="206">
        <f>+AR24+(AR36*'PCR (M3)'!AS30/SUM('PCR (M3)'!AS28:AS32))</f>
        <v>359045.84672877856</v>
      </c>
      <c r="AS31" s="206">
        <f>+AS24+(AS36*'PCR (M3)'!AT30/SUM('PCR (M3)'!AT28:AT32))</f>
        <v>356393.75583709532</v>
      </c>
      <c r="AT31" s="206">
        <f>+AT24+(AT36*'PCR (M3)'!AU30/SUM('PCR (M3)'!AU28:AU32))</f>
        <v>340966.67570072628</v>
      </c>
      <c r="AU31" s="203">
        <f>+AU24+(AU36*'PCR (M3)'!AV30/SUM('PCR (M3)'!AV28:AV32))</f>
        <v>293032.69252515415</v>
      </c>
      <c r="AV31" s="203">
        <f>+AV24+(AV36*'PCR (M3)'!AW30/SUM('PCR (M3)'!AW28:AW32))</f>
        <v>284530.72242752794</v>
      </c>
      <c r="AW31" s="203">
        <f>+AW24+(AW36*'PCR (M3)'!AX30/SUM('PCR (M3)'!AX28:AX32))</f>
        <v>315151.4942720079</v>
      </c>
      <c r="AX31" s="203">
        <f>+AX24+(AX36*'PCR (M3)'!AY30/SUM('PCR (M3)'!AY28:AY32))</f>
        <v>326915.51533468132</v>
      </c>
      <c r="AY31" s="203">
        <f>+AY24+(AY36*'PCR (M3)'!AZ30/SUM('PCR (M3)'!AZ28:AZ32))</f>
        <v>495028.13257713744</v>
      </c>
      <c r="AZ31" s="203">
        <f>+AZ24+(AZ36*'PCR (M3)'!BA30/SUM('PCR (M3)'!BA28:BA32))</f>
        <v>776601.02939900942</v>
      </c>
      <c r="BA31" s="203">
        <f>+BA24+(BA36*'PCR (M3)'!BB30/SUM('PCR (M3)'!BB28:BB32))</f>
        <v>744958.66884249065</v>
      </c>
      <c r="BB31" s="203">
        <f>+BB24+(BB36*'PCR (M3)'!BC30/SUM('PCR (M3)'!BC28:BC32))</f>
        <v>742679.53603549488</v>
      </c>
      <c r="BC31" s="203">
        <f>+BC24+(BC36*'PCR (M3)'!BD30/SUM('PCR (M3)'!BD28:BD32))</f>
        <v>838043.54050146532</v>
      </c>
      <c r="BD31" s="203">
        <f>+BD24+(BD36*'PCR (M3)'!BE30/SUM('PCR (M3)'!BE28:BE32))</f>
        <v>901539.36414699105</v>
      </c>
      <c r="BE31" s="203">
        <f>+BE24+(BE36*'PCR (M3)'!BF30/SUM('PCR (M3)'!BF28:BF32))</f>
        <v>933578.05842264055</v>
      </c>
      <c r="BF31" s="203">
        <f>+BF24+(BF36*'PCR (M3)'!BG30/SUM('PCR (M3)'!BG28:BG32))</f>
        <v>935041.3142651394</v>
      </c>
      <c r="BG31" s="203">
        <f>+BG24+(BG36*'PCR (M3)'!BH30/SUM('PCR (M3)'!BH28:BH32))</f>
        <v>822431.07735931699</v>
      </c>
      <c r="BH31" s="203">
        <f>+BH24+(BH36*'PCR (M3)'!BI30/SUM('PCR (M3)'!BI28:BI32))</f>
        <v>757805.67077663436</v>
      </c>
      <c r="BI31" s="203">
        <f>+BI24+(BI36*'PCR (M3)'!BJ30/SUM('PCR (M3)'!BJ28:BJ32))</f>
        <v>806243.01024479163</v>
      </c>
      <c r="BJ31" s="203">
        <f>+BJ24+(BJ36*'PCR (M3)'!BK30/SUM('PCR (M3)'!BK28:BK32))</f>
        <v>887557.6676332932</v>
      </c>
      <c r="BK31" s="203">
        <f>+BK24+(BK36*'PCR (M3)'!BL30/SUM('PCR (M3)'!BL28:BL32))</f>
        <v>668377.87423099356</v>
      </c>
      <c r="BL31" s="203">
        <f>+BL24+(BL36*'PCR (M3)'!BM30/SUM('PCR (M3)'!BM28:BM32))</f>
        <v>391022.57774303702</v>
      </c>
      <c r="BM31" s="203">
        <f>+BM24+(BM36*'PCR (M3)'!BN30/SUM('PCR (M3)'!BN28:BN32))</f>
        <v>386888.3093690016</v>
      </c>
      <c r="BN31" s="203">
        <f>+BN24+(BN36*'PCR (M3)'!BO30/SUM('PCR (M3)'!BO28:BO32))</f>
        <v>389331.8334457695</v>
      </c>
      <c r="BO31" s="203">
        <f>+BO24+(BO36*'PCR (M3)'!BP30/SUM('PCR (M3)'!BP28:BP32))</f>
        <v>441026.67746722768</v>
      </c>
      <c r="BP31" s="203">
        <f>+BP24+(BP36*'PCR (M3)'!BQ30/SUM('PCR (M3)'!BQ28:BQ32))</f>
        <v>497722.67888960725</v>
      </c>
      <c r="BQ31" s="203">
        <f>+BQ24+(BQ36*'PCR (M3)'!BR30/SUM('PCR (M3)'!BR28:BR32))</f>
        <v>467145.79989049101</v>
      </c>
      <c r="BR31" s="203">
        <f>+BR24+(BR36*'PCR (M3)'!BS30/SUM('PCR (M3)'!BS28:BS32))</f>
        <v>467468.93906646402</v>
      </c>
      <c r="BS31" s="203">
        <f>+BS24+(BS36*'PCR (M3)'!BT30/SUM('PCR (M3)'!BT28:BT32))</f>
        <v>417199.16446984228</v>
      </c>
      <c r="BT31" s="232">
        <f>+BT24+(BT36*'PCR (M3)'!BU30/SUM('PCR (M3)'!BU28:BU32))</f>
        <v>395829.17915809393</v>
      </c>
      <c r="BU31" s="206">
        <f>+BU24+(BU36*'PCR (M3)'!BV30/SUM('PCR (M3)'!BV28:BV32))</f>
        <v>435336.0932704882</v>
      </c>
      <c r="BV31" s="209">
        <f>+BV24+(BV36*'PCR (M3)'!BW30/SUM('PCR (M3)'!BW28:BW32))</f>
        <v>457263.38055354316</v>
      </c>
      <c r="BW31" s="260"/>
    </row>
    <row r="32" spans="1:76" x14ac:dyDescent="0.25">
      <c r="A32" t="s">
        <v>6</v>
      </c>
      <c r="B32" s="72">
        <v>0</v>
      </c>
      <c r="C32" s="21">
        <v>0</v>
      </c>
      <c r="D32" s="21">
        <v>0</v>
      </c>
      <c r="E32" s="21">
        <v>0</v>
      </c>
      <c r="F32" s="206">
        <f>+F25+(F36*'PCR (M3)'!G31/SUM('PCR (M3)'!G28:G32))</f>
        <v>2381.1324731369587</v>
      </c>
      <c r="G32" s="206">
        <f>+G25+(G36*'PCR (M3)'!H31/SUM('PCR (M3)'!H28:H32))</f>
        <v>41080.759711289073</v>
      </c>
      <c r="H32" s="206">
        <f>+H25+(H36*'PCR (M3)'!I31/SUM('PCR (M3)'!I28:I32))</f>
        <v>46620.227707662583</v>
      </c>
      <c r="I32" s="206">
        <f>+I25+(I36*'PCR (M3)'!J31/SUM('PCR (M3)'!J28:J32))</f>
        <v>48915.290383093015</v>
      </c>
      <c r="J32" s="206">
        <f>+J25+(J36*'PCR (M3)'!K31/SUM('PCR (M3)'!K28:K32))</f>
        <v>48689.064699160743</v>
      </c>
      <c r="K32" s="206">
        <f>+K25+(K36*'PCR (M3)'!L31/SUM('PCR (M3)'!L28:L32))</f>
        <v>45154.720570269681</v>
      </c>
      <c r="L32" s="206">
        <f>+L25+(L36*'PCR (M3)'!M31/SUM('PCR (M3)'!M28:M32))</f>
        <v>41515.049238101783</v>
      </c>
      <c r="M32" s="206">
        <f>+M25+(M36*'PCR (M3)'!N31/SUM('PCR (M3)'!N28:N32))</f>
        <v>41594.54847805787</v>
      </c>
      <c r="N32" s="206">
        <f>+N25+(N36*'PCR (M3)'!O31/SUM('PCR (M3)'!O28:O32))</f>
        <v>42743.649469302014</v>
      </c>
      <c r="O32" s="206">
        <f>+O25+(O36*'PCR (M3)'!P31/SUM('PCR (M3)'!P28:P32))</f>
        <v>43471.756585125317</v>
      </c>
      <c r="P32" s="206">
        <f>+P25+(P36*'PCR (M3)'!Q31/SUM('PCR (M3)'!Q28:Q32))</f>
        <v>37573.855689531287</v>
      </c>
      <c r="Q32" s="206">
        <f>+Q25+(Q36*'PCR (M3)'!R31/SUM('PCR (M3)'!R28:R32))</f>
        <v>36905.295455925538</v>
      </c>
      <c r="R32" s="206">
        <f>+R25+(R36*'PCR (M3)'!S31/SUM('PCR (M3)'!S28:S32))</f>
        <v>34871.89448832265</v>
      </c>
      <c r="S32" s="206">
        <f>+S25+(S36*'PCR (M3)'!T31/SUM('PCR (M3)'!T28:T32))</f>
        <v>40727.091457001276</v>
      </c>
      <c r="T32" s="206">
        <f>+T25+(T36*'PCR (M3)'!U31/SUM('PCR (M3)'!U28:U32))</f>
        <v>42825.077518324986</v>
      </c>
      <c r="U32" s="206">
        <f>+U25+(U36*'PCR (M3)'!V31/SUM('PCR (M3)'!V28:V32))</f>
        <v>44954.20255614764</v>
      </c>
      <c r="V32" s="206">
        <f>+V25+(V36*'PCR (M3)'!W31/SUM('PCR (M3)'!W28:W32))</f>
        <v>45054.75137109276</v>
      </c>
      <c r="W32" s="206">
        <f>+W25+(W36*'PCR (M3)'!X31/SUM('PCR (M3)'!X28:X32))</f>
        <v>40035.738044047081</v>
      </c>
      <c r="X32" s="206">
        <f>+X25+(X36*'PCR (M3)'!Y31/SUM('PCR (M3)'!Y28:Y32))</f>
        <v>39574.059026383919</v>
      </c>
      <c r="Y32" s="206">
        <f>+Y25+(Y36*'PCR (M3)'!Z31/SUM('PCR (M3)'!Z28:Z32))</f>
        <v>41188.257144152223</v>
      </c>
      <c r="Z32" s="206">
        <f>+Z25+(Z36*'PCR (M3)'!AA31/SUM('PCR (M3)'!AA28:AA32))</f>
        <v>40226.995717895465</v>
      </c>
      <c r="AA32" s="206">
        <f>+AA25+(AA36*'PCR (M3)'!AB31/SUM('PCR (M3)'!AB28:AB32))</f>
        <v>108585.49808616596</v>
      </c>
      <c r="AB32" s="206">
        <f>+AB25+(AB36*'PCR (M3)'!AC31/SUM('PCR (M3)'!AC28:AC32))</f>
        <v>181792.64072508441</v>
      </c>
      <c r="AC32" s="206">
        <f>+AC25+(AC36*'PCR (M3)'!AD31/SUM('PCR (M3)'!AD28:AD32))</f>
        <v>183572.05910467505</v>
      </c>
      <c r="AD32" s="206">
        <f>+AD25+(AD36*'PCR (M3)'!AE31/SUM('PCR (M3)'!AE28:AE32))</f>
        <v>190770.53370651655</v>
      </c>
      <c r="AE32" s="206">
        <f>+AE25+(AE36*'PCR (M3)'!AF31/SUM('PCR (M3)'!AF28:AF32))</f>
        <v>183881.99525765551</v>
      </c>
      <c r="AF32" s="206">
        <f>+AF25+(AF36*'PCR (M3)'!AG31/SUM('PCR (M3)'!AG28:AG32))</f>
        <v>245635.9292156513</v>
      </c>
      <c r="AG32" s="206">
        <f>+AG25+(AG36*'PCR (M3)'!AH31/SUM('PCR (M3)'!AH28:AH32))</f>
        <v>225402.14448890529</v>
      </c>
      <c r="AH32" s="206">
        <f>+AH25+(AH36*'PCR (M3)'!AI31/SUM('PCR (M3)'!AI28:AI32))</f>
        <v>228315.50645633537</v>
      </c>
      <c r="AI32" s="206">
        <f>+AI25+(AI36*'PCR (M3)'!AJ31/SUM('PCR (M3)'!AJ28:AJ32))</f>
        <v>197613.76683715408</v>
      </c>
      <c r="AJ32" s="206">
        <f>+AJ25+(AJ36*'PCR (M3)'!AK31/SUM('PCR (M3)'!AK28:AK32))</f>
        <v>170938.27536408583</v>
      </c>
      <c r="AK32" s="206">
        <f>+AK25+(AK36*'PCR (M3)'!AL31/SUM('PCR (M3)'!AL28:AL32))</f>
        <v>223626.59508106788</v>
      </c>
      <c r="AL32" s="206">
        <f>+AL25+(AL36*'PCR (M3)'!AM31/SUM('PCR (M3)'!AM28:AM32))</f>
        <v>214644.25749630778</v>
      </c>
      <c r="AM32" s="206">
        <f>+AM25+(AM36*'PCR (M3)'!AN31/SUM('PCR (M3)'!AN28:AN32))</f>
        <v>159960.98877011711</v>
      </c>
      <c r="AN32" s="206">
        <f>+AN25+(AN36*'PCR (M3)'!AO31/SUM('PCR (M3)'!AO28:AO32))</f>
        <v>83957.029881736671</v>
      </c>
      <c r="AO32" s="206">
        <f>+AO25+(AO36*'PCR (M3)'!AP31/SUM('PCR (M3)'!AP28:AP32))</f>
        <v>71737.991738818018</v>
      </c>
      <c r="AP32" s="206">
        <f>+AP25+(AP36*'PCR (M3)'!AQ31/SUM('PCR (M3)'!AQ28:AQ32))</f>
        <v>84924.677214678959</v>
      </c>
      <c r="AQ32" s="206">
        <f>+AQ25+(AQ36*'PCR (M3)'!AR31/SUM('PCR (M3)'!AR28:AR32))</f>
        <v>96900.261492081991</v>
      </c>
      <c r="AR32" s="206">
        <f>+AR25+(AR36*'PCR (M3)'!AS31/SUM('PCR (M3)'!AS28:AS32))</f>
        <v>100482.39287136923</v>
      </c>
      <c r="AS32" s="206">
        <f>+AS25+(AS36*'PCR (M3)'!AT31/SUM('PCR (M3)'!AT28:AT32))</f>
        <v>99567.44000719738</v>
      </c>
      <c r="AT32" s="206">
        <f>+AT25+(AT36*'PCR (M3)'!AU31/SUM('PCR (M3)'!AU28:AU32))</f>
        <v>97105.740111514999</v>
      </c>
      <c r="AU32" s="203">
        <f>+AU25+(AU36*'PCR (M3)'!AV31/SUM('PCR (M3)'!AV28:AV32))</f>
        <v>86103.564631792935</v>
      </c>
      <c r="AV32" s="203">
        <f>+AV25+(AV36*'PCR (M3)'!AW31/SUM('PCR (M3)'!AW28:AW32))</f>
        <v>86765.912910017505</v>
      </c>
      <c r="AW32" s="203">
        <f>+AW25+(AW36*'PCR (M3)'!AX31/SUM('PCR (M3)'!AX28:AX32))</f>
        <v>89195.654381293964</v>
      </c>
      <c r="AX32" s="203">
        <f>+AX25+(AX36*'PCR (M3)'!AY31/SUM('PCR (M3)'!AY28:AY32))</f>
        <v>84853.673594304346</v>
      </c>
      <c r="AY32" s="203">
        <f>+AY25+(AY36*'PCR (M3)'!AZ31/SUM('PCR (M3)'!AZ28:AZ32))</f>
        <v>116964.6409557759</v>
      </c>
      <c r="AZ32" s="203">
        <f>+AZ25+(AZ36*'PCR (M3)'!BA31/SUM('PCR (M3)'!BA28:BA32))</f>
        <v>189332.91154715288</v>
      </c>
      <c r="BA32" s="203">
        <f>+BA25+(BA36*'PCR (M3)'!BB31/SUM('PCR (M3)'!BB28:BB32))</f>
        <v>196301.33578545338</v>
      </c>
      <c r="BB32" s="203">
        <f>+BB25+(BB36*'PCR (M3)'!BC31/SUM('PCR (M3)'!BC28:BC32))</f>
        <v>196733.17904220874</v>
      </c>
      <c r="BC32" s="203">
        <f>+BC25+(BC36*'PCR (M3)'!BD31/SUM('PCR (M3)'!BD28:BD32))</f>
        <v>205719.5189357409</v>
      </c>
      <c r="BD32" s="203">
        <f>+BD25+(BD36*'PCR (M3)'!BE31/SUM('PCR (M3)'!BE28:BE32))</f>
        <v>210715.73838310983</v>
      </c>
      <c r="BE32" s="203">
        <f>+BE25+(BE36*'PCR (M3)'!BF31/SUM('PCR (M3)'!BF28:BF32))</f>
        <v>238375.38279456861</v>
      </c>
      <c r="BF32" s="203">
        <f>+BF25+(BF36*'PCR (M3)'!BG31/SUM('PCR (M3)'!BG28:BG32))</f>
        <v>227841.78131597509</v>
      </c>
      <c r="BG32" s="203">
        <f>+BG25+(BG36*'PCR (M3)'!BH31/SUM('PCR (M3)'!BH28:BH32))</f>
        <v>197896.49528830152</v>
      </c>
      <c r="BH32" s="203">
        <f>+BH25+(BH36*'PCR (M3)'!BI31/SUM('PCR (M3)'!BI28:BI32))</f>
        <v>199204.41428746723</v>
      </c>
      <c r="BI32" s="203">
        <f>+BI25+(BI36*'PCR (M3)'!BJ31/SUM('PCR (M3)'!BJ28:BJ32))</f>
        <v>195080.60409575584</v>
      </c>
      <c r="BJ32" s="203">
        <f>+BJ25+(BJ36*'PCR (M3)'!BK31/SUM('PCR (M3)'!BK28:BK32))</f>
        <v>205676.46607758504</v>
      </c>
      <c r="BK32" s="203">
        <f>+BK25+(BK36*'PCR (M3)'!BL31/SUM('PCR (M3)'!BL28:BL32))</f>
        <v>164528.34319845744</v>
      </c>
      <c r="BL32" s="203">
        <f>+BL25+(BL36*'PCR (M3)'!BM31/SUM('PCR (M3)'!BM28:BM32))</f>
        <v>82355.750369557369</v>
      </c>
      <c r="BM32" s="203">
        <f>+BM25+(BM36*'PCR (M3)'!BN31/SUM('PCR (M3)'!BN28:BN32))</f>
        <v>75136.769948506291</v>
      </c>
      <c r="BN32" s="203">
        <f>+BN25+(BN36*'PCR (M3)'!BO31/SUM('PCR (M3)'!BO28:BO32))</f>
        <v>79020.330975310921</v>
      </c>
      <c r="BO32" s="203">
        <f>+BO25+(BO36*'PCR (M3)'!BP31/SUM('PCR (M3)'!BP28:BP32))</f>
        <v>86151.632313584196</v>
      </c>
      <c r="BP32" s="203">
        <f>+BP25+(BP36*'PCR (M3)'!BQ31/SUM('PCR (M3)'!BQ28:BQ32))</f>
        <v>92390.8511747468</v>
      </c>
      <c r="BQ32" s="203">
        <f>+BQ25+(BQ36*'PCR (M3)'!BR31/SUM('PCR (M3)'!BR28:BR32))</f>
        <v>87335.237425234634</v>
      </c>
      <c r="BR32" s="203">
        <f>+BR25+(BR36*'PCR (M3)'!BS31/SUM('PCR (M3)'!BS28:BS32))</f>
        <v>85732.60507808585</v>
      </c>
      <c r="BS32" s="203">
        <f>+BS25+(BS36*'PCR (M3)'!BT31/SUM('PCR (M3)'!BT28:BT32))</f>
        <v>84245.206772270758</v>
      </c>
      <c r="BT32" s="232">
        <f>+BT25+(BT36*'PCR (M3)'!BU31/SUM('PCR (M3)'!BU28:BU32))</f>
        <v>80045.61282761168</v>
      </c>
      <c r="BU32" s="206">
        <f>+BU25+(BU36*'PCR (M3)'!BV31/SUM('PCR (M3)'!BV28:BV32))</f>
        <v>84525.587720082898</v>
      </c>
      <c r="BV32" s="209">
        <f>+BV25+(BV36*'PCR (M3)'!BW31/SUM('PCR (M3)'!BW28:BW32))</f>
        <v>88095.09078539873</v>
      </c>
      <c r="BW32" s="260"/>
    </row>
    <row r="33" spans="1:76" x14ac:dyDescent="0.25">
      <c r="A33" t="s">
        <v>7</v>
      </c>
      <c r="B33" s="72">
        <v>0</v>
      </c>
      <c r="C33" s="21">
        <v>0</v>
      </c>
      <c r="D33" s="21">
        <v>0</v>
      </c>
      <c r="E33" s="21">
        <v>0</v>
      </c>
      <c r="F33" s="206">
        <f>+F26+(F36*'PCR (M3)'!G32/SUM('PCR (M3)'!G28:G32))</f>
        <v>-48.583419353926594</v>
      </c>
      <c r="G33" s="206">
        <f>+G26+(G36*'PCR (M3)'!H32/SUM('PCR (M3)'!H28:H32))</f>
        <v>4125.9071778961579</v>
      </c>
      <c r="H33" s="206">
        <f>+H26+(H36*'PCR (M3)'!I32/SUM('PCR (M3)'!I28:I32))</f>
        <v>6806.3797850987785</v>
      </c>
      <c r="I33" s="206">
        <f>+I26+(I36*'PCR (M3)'!J32/SUM('PCR (M3)'!J28:J32))</f>
        <v>7524.9044581782691</v>
      </c>
      <c r="J33" s="206">
        <f>+J26+(J36*'PCR (M3)'!K32/SUM('PCR (M3)'!K28:K32))</f>
        <v>7658.4495072300715</v>
      </c>
      <c r="K33" s="206">
        <f>+K26+(K36*'PCR (M3)'!L32/SUM('PCR (M3)'!L28:L32))</f>
        <v>7241.6490844376849</v>
      </c>
      <c r="L33" s="206">
        <f>+L26+(L36*'PCR (M3)'!M32/SUM('PCR (M3)'!M28:M32))</f>
        <v>6323.5939077382554</v>
      </c>
      <c r="M33" s="206">
        <f>+M26+(M36*'PCR (M3)'!N32/SUM('PCR (M3)'!N28:N32))</f>
        <v>5864.7707264215042</v>
      </c>
      <c r="N33" s="206">
        <f>+N26+(N36*'PCR (M3)'!O32/SUM('PCR (M3)'!O28:O32))</f>
        <v>6186.9939477675571</v>
      </c>
      <c r="O33" s="206">
        <f>+O26+(O36*'PCR (M3)'!P32/SUM('PCR (M3)'!P28:P32))</f>
        <v>10792.766596240666</v>
      </c>
      <c r="P33" s="206">
        <f>+P26+(P36*'PCR (M3)'!Q32/SUM('PCR (M3)'!Q28:Q32))</f>
        <v>19312.38401960209</v>
      </c>
      <c r="Q33" s="206">
        <f>+Q26+(Q36*'PCR (M3)'!R32/SUM('PCR (M3)'!R28:R32))</f>
        <v>21254.31297935671</v>
      </c>
      <c r="R33" s="206">
        <f>+R26+(R36*'PCR (M3)'!S32/SUM('PCR (M3)'!S28:S32))</f>
        <v>21637.66341521703</v>
      </c>
      <c r="S33" s="206">
        <f>+S26+(S36*'PCR (M3)'!T32/SUM('PCR (M3)'!T28:T32))</f>
        <v>16834.533975023267</v>
      </c>
      <c r="T33" s="206">
        <f>+T26+(T36*'PCR (M3)'!U32/SUM('PCR (M3)'!U28:U32))</f>
        <v>24355.538593432568</v>
      </c>
      <c r="U33" s="206">
        <f>+U26+(U36*'PCR (M3)'!V32/SUM('PCR (M3)'!V28:V32))</f>
        <v>25113.656296491376</v>
      </c>
      <c r="V33" s="206">
        <f>+V26+(V36*'PCR (M3)'!W32/SUM('PCR (M3)'!W28:W32))</f>
        <v>25507.793919774442</v>
      </c>
      <c r="W33" s="206">
        <f>+W26+(W36*'PCR (M3)'!X32/SUM('PCR (M3)'!X28:X32))</f>
        <v>22463.576853042847</v>
      </c>
      <c r="X33" s="206">
        <f>+X26+(X36*'PCR (M3)'!Y32/SUM('PCR (M3)'!Y28:Y32))</f>
        <v>21960.458267222853</v>
      </c>
      <c r="Y33" s="206">
        <f>+Y26+(Y36*'PCR (M3)'!Z32/SUM('PCR (M3)'!Z28:Z32))</f>
        <v>22338.840952659713</v>
      </c>
      <c r="Z33" s="206">
        <f>+Z26+(Z36*'PCR (M3)'!AA32/SUM('PCR (M3)'!AA28:AA32))</f>
        <v>20382.980401475455</v>
      </c>
      <c r="AA33" s="206">
        <f>+AA26+(AA36*'PCR (M3)'!AB32/SUM('PCR (M3)'!AB28:AB32))</f>
        <v>32953.904164207008</v>
      </c>
      <c r="AB33" s="206">
        <f>+AB26+(AB36*'PCR (M3)'!AC32/SUM('PCR (M3)'!AC28:AC32))</f>
        <v>23500.247497740351</v>
      </c>
      <c r="AC33" s="206">
        <f>+AC26+(AC36*'PCR (M3)'!AD32/SUM('PCR (M3)'!AD28:AD32))</f>
        <v>40293.609086971141</v>
      </c>
      <c r="AD33" s="206">
        <f>+AD26+(AD36*'PCR (M3)'!AE32/SUM('PCR (M3)'!AE28:AE32))</f>
        <v>41000.534789952151</v>
      </c>
      <c r="AE33" s="206">
        <f>+AE26+(AE36*'PCR (M3)'!AF32/SUM('PCR (M3)'!AF28:AF32))</f>
        <v>39665.300517775308</v>
      </c>
      <c r="AF33" s="206">
        <f>+AF26+(AF36*'PCR (M3)'!AG32/SUM('PCR (M3)'!AG28:AG32))</f>
        <v>50592.172457307752</v>
      </c>
      <c r="AG33" s="206">
        <f>+AG26+(AG36*'PCR (M3)'!AH32/SUM('PCR (M3)'!AH28:AH32))</f>
        <v>48111.888839753796</v>
      </c>
      <c r="AH33" s="206">
        <f>+AH26+(AH36*'PCR (M3)'!AI32/SUM('PCR (M3)'!AI28:AI32))</f>
        <v>52046.073170238749</v>
      </c>
      <c r="AI33" s="206">
        <f>+AI26+(AI36*'PCR (M3)'!AJ32/SUM('PCR (M3)'!AJ28:AJ32))</f>
        <v>47917.124744080225</v>
      </c>
      <c r="AJ33" s="206">
        <f>+AJ26+(AJ36*'PCR (M3)'!AK32/SUM('PCR (M3)'!AK28:AK32))</f>
        <v>31311.065037548167</v>
      </c>
      <c r="AK33" s="206">
        <f>+AK26+(AK36*'PCR (M3)'!AL32/SUM('PCR (M3)'!AL28:AL32))</f>
        <v>43129.542540372684</v>
      </c>
      <c r="AL33" s="206">
        <f>+AL26+(AL36*'PCR (M3)'!AM32/SUM('PCR (M3)'!AM28:AM32))</f>
        <v>40068.371731193824</v>
      </c>
      <c r="AM33" s="206">
        <f>+AM26+(AM36*'PCR (M3)'!AN32/SUM('PCR (M3)'!AN28:AN32))</f>
        <v>33269.832706991961</v>
      </c>
      <c r="AN33" s="206">
        <f>+AN26+(AN36*'PCR (M3)'!AO32/SUM('PCR (M3)'!AO28:AO32))</f>
        <v>5276.9215627583089</v>
      </c>
      <c r="AO33" s="206">
        <f>+AO26+(AO36*'PCR (M3)'!AP32/SUM('PCR (M3)'!AP28:AP32))</f>
        <v>-23975.143784503343</v>
      </c>
      <c r="AP33" s="206">
        <f>+AP26+(AP36*'PCR (M3)'!AQ32/SUM('PCR (M3)'!AQ28:AQ32))</f>
        <v>4407.7244863500373</v>
      </c>
      <c r="AQ33" s="206">
        <f>+AQ26+(AQ36*'PCR (M3)'!AR32/SUM('PCR (M3)'!AR28:AR32))</f>
        <v>5427.3573983012957</v>
      </c>
      <c r="AR33" s="206">
        <f>+AR26+(AR36*'PCR (M3)'!AS32/SUM('PCR (M3)'!AS28:AS32))</f>
        <v>6149.5954103370377</v>
      </c>
      <c r="AS33" s="206">
        <f>+AS26+(AS36*'PCR (M3)'!AT32/SUM('PCR (M3)'!AT28:AT32))</f>
        <v>6063.6949356240721</v>
      </c>
      <c r="AT33" s="206">
        <f>+AT26+(AT36*'PCR (M3)'!AU32/SUM('PCR (M3)'!AU28:AU32))</f>
        <v>6340.9099918320171</v>
      </c>
      <c r="AU33" s="203">
        <f>+AU26+(AU36*'PCR (M3)'!AV32/SUM('PCR (M3)'!AV28:AV32))</f>
        <v>5452.5804092461303</v>
      </c>
      <c r="AV33" s="203">
        <f>+AV26+(AV36*'PCR (M3)'!AW32/SUM('PCR (M3)'!AW28:AW32))</f>
        <v>5374.9963437301585</v>
      </c>
      <c r="AW33" s="203">
        <f>+AW26+(AW36*'PCR (M3)'!AX32/SUM('PCR (M3)'!AX28:AX32))</f>
        <v>4968.6713975309985</v>
      </c>
      <c r="AX33" s="203">
        <f>+AX26+(AX36*'PCR (M3)'!AY32/SUM('PCR (M3)'!AY28:AY32))</f>
        <v>4126.6501596050875</v>
      </c>
      <c r="AY33" s="203">
        <f>+AY26+(AY36*'PCR (M3)'!AZ32/SUM('PCR (M3)'!AZ28:AZ32))</f>
        <v>6475.6438068202078</v>
      </c>
      <c r="AZ33" s="203">
        <f>+AZ26+(AZ36*'PCR (M3)'!BA32/SUM('PCR (M3)'!BA28:BA32))</f>
        <v>20514.021968021043</v>
      </c>
      <c r="BA33" s="203">
        <f>+BA26+(BA36*'PCR (M3)'!BB32/SUM('PCR (M3)'!BB28:BB32))</f>
        <v>20728.070271802189</v>
      </c>
      <c r="BB33" s="203">
        <f>+BB26+(BB36*'PCR (M3)'!BC32/SUM('PCR (M3)'!BC28:BC32))</f>
        <v>21860.388330864007</v>
      </c>
      <c r="BC33" s="203">
        <f>+BC26+(BC36*'PCR (M3)'!BD32/SUM('PCR (M3)'!BD28:BD32))</f>
        <v>26312.731447989565</v>
      </c>
      <c r="BD33" s="203">
        <f>+BD26+(BD36*'PCR (M3)'!BE32/SUM('PCR (M3)'!BE28:BE32))</f>
        <v>24544.16997714834</v>
      </c>
      <c r="BE33" s="203">
        <f>+BE26+(BE36*'PCR (M3)'!BF32/SUM('PCR (M3)'!BF28:BF32))</f>
        <v>28119.347477767511</v>
      </c>
      <c r="BF33" s="203">
        <f>+BF26+(BF36*'PCR (M3)'!BG32/SUM('PCR (M3)'!BG28:BG32))</f>
        <v>30706.5519192147</v>
      </c>
      <c r="BG33" s="203">
        <f>+BG26+(BG36*'PCR (M3)'!BH32/SUM('PCR (M3)'!BH28:BH32))</f>
        <v>31001.069342748066</v>
      </c>
      <c r="BH33" s="203">
        <f>+BH26+(BH36*'PCR (M3)'!BI32/SUM('PCR (M3)'!BI28:BI32))</f>
        <v>27583.506583145499</v>
      </c>
      <c r="BI33" s="203">
        <f>+BI26+(BI36*'PCR (M3)'!BJ32/SUM('PCR (M3)'!BJ28:BJ32))</f>
        <v>30733.762218733365</v>
      </c>
      <c r="BJ33" s="203">
        <f>+BJ26+(BJ36*'PCR (M3)'!BK32/SUM('PCR (M3)'!BK28:BK32))</f>
        <v>26744.720437547388</v>
      </c>
      <c r="BK33" s="203">
        <f>+BK26+(BK36*'PCR (M3)'!BL32/SUM('PCR (M3)'!BL28:BL32))</f>
        <v>19021.059992246792</v>
      </c>
      <c r="BL33" s="203">
        <f>+BL26+(BL36*'PCR (M3)'!BM32/SUM('PCR (M3)'!BM28:BM32))</f>
        <v>14202.426517858028</v>
      </c>
      <c r="BM33" s="203">
        <f>+BM26+(BM36*'PCR (M3)'!BN32/SUM('PCR (M3)'!BN28:BN32))</f>
        <v>13786.223846277728</v>
      </c>
      <c r="BN33" s="203">
        <f>+BN26+(BN36*'PCR (M3)'!BO32/SUM('PCR (M3)'!BO28:BO32))</f>
        <v>16844.22889870466</v>
      </c>
      <c r="BO33" s="203">
        <f>+BO26+(BO36*'PCR (M3)'!BP32/SUM('PCR (M3)'!BP28:BP32))</f>
        <v>17079.191078118845</v>
      </c>
      <c r="BP33" s="203">
        <f>+BP26+(BP36*'PCR (M3)'!BQ32/SUM('PCR (M3)'!BQ28:BQ32))</f>
        <v>19670.958513884038</v>
      </c>
      <c r="BQ33" s="203">
        <f>+BQ26+(BQ36*'PCR (M3)'!BR32/SUM('PCR (M3)'!BR28:BR32))</f>
        <v>19390.309859036686</v>
      </c>
      <c r="BR33" s="203">
        <f>+BR26+(BR36*'PCR (M3)'!BS32/SUM('PCR (M3)'!BS28:BS32))</f>
        <v>16952.878205571345</v>
      </c>
      <c r="BS33" s="203">
        <f>+BS26+(BS36*'PCR (M3)'!BT32/SUM('PCR (M3)'!BT28:BT32))</f>
        <v>16965.176121407778</v>
      </c>
      <c r="BT33" s="232">
        <f>+BT26+(BT36*'PCR (M3)'!BU32/SUM('PCR (M3)'!BU28:BU32))</f>
        <v>16357.196288133806</v>
      </c>
      <c r="BU33" s="206">
        <f>+BU26+(BU36*'PCR (M3)'!BV32/SUM('PCR (M3)'!BV28:BV32))</f>
        <v>16142.05947794951</v>
      </c>
      <c r="BV33" s="209">
        <f>+BV26+(BV36*'PCR (M3)'!BW32/SUM('PCR (M3)'!BW28:BW32))</f>
        <v>16057.782789022642</v>
      </c>
      <c r="BW33" s="260"/>
    </row>
    <row r="34" spans="1:76" x14ac:dyDescent="0.2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65"/>
      <c r="BV34" s="67"/>
    </row>
    <row r="35" spans="1:76" x14ac:dyDescent="0.25">
      <c r="A35" t="s">
        <v>104</v>
      </c>
      <c r="B35" s="66"/>
      <c r="D35" s="68" t="s">
        <v>85</v>
      </c>
      <c r="BT35" s="65"/>
      <c r="BV35" s="67"/>
    </row>
    <row r="36" spans="1:76" x14ac:dyDescent="0.25">
      <c r="A36" t="str">
        <f>A22</f>
        <v>RES</v>
      </c>
      <c r="B36" s="61">
        <v>0</v>
      </c>
      <c r="C36" s="62">
        <v>0</v>
      </c>
      <c r="D36" s="62">
        <v>0</v>
      </c>
      <c r="E36" s="62">
        <v>0</v>
      </c>
      <c r="F36" s="62">
        <v>-923.75</v>
      </c>
      <c r="G36" s="62">
        <v>-10157.06</v>
      </c>
      <c r="H36" s="62">
        <v>-12455.51</v>
      </c>
      <c r="I36" s="62">
        <v>-13265.51</v>
      </c>
      <c r="J36" s="62">
        <v>-12079.85</v>
      </c>
      <c r="K36" s="69">
        <v>-10230.950000000001</v>
      </c>
      <c r="L36" s="62">
        <v>-11242.279999999999</v>
      </c>
      <c r="M36" s="62">
        <v>-15494.33</v>
      </c>
      <c r="N36" s="62">
        <v>-17112.689999999999</v>
      </c>
      <c r="O36" s="62">
        <v>-17916.879999999997</v>
      </c>
      <c r="P36" s="62">
        <v>-16196.53</v>
      </c>
      <c r="Q36" s="62">
        <v>-11729.169999999998</v>
      </c>
      <c r="R36" s="62">
        <v>-9666.880000000001</v>
      </c>
      <c r="S36" s="62">
        <v>-10964.7</v>
      </c>
      <c r="T36" s="62">
        <v>-14109.349999999999</v>
      </c>
      <c r="U36" s="62">
        <v>-13038.06</v>
      </c>
      <c r="V36" s="62">
        <v>-11941.109999999999</v>
      </c>
      <c r="W36" s="62">
        <v>-8935.6699999999983</v>
      </c>
      <c r="X36" s="62">
        <v>-10579.18</v>
      </c>
      <c r="Y36" s="62">
        <v>-14636.740000000002</v>
      </c>
      <c r="Z36" s="62">
        <v>-19698.789999999997</v>
      </c>
      <c r="AA36" s="62">
        <v>-48385.84</v>
      </c>
      <c r="AB36" s="62">
        <v>-64618.5</v>
      </c>
      <c r="AC36" s="62">
        <v>-42103.360000000001</v>
      </c>
      <c r="AD36" s="62">
        <v>-36788.399999999994</v>
      </c>
      <c r="AE36" s="62">
        <v>-41724.590000000004</v>
      </c>
      <c r="AF36" s="62">
        <v>-54881.069999999992</v>
      </c>
      <c r="AG36" s="62">
        <v>-55914.9</v>
      </c>
      <c r="AH36" s="62">
        <v>-55481.14</v>
      </c>
      <c r="AI36" s="69">
        <v>-39206.850000000013</v>
      </c>
      <c r="AJ36" s="69">
        <v>-42360.3</v>
      </c>
      <c r="AK36" s="69">
        <v>-54472.2</v>
      </c>
      <c r="AL36" s="69">
        <v>-66993.759999999995</v>
      </c>
      <c r="AM36" s="69">
        <v>-58621.54</v>
      </c>
      <c r="AN36" s="69">
        <v>-25799.879999999997</v>
      </c>
      <c r="AO36" s="69">
        <v>-19928.739999999994</v>
      </c>
      <c r="AP36" s="69">
        <v>-16836.810000000001</v>
      </c>
      <c r="AQ36" s="69">
        <v>-19254.710000000003</v>
      </c>
      <c r="AR36" s="69">
        <v>-26122.889999999996</v>
      </c>
      <c r="AS36" s="69">
        <v>-25874.140000000003</v>
      </c>
      <c r="AT36" s="69">
        <v>-22617.429999999997</v>
      </c>
      <c r="AU36" s="69">
        <v>-17799.38</v>
      </c>
      <c r="AV36" s="69">
        <v>-18696.190000000002</v>
      </c>
      <c r="AW36" s="69">
        <v>-30479.339999999997</v>
      </c>
      <c r="AX36" s="69">
        <v>-37208.44</v>
      </c>
      <c r="AY36" s="69">
        <v>-37987.630000000005</v>
      </c>
      <c r="AZ36" s="69">
        <v>-38676.790000000008</v>
      </c>
      <c r="BA36" s="69">
        <v>-32952.089999999997</v>
      </c>
      <c r="BB36" s="69">
        <v>-25745.839999999997</v>
      </c>
      <c r="BC36" s="69">
        <v>-30452.22</v>
      </c>
      <c r="BD36" s="69">
        <v>-39254.82</v>
      </c>
      <c r="BE36" s="69">
        <v>-41568.620000000003</v>
      </c>
      <c r="BF36" s="69">
        <v>-38859.040000000001</v>
      </c>
      <c r="BG36" s="69">
        <v>-30493.629999999997</v>
      </c>
      <c r="BH36" s="69">
        <f>'[1]TDR.3 (M3)'!BD7</f>
        <v>-28828.210000000003</v>
      </c>
      <c r="BI36" s="69">
        <f>'[1]TDR.3 (M3)'!BE7</f>
        <v>-42384.13</v>
      </c>
      <c r="BJ36" s="69">
        <f>'[1]TDR.3 (M3)'!BF7</f>
        <v>-55287.310000000005</v>
      </c>
      <c r="BK36" s="69">
        <f>'[1]TDR.3 (M3)'!BG7</f>
        <v>-45208.590000000004</v>
      </c>
      <c r="BL36" s="69">
        <f>'[1]TDR.3 (M3)'!BH7</f>
        <v>-15001.789999999997</v>
      </c>
      <c r="BM36" s="69">
        <f>'[1]TDR.3 (M3)'!BI7</f>
        <v>-12897.53</v>
      </c>
      <c r="BN36" s="69">
        <f>'[1]TDR.3 (M3)'!BJ7</f>
        <v>-10642.49</v>
      </c>
      <c r="BO36" s="69">
        <f>'[1]TDR.3 (M3)'!BK7</f>
        <v>-13111.119999999997</v>
      </c>
      <c r="BP36" s="69">
        <f>'[1]TDR.3 (M3)'!BL7</f>
        <v>-17456.84</v>
      </c>
      <c r="BQ36" s="69">
        <f>'[1]TDR.3 (M3)'!BM7</f>
        <v>-15939.500000000004</v>
      </c>
      <c r="BR36" s="69">
        <f>'[1]TDR.3 (M3)'!BN7</f>
        <v>-14994.950000000003</v>
      </c>
      <c r="BS36" s="69">
        <f>'[1]TDR.3 (M3)'!BO7</f>
        <v>-11357.540000000003</v>
      </c>
      <c r="BT36" s="72">
        <f>-('PCR (M3)'!BU28*'TDR (M3)'!$BW$22*PPC!$B$14)</f>
        <v>-13280.095967709647</v>
      </c>
      <c r="BU36" s="206">
        <f>-('PCR (M3)'!BV28*'TDR (M3)'!$BW$22*PPC!$B$14)</f>
        <v>-16775.108001723016</v>
      </c>
      <c r="BV36" s="209">
        <f>-('PCR (M3)'!BW28*'TDR (M3)'!$BW$22*PPC!$B$14)</f>
        <v>-19739.841110156725</v>
      </c>
    </row>
    <row r="37" spans="1:76" x14ac:dyDescent="0.2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71"/>
      <c r="BU37" s="3"/>
      <c r="BV37" s="67"/>
      <c r="BX37" s="3"/>
    </row>
    <row r="38" spans="1:76" x14ac:dyDescent="0.25">
      <c r="B38" s="71"/>
      <c r="C38" s="3"/>
      <c r="D38" s="68" t="s">
        <v>67</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71"/>
      <c r="BU38" s="3"/>
      <c r="BV38" s="269"/>
      <c r="BW38" s="3"/>
    </row>
    <row r="39" spans="1:76" ht="15.75" thickBot="1" x14ac:dyDescent="0.3">
      <c r="A39" t="s">
        <v>87</v>
      </c>
      <c r="B39" s="76">
        <v>0</v>
      </c>
      <c r="C39" s="77">
        <v>0</v>
      </c>
      <c r="D39" s="77">
        <v>0</v>
      </c>
      <c r="E39" s="77">
        <v>10.42</v>
      </c>
      <c r="F39" s="77">
        <v>5.03</v>
      </c>
      <c r="G39" s="77">
        <v>-582.27</v>
      </c>
      <c r="H39" s="77">
        <v>-855.05</v>
      </c>
      <c r="I39" s="77">
        <v>-862.55</v>
      </c>
      <c r="J39" s="77">
        <v>-1041.18</v>
      </c>
      <c r="K39" s="77">
        <v>-1530.79</v>
      </c>
      <c r="L39" s="77">
        <v>-1258.5899999999999</v>
      </c>
      <c r="M39" s="77">
        <v>-1443.88</v>
      </c>
      <c r="N39" s="77">
        <v>-1163.1300000000001</v>
      </c>
      <c r="O39" s="77">
        <v>-1083.47</v>
      </c>
      <c r="P39" s="77">
        <v>-1000.15</v>
      </c>
      <c r="Q39" s="77">
        <v>-634.92999999999995</v>
      </c>
      <c r="R39" s="77">
        <v>-90.31</v>
      </c>
      <c r="S39" s="77">
        <v>-33.79</v>
      </c>
      <c r="T39" s="77">
        <v>70.48</v>
      </c>
      <c r="U39" s="77">
        <v>163.1</v>
      </c>
      <c r="V39" s="77">
        <v>233.22</v>
      </c>
      <c r="W39" s="77">
        <v>424.84</v>
      </c>
      <c r="X39" s="77">
        <v>1480.53</v>
      </c>
      <c r="Y39" s="77">
        <v>835.87</v>
      </c>
      <c r="Z39" s="77">
        <v>702.63</v>
      </c>
      <c r="AA39" s="77">
        <v>621.02</v>
      </c>
      <c r="AB39" s="77">
        <v>282.43</v>
      </c>
      <c r="AC39" s="77">
        <v>105.51</v>
      </c>
      <c r="AD39" s="77">
        <v>-24.9</v>
      </c>
      <c r="AE39" s="77">
        <v>142.43</v>
      </c>
      <c r="AF39" s="77">
        <v>237.6</v>
      </c>
      <c r="AG39" s="77">
        <v>557.42999999999995</v>
      </c>
      <c r="AH39" s="77">
        <v>535.91999999999996</v>
      </c>
      <c r="AI39" s="78">
        <v>300.35000000000002</v>
      </c>
      <c r="AJ39" s="78">
        <v>227.64</v>
      </c>
      <c r="AK39" s="78">
        <v>224.83</v>
      </c>
      <c r="AL39" s="78">
        <v>46.44</v>
      </c>
      <c r="AM39" s="78">
        <v>-90.29</v>
      </c>
      <c r="AN39" s="78">
        <v>-440</v>
      </c>
      <c r="AO39" s="78">
        <v>-490.49</v>
      </c>
      <c r="AP39" s="78">
        <v>-777.29</v>
      </c>
      <c r="AQ39" s="78">
        <v>738.84</v>
      </c>
      <c r="AR39" s="78">
        <v>4560.24</v>
      </c>
      <c r="AS39" s="78">
        <v>9499.7900000000009</v>
      </c>
      <c r="AT39" s="78">
        <v>12902.26</v>
      </c>
      <c r="AU39" s="78">
        <v>15702.85</v>
      </c>
      <c r="AV39" s="78">
        <v>19686.439999999999</v>
      </c>
      <c r="AW39" s="78">
        <v>21314.78</v>
      </c>
      <c r="AX39" s="78">
        <v>22475.1</v>
      </c>
      <c r="AY39" s="78">
        <v>21751.33</v>
      </c>
      <c r="AZ39" s="78">
        <v>19769.7</v>
      </c>
      <c r="BA39" s="78">
        <v>18219.73</v>
      </c>
      <c r="BB39" s="78">
        <v>18129.25</v>
      </c>
      <c r="BC39" s="78">
        <v>29515.46</v>
      </c>
      <c r="BD39" s="78">
        <v>23818</v>
      </c>
      <c r="BE39" s="78">
        <v>18001.810000000001</v>
      </c>
      <c r="BF39" s="78">
        <v>10793.91</v>
      </c>
      <c r="BG39" s="78">
        <v>3580.88</v>
      </c>
      <c r="BH39" s="78">
        <f>-'[1]TDR.4 (M3)'!$W$77</f>
        <v>-2623.6</v>
      </c>
      <c r="BI39" s="78">
        <f>-'[1]TDR.4 (M3)'!$W$78</f>
        <v>-9669.65</v>
      </c>
      <c r="BJ39" s="78">
        <f>-'[1]TDR.4 (M3)'!$W$79</f>
        <v>-17045</v>
      </c>
      <c r="BK39" s="78">
        <f>-'[1]TDR.4 (M3)'!$W$80</f>
        <v>-22880.59</v>
      </c>
      <c r="BL39" s="78">
        <f>-'[1]TDR.4 (M3)'!$W$81</f>
        <v>-24831.9</v>
      </c>
      <c r="BM39" s="78">
        <f>-'[1]TDR.4 (M3)'!$W$82</f>
        <v>-26921.59</v>
      </c>
      <c r="BN39" s="78">
        <f>-'[1]TDR.4 (M3)'!$W$83</f>
        <v>-27613.25</v>
      </c>
      <c r="BO39" s="78">
        <f>-'[1]TDR.4 (M3)'!$W$84</f>
        <v>-23650.09</v>
      </c>
      <c r="BP39" s="78">
        <f>-'[1]TDR.4 (M3)'!$W$85</f>
        <v>-17668.27</v>
      </c>
      <c r="BQ39" s="78">
        <f>-'[1]TDR.4 (M3)'!$W$86</f>
        <v>-11474.51</v>
      </c>
      <c r="BR39" s="78">
        <f>-'[1]TDR.4 (M3)'!$W$87</f>
        <v>-8495.9699999999993</v>
      </c>
      <c r="BS39" s="78">
        <f>-'[1]TDR.4 (M3)'!$W$88</f>
        <v>-8870.27</v>
      </c>
      <c r="BT39" s="150">
        <f>'[2]MEEIA 3 calcs'!BV21</f>
        <v>-9644.23</v>
      </c>
      <c r="BU39" s="151">
        <f>'[2]MEEIA 3 calcs'!BW21</f>
        <v>-9929.2799999999988</v>
      </c>
      <c r="BV39" s="103">
        <f>'[2]MEEIA 3 calcs'!BX21</f>
        <v>-10219.51</v>
      </c>
    </row>
    <row r="40" spans="1:76" x14ac:dyDescent="0.25">
      <c r="B40" s="110"/>
      <c r="C40" s="79"/>
      <c r="D40" s="79"/>
      <c r="E40" s="79"/>
      <c r="F40" s="79"/>
      <c r="G40" s="128"/>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110"/>
      <c r="BU40" s="79"/>
      <c r="BV40" s="80"/>
    </row>
    <row r="41" spans="1:76" x14ac:dyDescent="0.25">
      <c r="A41" t="s">
        <v>68</v>
      </c>
      <c r="B41" s="81"/>
      <c r="C41" s="32"/>
      <c r="D41" s="32"/>
      <c r="E41" s="32"/>
      <c r="F41" s="32"/>
      <c r="G41" s="129"/>
      <c r="H41" s="32"/>
      <c r="I41" s="32"/>
      <c r="J41" s="3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65"/>
      <c r="BV41" s="67"/>
    </row>
    <row r="42" spans="1:76" x14ac:dyDescent="0.25">
      <c r="A42" t="s">
        <v>0</v>
      </c>
      <c r="B42" s="72">
        <f>B15-B29</f>
        <v>0</v>
      </c>
      <c r="C42" s="21">
        <f t="shared" ref="C42:BV46" si="64">C15-C29</f>
        <v>0</v>
      </c>
      <c r="D42" s="21">
        <f t="shared" si="64"/>
        <v>0</v>
      </c>
      <c r="E42" s="21">
        <f t="shared" si="64"/>
        <v>3542.7066619947968</v>
      </c>
      <c r="F42" s="21">
        <f>F15-F29</f>
        <v>-2042.587011875763</v>
      </c>
      <c r="G42" s="21">
        <f t="shared" si="64"/>
        <v>-101305.99221352636</v>
      </c>
      <c r="H42" s="21">
        <f t="shared" si="64"/>
        <v>3390.1150170901092</v>
      </c>
      <c r="I42" s="21">
        <f t="shared" si="64"/>
        <v>76961.106998553209</v>
      </c>
      <c r="J42" s="21">
        <f t="shared" si="64"/>
        <v>-50530.984803922765</v>
      </c>
      <c r="K42" s="21">
        <f t="shared" si="64"/>
        <v>-212267.59868433682</v>
      </c>
      <c r="L42" s="21">
        <f>L15-L29</f>
        <v>-40385.233069465088</v>
      </c>
      <c r="M42" s="21">
        <f t="shared" ref="M42:N42" si="65">M15-M29</f>
        <v>44343.414292571193</v>
      </c>
      <c r="N42" s="21">
        <f t="shared" si="65"/>
        <v>76836.312043950486</v>
      </c>
      <c r="O42" s="21">
        <f t="shared" ref="O42:V42" si="66">O15-O29</f>
        <v>201866.16865537548</v>
      </c>
      <c r="P42" s="21">
        <f t="shared" si="66"/>
        <v>34280.258242366312</v>
      </c>
      <c r="Q42" s="21">
        <f t="shared" si="66"/>
        <v>-126346.49822788438</v>
      </c>
      <c r="R42" s="21">
        <f t="shared" si="66"/>
        <v>-63609.632367494516</v>
      </c>
      <c r="S42" s="21">
        <f t="shared" si="66"/>
        <v>346374.89193049946</v>
      </c>
      <c r="T42" s="21">
        <f t="shared" si="66"/>
        <v>485911.41050838667</v>
      </c>
      <c r="U42" s="21">
        <f t="shared" si="66"/>
        <v>717829.24378261669</v>
      </c>
      <c r="V42" s="21">
        <f t="shared" si="66"/>
        <v>585204.42595819209</v>
      </c>
      <c r="W42" s="21">
        <f>W15-W29</f>
        <v>149158.25964036927</v>
      </c>
      <c r="X42" s="21">
        <f>X15-X29</f>
        <v>280854.02659305633</v>
      </c>
      <c r="Y42" s="21">
        <f t="shared" ref="Y42:AH42" si="67">Y15-Y29</f>
        <v>332241.02155908028</v>
      </c>
      <c r="Z42" s="21">
        <f t="shared" si="67"/>
        <v>227195.2030805297</v>
      </c>
      <c r="AA42" s="21">
        <f t="shared" si="67"/>
        <v>-610790.17258011526</v>
      </c>
      <c r="AB42" s="21">
        <f t="shared" si="67"/>
        <v>-968249.57662341476</v>
      </c>
      <c r="AC42" s="21">
        <f t="shared" si="67"/>
        <v>-475799.95241608412</v>
      </c>
      <c r="AD42" s="21">
        <f t="shared" si="67"/>
        <v>-326511.28297345655</v>
      </c>
      <c r="AE42" s="21">
        <f t="shared" si="67"/>
        <v>746018.93325227755</v>
      </c>
      <c r="AF42" s="21">
        <f t="shared" si="67"/>
        <v>770770.37407278339</v>
      </c>
      <c r="AG42" s="21">
        <f t="shared" si="67"/>
        <v>846365.4123658149</v>
      </c>
      <c r="AH42" s="21">
        <f t="shared" si="67"/>
        <v>190179.05805298151</v>
      </c>
      <c r="AI42" s="73">
        <f>AI15-AI29</f>
        <v>-474677.79895831738</v>
      </c>
      <c r="AJ42" s="73">
        <f t="shared" ref="AJ42:AU42" si="68">AJ15-AJ29</f>
        <v>-263381.97542737948</v>
      </c>
      <c r="AK42" s="73">
        <f t="shared" si="68"/>
        <v>-353257.53191095637</v>
      </c>
      <c r="AL42" s="73">
        <f t="shared" si="68"/>
        <v>-639036.90205576923</v>
      </c>
      <c r="AM42" s="73">
        <f t="shared" si="68"/>
        <v>-429267.71790252184</v>
      </c>
      <c r="AN42" s="73">
        <f t="shared" si="68"/>
        <v>-264599.8568676557</v>
      </c>
      <c r="AO42" s="73">
        <f t="shared" si="68"/>
        <v>-149534.1953224843</v>
      </c>
      <c r="AP42" s="73">
        <f t="shared" si="68"/>
        <v>-61157.46705547825</v>
      </c>
      <c r="AQ42" s="73">
        <f t="shared" si="68"/>
        <v>796873.6475477285</v>
      </c>
      <c r="AR42" s="73">
        <f t="shared" si="68"/>
        <v>957444.43433819094</v>
      </c>
      <c r="AS42" s="73">
        <f t="shared" si="68"/>
        <v>923593.7967756401</v>
      </c>
      <c r="AT42" s="73">
        <f t="shared" si="68"/>
        <v>508481.60765233729</v>
      </c>
      <c r="AU42" s="73">
        <f t="shared" si="68"/>
        <v>-73292.511665496568</v>
      </c>
      <c r="AV42" s="73">
        <f t="shared" ref="AV42:BG42" si="69">AV15-AV29</f>
        <v>16711.244755683234</v>
      </c>
      <c r="AW42" s="73">
        <f t="shared" si="69"/>
        <v>-98526.578159995144</v>
      </c>
      <c r="AX42" s="73">
        <f t="shared" si="69"/>
        <v>-189683.63739277085</v>
      </c>
      <c r="AY42" s="73">
        <f t="shared" si="69"/>
        <v>-283250.97699477617</v>
      </c>
      <c r="AZ42" s="73">
        <f t="shared" si="69"/>
        <v>-306134.19833128387</v>
      </c>
      <c r="BA42" s="73">
        <f t="shared" si="69"/>
        <v>-279866.62205560756</v>
      </c>
      <c r="BB42" s="73">
        <f t="shared" si="69"/>
        <v>-74582.467230427079</v>
      </c>
      <c r="BC42" s="73">
        <f t="shared" si="69"/>
        <v>1232428.4984144522</v>
      </c>
      <c r="BD42" s="73">
        <f t="shared" si="69"/>
        <v>-763650.35246273945</v>
      </c>
      <c r="BE42" s="73">
        <f t="shared" si="69"/>
        <v>-712024.34116110997</v>
      </c>
      <c r="BF42" s="73">
        <f t="shared" si="69"/>
        <v>-793425.51356071432</v>
      </c>
      <c r="BG42" s="73">
        <f t="shared" si="69"/>
        <v>-691854.29337635671</v>
      </c>
      <c r="BH42" s="73">
        <f t="shared" ref="BH42:BS42" si="70">BH15-BH29</f>
        <v>-562365.24360005651</v>
      </c>
      <c r="BI42" s="73">
        <f t="shared" si="70"/>
        <v>-741739.26874886104</v>
      </c>
      <c r="BJ42" s="73">
        <f t="shared" si="70"/>
        <v>-982493.28853306279</v>
      </c>
      <c r="BK42" s="73">
        <f>BK15-BK29</f>
        <v>-733906.49467667821</v>
      </c>
      <c r="BL42" s="73">
        <f t="shared" si="70"/>
        <v>-148292.10708953402</v>
      </c>
      <c r="BM42" s="73">
        <f t="shared" si="70"/>
        <v>-156600.53043047304</v>
      </c>
      <c r="BN42" s="73">
        <f t="shared" si="70"/>
        <v>-80450.286942953826</v>
      </c>
      <c r="BO42" s="73">
        <f t="shared" si="70"/>
        <v>384707.65187570505</v>
      </c>
      <c r="BP42" s="73">
        <f t="shared" si="70"/>
        <v>578607.71615700773</v>
      </c>
      <c r="BQ42" s="73">
        <f t="shared" si="70"/>
        <v>628407.76014909451</v>
      </c>
      <c r="BR42" s="73">
        <f t="shared" si="70"/>
        <v>206035.75003162981</v>
      </c>
      <c r="BS42" s="73">
        <f t="shared" si="70"/>
        <v>-124053.12825820938</v>
      </c>
      <c r="BT42" s="72">
        <f>BT15-BT29</f>
        <v>-77152.258314955921</v>
      </c>
      <c r="BU42" s="21">
        <f t="shared" si="64"/>
        <v>-14602.178339170583</v>
      </c>
      <c r="BV42" s="75">
        <f t="shared" si="64"/>
        <v>-67818.409404310747</v>
      </c>
    </row>
    <row r="43" spans="1:76" x14ac:dyDescent="0.25">
      <c r="A43" t="s">
        <v>4</v>
      </c>
      <c r="B43" s="72">
        <f t="shared" ref="B43:J46" si="71">B16-B30</f>
        <v>0</v>
      </c>
      <c r="C43" s="21">
        <f t="shared" si="71"/>
        <v>0</v>
      </c>
      <c r="D43" s="21">
        <f t="shared" si="71"/>
        <v>0.34412602678174997</v>
      </c>
      <c r="E43" s="21">
        <f t="shared" si="71"/>
        <v>593.85341007321881</v>
      </c>
      <c r="F43" s="21">
        <f t="shared" si="71"/>
        <v>3705.6477164422931</v>
      </c>
      <c r="G43" s="21">
        <f t="shared" si="71"/>
        <v>-36933.991833043365</v>
      </c>
      <c r="H43" s="21">
        <f t="shared" si="71"/>
        <v>-21571.365474004102</v>
      </c>
      <c r="I43" s="21">
        <f t="shared" si="71"/>
        <v>-17718.260509192958</v>
      </c>
      <c r="J43" s="21">
        <f t="shared" si="71"/>
        <v>3197.5668888877699</v>
      </c>
      <c r="K43" s="21">
        <f t="shared" si="64"/>
        <v>28.546596919208241</v>
      </c>
      <c r="L43" s="21">
        <f t="shared" ref="L43:N43" si="72">L16-L30</f>
        <v>9386.3233492282816</v>
      </c>
      <c r="M43" s="21">
        <f t="shared" si="72"/>
        <v>17183.31946097999</v>
      </c>
      <c r="N43" s="21">
        <f t="shared" si="72"/>
        <v>44970.013947199928</v>
      </c>
      <c r="O43" s="21">
        <f t="shared" ref="O43:Z43" si="73">O16-O30</f>
        <v>15565.470032368001</v>
      </c>
      <c r="P43" s="21">
        <f t="shared" si="73"/>
        <v>31713.576391725845</v>
      </c>
      <c r="Q43" s="21">
        <f t="shared" si="73"/>
        <v>-10957.783165404988</v>
      </c>
      <c r="R43" s="21">
        <f t="shared" si="73"/>
        <v>22055.733280690023</v>
      </c>
      <c r="S43" s="21">
        <f t="shared" si="73"/>
        <v>36852.642078134973</v>
      </c>
      <c r="T43" s="21">
        <f t="shared" si="73"/>
        <v>65933.032892219417</v>
      </c>
      <c r="U43" s="21">
        <f t="shared" si="73"/>
        <v>36891.63752109505</v>
      </c>
      <c r="V43" s="21">
        <f t="shared" si="73"/>
        <v>53957.672709346953</v>
      </c>
      <c r="W43" s="21">
        <f t="shared" si="73"/>
        <v>43171.372644444236</v>
      </c>
      <c r="X43" s="21">
        <f t="shared" si="73"/>
        <v>39046.876902396682</v>
      </c>
      <c r="Y43" s="21">
        <f t="shared" si="73"/>
        <v>47892.028333323746</v>
      </c>
      <c r="Z43" s="21">
        <f t="shared" si="73"/>
        <v>114994.92728477837</v>
      </c>
      <c r="AA43" s="21">
        <f t="shared" ref="AA43:AI43" si="74">AA16-AA30</f>
        <v>-99474.309502936463</v>
      </c>
      <c r="AB43" s="21">
        <f t="shared" si="74"/>
        <v>-210033.88020115101</v>
      </c>
      <c r="AC43" s="21">
        <f t="shared" si="74"/>
        <v>-132060.68636566441</v>
      </c>
      <c r="AD43" s="21">
        <f t="shared" si="74"/>
        <v>-69215.410222931969</v>
      </c>
      <c r="AE43" s="21">
        <f t="shared" si="74"/>
        <v>-15830.300275854592</v>
      </c>
      <c r="AF43" s="21">
        <f t="shared" si="74"/>
        <v>34854.687738781795</v>
      </c>
      <c r="AG43" s="21">
        <f t="shared" si="74"/>
        <v>-22900.219521689694</v>
      </c>
      <c r="AH43" s="21">
        <f t="shared" si="74"/>
        <v>-81673.364828463295</v>
      </c>
      <c r="AI43" s="73">
        <f t="shared" si="74"/>
        <v>-102557.80562980051</v>
      </c>
      <c r="AJ43" s="73">
        <f t="shared" ref="AJ43:AU43" si="75">AJ16-AJ30</f>
        <v>-89407.163772798842</v>
      </c>
      <c r="AK43" s="73">
        <f t="shared" si="75"/>
        <v>-104576.10527784744</v>
      </c>
      <c r="AL43" s="73">
        <f t="shared" si="75"/>
        <v>-94687.91259836551</v>
      </c>
      <c r="AM43" s="73">
        <f t="shared" si="75"/>
        <v>-96050.993391543539</v>
      </c>
      <c r="AN43" s="73">
        <f t="shared" si="75"/>
        <v>-97798.216238904512</v>
      </c>
      <c r="AO43" s="73">
        <f t="shared" si="75"/>
        <v>-48939.860955869037</v>
      </c>
      <c r="AP43" s="73">
        <f t="shared" si="75"/>
        <v>19982.049615389522</v>
      </c>
      <c r="AQ43" s="73">
        <f t="shared" si="75"/>
        <v>63067.616987736488</v>
      </c>
      <c r="AR43" s="73">
        <f t="shared" si="75"/>
        <v>115554.35634589652</v>
      </c>
      <c r="AS43" s="73">
        <f t="shared" si="75"/>
        <v>58090.128968651581</v>
      </c>
      <c r="AT43" s="73">
        <f t="shared" si="75"/>
        <v>73670.259759755107</v>
      </c>
      <c r="AU43" s="73">
        <f t="shared" si="75"/>
        <v>-145.17088530535693</v>
      </c>
      <c r="AV43" s="73">
        <f t="shared" ref="AV43:BG43" si="76">AV16-AV30</f>
        <v>-18909.705104756285</v>
      </c>
      <c r="AW43" s="73">
        <f t="shared" si="76"/>
        <v>-42358.993670210475</v>
      </c>
      <c r="AX43" s="73">
        <f t="shared" si="76"/>
        <v>-8351.5711094664875</v>
      </c>
      <c r="AY43" s="73">
        <f t="shared" si="76"/>
        <v>-15854.344248695852</v>
      </c>
      <c r="AZ43" s="73">
        <f t="shared" si="76"/>
        <v>56381.207820053824</v>
      </c>
      <c r="BA43" s="73">
        <f t="shared" si="76"/>
        <v>85456.410617308007</v>
      </c>
      <c r="BB43" s="73">
        <f t="shared" si="76"/>
        <v>169217.90145895118</v>
      </c>
      <c r="BC43" s="73">
        <f t="shared" si="76"/>
        <v>249196.60009668104</v>
      </c>
      <c r="BD43" s="73">
        <f t="shared" si="76"/>
        <v>-17355.472023932671</v>
      </c>
      <c r="BE43" s="73">
        <f t="shared" si="76"/>
        <v>-34421.412601850752</v>
      </c>
      <c r="BF43" s="73">
        <f t="shared" si="76"/>
        <v>-38158.525228034705</v>
      </c>
      <c r="BG43" s="73">
        <f t="shared" si="76"/>
        <v>-47907.652897314416</v>
      </c>
      <c r="BH43" s="73">
        <f t="shared" ref="BH43:BS43" si="77">BH16-BH30</f>
        <v>-34293.050941902984</v>
      </c>
      <c r="BI43" s="73">
        <f t="shared" si="77"/>
        <v>-34368.390014453325</v>
      </c>
      <c r="BJ43" s="73">
        <f t="shared" si="77"/>
        <v>-12763.061267731595</v>
      </c>
      <c r="BK43" s="73">
        <f t="shared" si="77"/>
        <v>-70033.351939437023</v>
      </c>
      <c r="BL43" s="73">
        <f t="shared" si="77"/>
        <v>-43894.795373798712</v>
      </c>
      <c r="BM43" s="73">
        <f t="shared" si="77"/>
        <v>-26849.225158226473</v>
      </c>
      <c r="BN43" s="73">
        <f t="shared" si="77"/>
        <v>26136.094321838813</v>
      </c>
      <c r="BO43" s="73">
        <f t="shared" si="77"/>
        <v>89265.558478038438</v>
      </c>
      <c r="BP43" s="73">
        <f t="shared" si="77"/>
        <v>137336.1197913565</v>
      </c>
      <c r="BQ43" s="73">
        <f t="shared" si="77"/>
        <v>106718.96149982431</v>
      </c>
      <c r="BR43" s="73">
        <f t="shared" si="77"/>
        <v>67154.130983748211</v>
      </c>
      <c r="BS43" s="73">
        <f t="shared" si="77"/>
        <v>1168.12870463531</v>
      </c>
      <c r="BT43" s="72">
        <f t="shared" si="64"/>
        <v>-4853.8613513726741</v>
      </c>
      <c r="BU43" s="21">
        <f t="shared" si="64"/>
        <v>-3785.4756008831901</v>
      </c>
      <c r="BV43" s="75">
        <f t="shared" si="64"/>
        <v>-3572.9852753671294</v>
      </c>
    </row>
    <row r="44" spans="1:76" x14ac:dyDescent="0.25">
      <c r="A44" t="s">
        <v>5</v>
      </c>
      <c r="B44" s="72">
        <f t="shared" si="71"/>
        <v>0</v>
      </c>
      <c r="C44" s="21">
        <f t="shared" si="64"/>
        <v>0</v>
      </c>
      <c r="D44" s="21">
        <f t="shared" si="64"/>
        <v>0.36790548240712501</v>
      </c>
      <c r="E44" s="21">
        <f t="shared" si="64"/>
        <v>549.3842450882164</v>
      </c>
      <c r="F44" s="21">
        <f t="shared" si="64"/>
        <v>-2931.1326047334169</v>
      </c>
      <c r="G44" s="21">
        <f t="shared" si="64"/>
        <v>-90370.113443998154</v>
      </c>
      <c r="H44" s="21">
        <f t="shared" si="64"/>
        <v>-75556.802484400338</v>
      </c>
      <c r="I44" s="21">
        <f t="shared" si="64"/>
        <v>-64270.675133255725</v>
      </c>
      <c r="J44" s="21">
        <f t="shared" si="64"/>
        <v>-39992.989537141941</v>
      </c>
      <c r="K44" s="21">
        <f t="shared" si="64"/>
        <v>-53536.042368776616</v>
      </c>
      <c r="L44" s="21">
        <f t="shared" ref="L44:N44" si="78">L17-L31</f>
        <v>-11728.216706934792</v>
      </c>
      <c r="M44" s="21">
        <f t="shared" si="78"/>
        <v>-2556.6017182828946</v>
      </c>
      <c r="N44" s="21">
        <f t="shared" si="78"/>
        <v>46597.399590637317</v>
      </c>
      <c r="O44" s="21">
        <f t="shared" ref="O44:Z44" si="79">O17-O31</f>
        <v>18383.043639580181</v>
      </c>
      <c r="P44" s="21">
        <f t="shared" si="79"/>
        <v>24990.899470165736</v>
      </c>
      <c r="Q44" s="21">
        <f t="shared" si="79"/>
        <v>-37113.943471591141</v>
      </c>
      <c r="R44" s="21">
        <f t="shared" si="79"/>
        <v>4409.0097991616203</v>
      </c>
      <c r="S44" s="21">
        <f t="shared" si="79"/>
        <v>94999.438860579292</v>
      </c>
      <c r="T44" s="21">
        <f t="shared" si="79"/>
        <v>155775.95298932068</v>
      </c>
      <c r="U44" s="21">
        <f t="shared" si="79"/>
        <v>139126.85562350042</v>
      </c>
      <c r="V44" s="21">
        <f t="shared" si="79"/>
        <v>120838.5398867241</v>
      </c>
      <c r="W44" s="21">
        <f t="shared" si="79"/>
        <v>49544.61988423382</v>
      </c>
      <c r="X44" s="21">
        <f t="shared" si="79"/>
        <v>50278.3618024834</v>
      </c>
      <c r="Y44" s="21">
        <f t="shared" si="79"/>
        <v>75211.526400806077</v>
      </c>
      <c r="Z44" s="21">
        <f t="shared" si="79"/>
        <v>180823.88930596292</v>
      </c>
      <c r="AA44" s="21">
        <f t="shared" ref="AA44:AI44" si="80">AA17-AA31</f>
        <v>-106572.26075811638</v>
      </c>
      <c r="AB44" s="21">
        <f t="shared" si="80"/>
        <v>-322347.13432818762</v>
      </c>
      <c r="AC44" s="21">
        <f t="shared" si="80"/>
        <v>-275847.81482360844</v>
      </c>
      <c r="AD44" s="21">
        <f t="shared" si="80"/>
        <v>-192782.80456222064</v>
      </c>
      <c r="AE44" s="21">
        <f t="shared" si="80"/>
        <v>150903.3937693839</v>
      </c>
      <c r="AF44" s="21">
        <f t="shared" si="80"/>
        <v>293180.15700391319</v>
      </c>
      <c r="AG44" s="21">
        <f t="shared" si="80"/>
        <v>285049.75756536925</v>
      </c>
      <c r="AH44" s="21">
        <f t="shared" si="80"/>
        <v>-7342.2299445640529</v>
      </c>
      <c r="AI44" s="73">
        <f t="shared" si="80"/>
        <v>-233844.43615168746</v>
      </c>
      <c r="AJ44" s="73">
        <f t="shared" ref="AJ44:AU44" si="81">AJ17-AJ31</f>
        <v>-174574.03518960776</v>
      </c>
      <c r="AK44" s="73">
        <f t="shared" si="81"/>
        <v>-145413.93952933012</v>
      </c>
      <c r="AL44" s="73">
        <f t="shared" si="81"/>
        <v>26900.304766233545</v>
      </c>
      <c r="AM44" s="73">
        <f t="shared" si="81"/>
        <v>-10527.036040066916</v>
      </c>
      <c r="AN44" s="73">
        <f t="shared" si="81"/>
        <v>-4850.2718564083916</v>
      </c>
      <c r="AO44" s="73">
        <f t="shared" si="81"/>
        <v>-21097.581799694948</v>
      </c>
      <c r="AP44" s="73">
        <f t="shared" si="81"/>
        <v>52314.06310299458</v>
      </c>
      <c r="AQ44" s="73">
        <f t="shared" si="81"/>
        <v>596787.63314727857</v>
      </c>
      <c r="AR44" s="73">
        <f t="shared" si="81"/>
        <v>786551.17298325233</v>
      </c>
      <c r="AS44" s="73">
        <f t="shared" si="81"/>
        <v>632472.83297479805</v>
      </c>
      <c r="AT44" s="73">
        <f t="shared" si="81"/>
        <v>331398.59223014308</v>
      </c>
      <c r="AU44" s="73">
        <f t="shared" si="81"/>
        <v>51953.445046711946</v>
      </c>
      <c r="AV44" s="73">
        <f t="shared" ref="AV44:BG44" si="82">AV17-AV31</f>
        <v>82994.382209797099</v>
      </c>
      <c r="AW44" s="73">
        <f t="shared" si="82"/>
        <v>153260.08539508248</v>
      </c>
      <c r="AX44" s="73">
        <f t="shared" si="82"/>
        <v>293288.44313714519</v>
      </c>
      <c r="AY44" s="73">
        <f t="shared" si="82"/>
        <v>-16703.771914269251</v>
      </c>
      <c r="AZ44" s="73">
        <f t="shared" si="82"/>
        <v>-296753.43094153918</v>
      </c>
      <c r="BA44" s="73">
        <f t="shared" si="82"/>
        <v>-306668.00777012284</v>
      </c>
      <c r="BB44" s="73">
        <f t="shared" si="82"/>
        <v>-142445.53674008197</v>
      </c>
      <c r="BC44" s="73">
        <f t="shared" si="82"/>
        <v>724699.19477386912</v>
      </c>
      <c r="BD44" s="73">
        <f t="shared" si="82"/>
        <v>-498221.41982288787</v>
      </c>
      <c r="BE44" s="73">
        <f t="shared" si="82"/>
        <v>-528568.86197373248</v>
      </c>
      <c r="BF44" s="73">
        <f t="shared" si="82"/>
        <v>-625324.25494448445</v>
      </c>
      <c r="BG44" s="73">
        <f t="shared" si="82"/>
        <v>-656984.44414299075</v>
      </c>
      <c r="BH44" s="73">
        <f t="shared" ref="BH44:BS44" si="83">BH17-BH31</f>
        <v>-580548.49441062124</v>
      </c>
      <c r="BI44" s="73">
        <f t="shared" si="83"/>
        <v>-589887.31564565899</v>
      </c>
      <c r="BJ44" s="73">
        <f t="shared" si="83"/>
        <v>-589791.59020368359</v>
      </c>
      <c r="BK44" s="73">
        <f t="shared" si="83"/>
        <v>-446611.32686509349</v>
      </c>
      <c r="BL44" s="73">
        <f t="shared" si="83"/>
        <v>-155154.50704338113</v>
      </c>
      <c r="BM44" s="73">
        <f t="shared" si="83"/>
        <v>-169678.52927761016</v>
      </c>
      <c r="BN44" s="73">
        <f t="shared" si="83"/>
        <v>-106711.42985289596</v>
      </c>
      <c r="BO44" s="73">
        <f t="shared" si="83"/>
        <v>257691.61195588461</v>
      </c>
      <c r="BP44" s="73">
        <f t="shared" si="83"/>
        <v>355379.1661845551</v>
      </c>
      <c r="BQ44" s="73">
        <f t="shared" si="83"/>
        <v>346053.43869595678</v>
      </c>
      <c r="BR44" s="73">
        <f t="shared" si="83"/>
        <v>137190.76888579229</v>
      </c>
      <c r="BS44" s="73">
        <f t="shared" si="83"/>
        <v>-119612.73546532745</v>
      </c>
      <c r="BT44" s="72">
        <f t="shared" si="64"/>
        <v>-106235.98125843663</v>
      </c>
      <c r="BU44" s="21">
        <f t="shared" si="64"/>
        <v>-68824.027197828575</v>
      </c>
      <c r="BV44" s="75">
        <f t="shared" si="64"/>
        <v>-35826.489678502025</v>
      </c>
    </row>
    <row r="45" spans="1:76" x14ac:dyDescent="0.25">
      <c r="A45" t="s">
        <v>6</v>
      </c>
      <c r="B45" s="72">
        <f t="shared" si="71"/>
        <v>0</v>
      </c>
      <c r="C45" s="21">
        <f t="shared" si="64"/>
        <v>0</v>
      </c>
      <c r="D45" s="21">
        <f t="shared" si="64"/>
        <v>0</v>
      </c>
      <c r="E45" s="21">
        <f t="shared" si="64"/>
        <v>9.4764517045030008</v>
      </c>
      <c r="F45" s="21">
        <f t="shared" si="64"/>
        <v>-1388.7476725055421</v>
      </c>
      <c r="G45" s="21">
        <f t="shared" si="64"/>
        <v>-33788.634873838782</v>
      </c>
      <c r="H45" s="21">
        <f t="shared" si="64"/>
        <v>-30625.282694978901</v>
      </c>
      <c r="I45" s="21">
        <f t="shared" si="64"/>
        <v>-31628.79776913585</v>
      </c>
      <c r="J45" s="21">
        <f t="shared" si="64"/>
        <v>-28095.429085728912</v>
      </c>
      <c r="K45" s="21">
        <f t="shared" si="64"/>
        <v>-31873.257504636691</v>
      </c>
      <c r="L45" s="21">
        <f>L18-L32</f>
        <v>-20880.892855911723</v>
      </c>
      <c r="M45" s="21">
        <f t="shared" ref="M45:N45" si="84">M18-M32</f>
        <v>-23064.420173608982</v>
      </c>
      <c r="N45" s="21">
        <f t="shared" si="84"/>
        <v>-1423.2608784312542</v>
      </c>
      <c r="O45" s="21">
        <f t="shared" ref="O45:W45" si="85">O18-O32</f>
        <v>-14045.782339868903</v>
      </c>
      <c r="P45" s="21">
        <f t="shared" si="85"/>
        <v>-5408.7078937220649</v>
      </c>
      <c r="Q45" s="21">
        <f t="shared" si="85"/>
        <v>-15692.292082889318</v>
      </c>
      <c r="R45" s="21">
        <f t="shared" si="85"/>
        <v>6523.1063165799351</v>
      </c>
      <c r="S45" s="21">
        <f t="shared" si="85"/>
        <v>52225.67050608014</v>
      </c>
      <c r="T45" s="21">
        <f t="shared" si="85"/>
        <v>81126.031644751754</v>
      </c>
      <c r="U45" s="21">
        <f t="shared" si="85"/>
        <v>77855.075454152829</v>
      </c>
      <c r="V45" s="21">
        <f t="shared" si="85"/>
        <v>50995.109967789846</v>
      </c>
      <c r="W45" s="21">
        <f t="shared" si="85"/>
        <v>11794.265719027549</v>
      </c>
      <c r="X45" s="21">
        <f>X18-X32</f>
        <v>10004.407961434124</v>
      </c>
      <c r="Y45" s="21">
        <f t="shared" ref="Y45:AI46" si="86">Y18-Y32</f>
        <v>10547.155657963784</v>
      </c>
      <c r="Z45" s="21">
        <f t="shared" si="86"/>
        <v>50611.748559016953</v>
      </c>
      <c r="AA45" s="21">
        <f t="shared" si="86"/>
        <v>-43125.549203065362</v>
      </c>
      <c r="AB45" s="21">
        <f t="shared" si="86"/>
        <v>-110257.69620095585</v>
      </c>
      <c r="AC45" s="21">
        <f t="shared" si="86"/>
        <v>-112228.30133303815</v>
      </c>
      <c r="AD45" s="21">
        <f t="shared" si="86"/>
        <v>-87474.223358746356</v>
      </c>
      <c r="AE45" s="21">
        <f t="shared" si="86"/>
        <v>72680.815943949798</v>
      </c>
      <c r="AF45" s="21">
        <f t="shared" si="86"/>
        <v>73843.149288604734</v>
      </c>
      <c r="AG45" s="21">
        <f t="shared" si="86"/>
        <v>84472.985426224215</v>
      </c>
      <c r="AH45" s="21">
        <f t="shared" si="86"/>
        <v>-27647.010106525413</v>
      </c>
      <c r="AI45" s="73">
        <f t="shared" si="86"/>
        <v>-86196.264936724954</v>
      </c>
      <c r="AJ45" s="73">
        <f t="shared" ref="AJ45:AU45" si="87">AJ18-AJ32</f>
        <v>-77684.382735068095</v>
      </c>
      <c r="AK45" s="73">
        <f t="shared" si="87"/>
        <v>-120137.99665862328</v>
      </c>
      <c r="AL45" s="73">
        <f t="shared" si="87"/>
        <v>-70229.427605409932</v>
      </c>
      <c r="AM45" s="73">
        <f t="shared" si="87"/>
        <v>-49894.35370415762</v>
      </c>
      <c r="AN45" s="73">
        <f t="shared" si="87"/>
        <v>-33628.861897006471</v>
      </c>
      <c r="AO45" s="73">
        <f t="shared" si="87"/>
        <v>-22919.353908090081</v>
      </c>
      <c r="AP45" s="73">
        <f t="shared" si="87"/>
        <v>-15785.079509891759</v>
      </c>
      <c r="AQ45" s="73">
        <f t="shared" si="87"/>
        <v>107503.74592378129</v>
      </c>
      <c r="AR45" s="73">
        <f t="shared" si="87"/>
        <v>180568.29448130322</v>
      </c>
      <c r="AS45" s="73">
        <f t="shared" si="87"/>
        <v>143547.73543805329</v>
      </c>
      <c r="AT45" s="73">
        <f t="shared" si="87"/>
        <v>63071.936227815095</v>
      </c>
      <c r="AU45" s="73">
        <f t="shared" si="87"/>
        <v>-14701.955808595536</v>
      </c>
      <c r="AV45" s="73">
        <f t="shared" ref="AV45:BG45" si="88">AV18-AV32</f>
        <v>-18006.209142611697</v>
      </c>
      <c r="AW45" s="73">
        <f t="shared" si="88"/>
        <v>-9772.579992506784</v>
      </c>
      <c r="AX45" s="73">
        <f t="shared" si="88"/>
        <v>39298.486512002026</v>
      </c>
      <c r="AY45" s="73">
        <f t="shared" si="88"/>
        <v>-26312.350749432677</v>
      </c>
      <c r="AZ45" s="73">
        <f t="shared" si="88"/>
        <v>-93941.729145740246</v>
      </c>
      <c r="BA45" s="73">
        <f t="shared" si="88"/>
        <v>-98209.148897672974</v>
      </c>
      <c r="BB45" s="73">
        <f t="shared" si="88"/>
        <v>-50494.294711080671</v>
      </c>
      <c r="BC45" s="73">
        <f t="shared" si="88"/>
        <v>202876.84551150198</v>
      </c>
      <c r="BD45" s="73">
        <f t="shared" si="88"/>
        <v>-80698.164317753835</v>
      </c>
      <c r="BE45" s="73">
        <f t="shared" si="88"/>
        <v>-102449.98587131154</v>
      </c>
      <c r="BF45" s="73">
        <f t="shared" si="88"/>
        <v>-127966.18626965526</v>
      </c>
      <c r="BG45" s="73">
        <f t="shared" si="88"/>
        <v>-150723.59161622528</v>
      </c>
      <c r="BH45" s="73">
        <f t="shared" ref="BH45:BS45" si="89">BH18-BH32</f>
        <v>-149786.09628625531</v>
      </c>
      <c r="BI45" s="73">
        <f t="shared" si="89"/>
        <v>-133109.29044015225</v>
      </c>
      <c r="BJ45" s="73">
        <f t="shared" si="89"/>
        <v>-105536.13824294852</v>
      </c>
      <c r="BK45" s="73">
        <f t="shared" si="89"/>
        <v>-95918.244717569993</v>
      </c>
      <c r="BL45" s="73">
        <f t="shared" si="89"/>
        <v>-9243.4442287667043</v>
      </c>
      <c r="BM45" s="73">
        <f t="shared" si="89"/>
        <v>-5243.8503868951811</v>
      </c>
      <c r="BN45" s="73">
        <f t="shared" si="89"/>
        <v>20036.309306359544</v>
      </c>
      <c r="BO45" s="73">
        <f t="shared" si="89"/>
        <v>172347.06615923223</v>
      </c>
      <c r="BP45" s="73">
        <f t="shared" si="89"/>
        <v>211569.07025783695</v>
      </c>
      <c r="BQ45" s="73">
        <f t="shared" si="89"/>
        <v>206825.84250018571</v>
      </c>
      <c r="BR45" s="73">
        <f t="shared" si="89"/>
        <v>122854.68684484088</v>
      </c>
      <c r="BS45" s="73">
        <f t="shared" si="89"/>
        <v>15180.199055953868</v>
      </c>
      <c r="BT45" s="72">
        <f t="shared" si="64"/>
        <v>11249.503510537703</v>
      </c>
      <c r="BU45" s="21">
        <f t="shared" si="64"/>
        <v>27719.057944974062</v>
      </c>
      <c r="BV45" s="75">
        <f t="shared" si="64"/>
        <v>44287.903025598673</v>
      </c>
    </row>
    <row r="46" spans="1:76" x14ac:dyDescent="0.25">
      <c r="A46" t="s">
        <v>7</v>
      </c>
      <c r="B46" s="72">
        <f t="shared" si="71"/>
        <v>0</v>
      </c>
      <c r="C46" s="21">
        <f t="shared" si="64"/>
        <v>0</v>
      </c>
      <c r="D46" s="21">
        <f t="shared" si="64"/>
        <v>0</v>
      </c>
      <c r="E46" s="21">
        <f t="shared" si="64"/>
        <v>0</v>
      </c>
      <c r="F46" s="21">
        <f t="shared" si="64"/>
        <v>206.95969459981058</v>
      </c>
      <c r="G46" s="21">
        <f t="shared" si="64"/>
        <v>-3528.7340731331474</v>
      </c>
      <c r="H46" s="21">
        <f t="shared" si="64"/>
        <v>-6806.3797850987785</v>
      </c>
      <c r="I46" s="21">
        <f t="shared" si="64"/>
        <v>-7300.5960205780684</v>
      </c>
      <c r="J46" s="21">
        <f t="shared" si="64"/>
        <v>-7080.3370793455424</v>
      </c>
      <c r="K46" s="21">
        <f t="shared" si="64"/>
        <v>-6687.927317849204</v>
      </c>
      <c r="L46" s="21">
        <f>L19-L33</f>
        <v>-1825.1377979269255</v>
      </c>
      <c r="M46" s="21">
        <f t="shared" ref="M46" si="90">M19-M33</f>
        <v>-3396.1962381337257</v>
      </c>
      <c r="N46" s="21">
        <f>N19-N33</f>
        <v>295.33845004445902</v>
      </c>
      <c r="O46" s="21">
        <f t="shared" ref="O46:W46" si="91">O19-O33</f>
        <v>-6078.344592685643</v>
      </c>
      <c r="P46" s="21">
        <f t="shared" si="91"/>
        <v>-14379.160711894308</v>
      </c>
      <c r="Q46" s="21">
        <f t="shared" si="91"/>
        <v>-16913.762044639316</v>
      </c>
      <c r="R46" s="21">
        <f t="shared" si="91"/>
        <v>-9837.7169283901458</v>
      </c>
      <c r="S46" s="21">
        <f t="shared" si="91"/>
        <v>21423.409277318446</v>
      </c>
      <c r="T46" s="21">
        <f t="shared" si="91"/>
        <v>16335.053413476926</v>
      </c>
      <c r="U46" s="21">
        <f t="shared" si="91"/>
        <v>16771.929407484269</v>
      </c>
      <c r="V46" s="21">
        <f t="shared" si="91"/>
        <v>1272.9677155168429</v>
      </c>
      <c r="W46" s="21">
        <f t="shared" si="91"/>
        <v>-11866.314202668673</v>
      </c>
      <c r="X46" s="21">
        <f>X19-X33</f>
        <v>-11417.130969499938</v>
      </c>
      <c r="Y46" s="21">
        <f t="shared" si="86"/>
        <v>-9867.5953953947501</v>
      </c>
      <c r="Z46" s="21">
        <f>Z19-Z33</f>
        <v>-7422.0239136573146</v>
      </c>
      <c r="AA46" s="21">
        <f t="shared" ref="AA46:AI46" si="92">AA19-AA33</f>
        <v>-21773.895600950826</v>
      </c>
      <c r="AB46" s="21">
        <f t="shared" si="92"/>
        <v>-12776.523247539964</v>
      </c>
      <c r="AC46" s="21">
        <f t="shared" si="92"/>
        <v>-28107.024288206539</v>
      </c>
      <c r="AD46" s="21">
        <f t="shared" si="92"/>
        <v>-19719.380314370752</v>
      </c>
      <c r="AE46" s="21">
        <f t="shared" si="92"/>
        <v>26946.907616365206</v>
      </c>
      <c r="AF46" s="21">
        <f t="shared" si="92"/>
        <v>22816.014843513054</v>
      </c>
      <c r="AG46" s="21">
        <f t="shared" si="92"/>
        <v>25070.106516194413</v>
      </c>
      <c r="AH46" s="21">
        <f t="shared" si="92"/>
        <v>-7363.8274162355956</v>
      </c>
      <c r="AI46" s="73">
        <f t="shared" si="92"/>
        <v>-28469.222598257755</v>
      </c>
      <c r="AJ46" s="73">
        <f t="shared" ref="AJ46:AU46" si="93">AJ19-AJ33</f>
        <v>-15185.323573905296</v>
      </c>
      <c r="AK46" s="73">
        <f t="shared" si="93"/>
        <v>-24066.181570945864</v>
      </c>
      <c r="AL46" s="73">
        <f t="shared" si="93"/>
        <v>-21242.964005599017</v>
      </c>
      <c r="AM46" s="73">
        <f t="shared" si="93"/>
        <v>-18227.552360108974</v>
      </c>
      <c r="AN46" s="73">
        <f t="shared" si="93"/>
        <v>95.627625391845868</v>
      </c>
      <c r="AO46" s="73">
        <f t="shared" si="93"/>
        <v>29736.31910527551</v>
      </c>
      <c r="AP46" s="73">
        <f t="shared" si="93"/>
        <v>3293.4420523490626</v>
      </c>
      <c r="AQ46" s="73">
        <f>AQ19-AQ33</f>
        <v>15389.338517816026</v>
      </c>
      <c r="AR46" s="73">
        <f t="shared" si="93"/>
        <v>23171.855562324603</v>
      </c>
      <c r="AS46" s="73">
        <f t="shared" si="93"/>
        <v>22993.347085226123</v>
      </c>
      <c r="AT46" s="73">
        <f t="shared" si="93"/>
        <v>16298.209308745758</v>
      </c>
      <c r="AU46" s="73">
        <f t="shared" si="93"/>
        <v>5070.0944368337578</v>
      </c>
      <c r="AV46" s="73">
        <f t="shared" ref="AV46:BG46" si="94">AV19-AV33</f>
        <v>3027.9432284016339</v>
      </c>
      <c r="AW46" s="73">
        <f t="shared" si="94"/>
        <v>5179.1951125177902</v>
      </c>
      <c r="AX46" s="73">
        <f t="shared" si="94"/>
        <v>6058.3028342312336</v>
      </c>
      <c r="AY46" s="73">
        <f t="shared" si="94"/>
        <v>2596.412982507185</v>
      </c>
      <c r="AZ46" s="73">
        <f t="shared" si="94"/>
        <v>-10559.368815323654</v>
      </c>
      <c r="BA46" s="73">
        <f t="shared" si="94"/>
        <v>-9754.9814394705172</v>
      </c>
      <c r="BB46" s="73">
        <f t="shared" si="94"/>
        <v>-1343.4667565583804</v>
      </c>
      <c r="BC46" s="73">
        <f t="shared" si="94"/>
        <v>53860.639050135556</v>
      </c>
      <c r="BD46" s="73">
        <f t="shared" si="94"/>
        <v>16522.003980640089</v>
      </c>
      <c r="BE46" s="73">
        <f t="shared" si="94"/>
        <v>15345.517901399504</v>
      </c>
      <c r="BF46" s="73">
        <f t="shared" si="94"/>
        <v>-6133.9423654350285</v>
      </c>
      <c r="BG46" s="73">
        <f t="shared" si="94"/>
        <v>-24603.253500222098</v>
      </c>
      <c r="BH46" s="73">
        <f t="shared" ref="BH46:BS46" si="95">BH19-BH33</f>
        <v>-21843.05519115489</v>
      </c>
      <c r="BI46" s="73">
        <f t="shared" si="95"/>
        <v>-23480.901513706674</v>
      </c>
      <c r="BJ46" s="73">
        <f t="shared" si="95"/>
        <v>-11135.455903838647</v>
      </c>
      <c r="BK46" s="73">
        <f t="shared" si="95"/>
        <v>-9090.0537934414569</v>
      </c>
      <c r="BL46" s="73">
        <f t="shared" si="95"/>
        <v>-3467.9092060513394</v>
      </c>
      <c r="BM46" s="73">
        <f t="shared" si="95"/>
        <v>-1324.5055063109576</v>
      </c>
      <c r="BN46" s="73">
        <f t="shared" si="95"/>
        <v>5851.0128042081524</v>
      </c>
      <c r="BO46" s="73">
        <f t="shared" si="95"/>
        <v>48329.316407036385</v>
      </c>
      <c r="BP46" s="73">
        <f t="shared" si="95"/>
        <v>53044.932169700856</v>
      </c>
      <c r="BQ46" s="73">
        <f t="shared" si="95"/>
        <v>53584.358135893548</v>
      </c>
      <c r="BR46" s="73">
        <f t="shared" si="95"/>
        <v>31310.504633182041</v>
      </c>
      <c r="BS46" s="73">
        <f t="shared" si="95"/>
        <v>3090.6829334625618</v>
      </c>
      <c r="BT46" s="72">
        <f t="shared" si="64"/>
        <v>-2111.5797731934781</v>
      </c>
      <c r="BU46" s="21">
        <f t="shared" si="64"/>
        <v>-96.718784358237826</v>
      </c>
      <c r="BV46" s="75">
        <f t="shared" si="64"/>
        <v>2367.6489767281</v>
      </c>
    </row>
    <row r="47" spans="1:76" x14ac:dyDescent="0.25">
      <c r="B47" s="65"/>
      <c r="F47" s="31"/>
      <c r="G47" s="31"/>
      <c r="BT47" s="65"/>
      <c r="BV47" s="67"/>
    </row>
    <row r="48" spans="1:76" x14ac:dyDescent="0.25">
      <c r="A48" t="s">
        <v>69</v>
      </c>
      <c r="B48" s="65"/>
      <c r="F48" s="31"/>
      <c r="G48" s="31"/>
      <c r="BT48" s="65"/>
      <c r="BV48" s="67"/>
    </row>
    <row r="49" spans="1:74" x14ac:dyDescent="0.25">
      <c r="A49" t="s">
        <v>0</v>
      </c>
      <c r="B49" s="72">
        <f>B42</f>
        <v>0</v>
      </c>
      <c r="C49" s="21">
        <f>B49+C42+B56</f>
        <v>0</v>
      </c>
      <c r="D49" s="21">
        <f t="shared" ref="D49:I49" si="96">C49+D42+C56</f>
        <v>0</v>
      </c>
      <c r="E49" s="21">
        <f t="shared" si="96"/>
        <v>3542.7066619947968</v>
      </c>
      <c r="F49" s="21">
        <f>E49+F42+E56</f>
        <v>1507.97936331558</v>
      </c>
      <c r="G49" s="21">
        <f t="shared" si="96"/>
        <v>-99794.648345930662</v>
      </c>
      <c r="H49" s="21">
        <f t="shared" si="96"/>
        <v>-96624.917917516941</v>
      </c>
      <c r="I49" s="21">
        <f t="shared" si="96"/>
        <v>-19872.751755740155</v>
      </c>
      <c r="J49" s="21">
        <f t="shared" ref="J49:O49" si="97">I49+J42+I56</f>
        <v>-70442.673738996746</v>
      </c>
      <c r="K49" s="21">
        <f t="shared" si="97"/>
        <v>-282840.4076317767</v>
      </c>
      <c r="L49" s="21">
        <f>K49+L42+K56</f>
        <v>-323723.89519173</v>
      </c>
      <c r="M49" s="21">
        <f t="shared" si="97"/>
        <v>-279870.29009307991</v>
      </c>
      <c r="N49" s="21">
        <f t="shared" si="97"/>
        <v>-203480.65079889275</v>
      </c>
      <c r="O49" s="21">
        <f t="shared" si="97"/>
        <v>-1934.8078275588223</v>
      </c>
      <c r="P49" s="21">
        <f t="shared" ref="P49:P53" si="98">O49+P42+O56</f>
        <v>32342.542426052445</v>
      </c>
      <c r="Q49" s="21">
        <f t="shared" ref="Q49:Q53" si="99">P49+Q42+P56</f>
        <v>-93953.05424609402</v>
      </c>
      <c r="R49" s="21">
        <f t="shared" ref="R49:R53" si="100">Q49+R42+Q56</f>
        <v>-157636.16259966171</v>
      </c>
      <c r="S49" s="21">
        <f t="shared" ref="S49:S53" si="101">R49+S42+R56</f>
        <v>188721.77464200588</v>
      </c>
      <c r="T49" s="21">
        <f>S49+T42+S56</f>
        <v>674652.94290478434</v>
      </c>
      <c r="U49" s="21">
        <f>T49+U42+T56</f>
        <v>1392591.0661148026</v>
      </c>
      <c r="V49" s="21">
        <f t="shared" ref="V49:V53" si="102">U49+V42+U56</f>
        <v>1977953.9979486326</v>
      </c>
      <c r="W49" s="21">
        <f>V49+W42+V56</f>
        <v>2127316.5077120098</v>
      </c>
      <c r="X49" s="21">
        <f t="shared" ref="X49:X53" si="103">W49+X42+W56</f>
        <v>2408525.0870563518</v>
      </c>
      <c r="Y49" s="21">
        <f t="shared" ref="Y49:Y53" si="104">X49+Y42+X56</f>
        <v>2741272.7900379961</v>
      </c>
      <c r="Z49" s="21">
        <f t="shared" ref="Z49:Z53" si="105">Y49+Z42+Y56</f>
        <v>2969118.3578035682</v>
      </c>
      <c r="AA49" s="21">
        <f t="shared" ref="AA49" si="106">Z49+AA42+Z56</f>
        <v>2358838.2277977522</v>
      </c>
      <c r="AB49" s="21">
        <f t="shared" ref="AB49:AB53" si="107">AA49+AB42+AA56</f>
        <v>1391045.1197882914</v>
      </c>
      <c r="AC49" s="21">
        <f t="shared" ref="AC49:AC53" si="108">AB49+AC42+AB56</f>
        <v>915492.85918464535</v>
      </c>
      <c r="AD49" s="21">
        <f t="shared" ref="AD49:AD53" si="109">AC49+AD42+AC56</f>
        <v>589153.32496030396</v>
      </c>
      <c r="AE49" s="21">
        <f>AD49+AE42+AD56</f>
        <v>1335282.3670413278</v>
      </c>
      <c r="AF49" s="21">
        <f t="shared" ref="AF49:AF53" si="110">AE49+AF42+AE56</f>
        <v>2106277.1342031569</v>
      </c>
      <c r="AG49" s="21">
        <f t="shared" ref="AG49:AG53" si="111">AF49+AG42+AF56</f>
        <v>2952887.4872921393</v>
      </c>
      <c r="AH49" s="21">
        <f t="shared" ref="AH49:AH53" si="112">AG49+AH42+AG56</f>
        <v>3143571.240570751</v>
      </c>
      <c r="AI49" s="73">
        <f>AH49+AI42+AH56</f>
        <v>2669399.6430303748</v>
      </c>
      <c r="AJ49" s="73">
        <f t="shared" ref="AJ49:AU53" si="113">AI49+AJ42+AI56</f>
        <v>2406351.3425583742</v>
      </c>
      <c r="AK49" s="73">
        <f t="shared" si="113"/>
        <v>2053401.0395497861</v>
      </c>
      <c r="AL49" s="73">
        <f t="shared" si="113"/>
        <v>1414809.8350343213</v>
      </c>
      <c r="AM49" s="73">
        <f t="shared" si="113"/>
        <v>985818.53560331929</v>
      </c>
      <c r="AN49" s="73">
        <f t="shared" si="113"/>
        <v>721461.72325894679</v>
      </c>
      <c r="AO49" s="73">
        <f t="shared" si="113"/>
        <v>572341.34395168943</v>
      </c>
      <c r="AP49" s="73">
        <f t="shared" si="113"/>
        <v>511470.24597985292</v>
      </c>
      <c r="AQ49" s="73">
        <f t="shared" si="113"/>
        <v>1308748.68173588</v>
      </c>
      <c r="AR49" s="73">
        <f t="shared" si="113"/>
        <v>2267813.6370480177</v>
      </c>
      <c r="AS49" s="73">
        <f t="shared" si="113"/>
        <v>3195294.2585146413</v>
      </c>
      <c r="AT49" s="73">
        <f t="shared" si="113"/>
        <v>3710603.2886875798</v>
      </c>
      <c r="AU49" s="73">
        <f t="shared" si="113"/>
        <v>3646097.7824579584</v>
      </c>
      <c r="AV49" s="73">
        <f t="shared" ref="AV49:AV53" si="114">AU49+AV42+AU56</f>
        <v>3673352.6912443605</v>
      </c>
      <c r="AW49" s="73">
        <f t="shared" ref="AW49:AW53" si="115">AV49+AW42+AV56</f>
        <v>3587946.4044370633</v>
      </c>
      <c r="AX49" s="73">
        <f t="shared" ref="AX49:AX53" si="116">AW49+AX42+AW56</f>
        <v>3412069.193778432</v>
      </c>
      <c r="AY49" s="73">
        <f>AX49+AY42+AX56</f>
        <v>3142223.1372730471</v>
      </c>
      <c r="AZ49" s="73">
        <f t="shared" ref="AZ49:AZ53" si="117">AY49+AZ42+AY56</f>
        <v>2848783.3763977857</v>
      </c>
      <c r="BA49" s="73">
        <f t="shared" ref="BA49:BA53" si="118">AZ49+BA42+AZ56</f>
        <v>2580761.554059817</v>
      </c>
      <c r="BB49" s="73">
        <f t="shared" ref="BB49:BB53" si="119">BA49+BB42+BA56</f>
        <v>2517467.1679667118</v>
      </c>
      <c r="BC49" s="73">
        <f t="shared" ref="BC49:BC53" si="120">BB49+BC42+BB56</f>
        <v>3761070.6694758297</v>
      </c>
      <c r="BD49" s="73">
        <f t="shared" ref="BD49:BD53" si="121">BC49+BD42+BC56</f>
        <v>3014328.9060057928</v>
      </c>
      <c r="BE49" s="73">
        <f t="shared" ref="BE49:BE53" si="122">BD49+BE42+BD56</f>
        <v>2315976.2143620802</v>
      </c>
      <c r="BF49" s="73">
        <f t="shared" ref="BF49:BF53" si="123">BE49+BF42+BE56</f>
        <v>1533205.1158479371</v>
      </c>
      <c r="BG49" s="73">
        <f t="shared" ref="BG49:BG53" si="124">BF49+BG42+BF56</f>
        <v>848422.89333263703</v>
      </c>
      <c r="BH49" s="73">
        <f t="shared" ref="BH49:BH53" si="125">BG49+BH42+BG56</f>
        <v>289958.59638537676</v>
      </c>
      <c r="BI49" s="73">
        <f t="shared" ref="BI49:BI53" si="126">BH49+BI42+BH56</f>
        <v>-450437.66678322718</v>
      </c>
      <c r="BJ49" s="73">
        <f t="shared" ref="BJ49:BJ53" si="127">BI49+BJ42+BI56</f>
        <v>-1435013.3192657109</v>
      </c>
      <c r="BK49" s="73">
        <f>BJ49+BK42+BJ56+BJ66</f>
        <v>-2148073.4271680084</v>
      </c>
      <c r="BL49" s="73">
        <f t="shared" ref="BL49:BL53" si="128">BK49+BL42+BK56</f>
        <v>-2305990.9993729079</v>
      </c>
      <c r="BM49" s="73">
        <f t="shared" ref="BM49:BM53" si="129">BL49+BM42+BL56</f>
        <v>-2473023.5121674631</v>
      </c>
      <c r="BN49" s="73">
        <f t="shared" ref="BN49:BN53" si="130">BM49+BN42+BM56</f>
        <v>-2564808.830248584</v>
      </c>
      <c r="BO49" s="73">
        <f t="shared" ref="BO49:BO53" si="131">BN49+BO42+BN56</f>
        <v>-2191835.1787712662</v>
      </c>
      <c r="BP49" s="73">
        <f t="shared" ref="BP49:BP53" si="132">BO49+BP42+BO56</f>
        <v>-1623369.8091185715</v>
      </c>
      <c r="BQ49" s="73">
        <f t="shared" ref="BQ49:BQ53" si="133">BP49+BQ42+BP56</f>
        <v>-1002512.6219829795</v>
      </c>
      <c r="BR49" s="73">
        <f t="shared" ref="BR49:BR53" si="134">BQ49+BR42+BQ56</f>
        <v>-801125.16374579514</v>
      </c>
      <c r="BS49" s="73">
        <f t="shared" ref="BS49:BS53" si="135">BR49+BS42+BR56</f>
        <v>-928720.16582596593</v>
      </c>
      <c r="BT49" s="210">
        <f>BS49+BT42+BS56</f>
        <v>-1009696.2312967415</v>
      </c>
      <c r="BU49" s="21">
        <f>BT49+BU42+BT56</f>
        <v>-1028455.6184664138</v>
      </c>
      <c r="BV49" s="241">
        <f t="shared" ref="BV49" si="136">BU49+BV42+BU56</f>
        <v>-1100508.4744758946</v>
      </c>
    </row>
    <row r="50" spans="1:74" x14ac:dyDescent="0.25">
      <c r="A50" t="s">
        <v>4</v>
      </c>
      <c r="B50" s="72">
        <f>B43</f>
        <v>0</v>
      </c>
      <c r="C50" s="21">
        <f t="shared" ref="C50:K53" si="137">B50+C43+B57</f>
        <v>0</v>
      </c>
      <c r="D50" s="21">
        <f t="shared" si="137"/>
        <v>0.34412602678174997</v>
      </c>
      <c r="E50" s="21">
        <f t="shared" si="137"/>
        <v>594.19753610000055</v>
      </c>
      <c r="F50" s="21">
        <f t="shared" si="137"/>
        <v>4301.1635164183126</v>
      </c>
      <c r="G50" s="21">
        <f t="shared" si="137"/>
        <v>-32623.231843747151</v>
      </c>
      <c r="H50" s="21">
        <f t="shared" si="137"/>
        <v>-54266.641837676369</v>
      </c>
      <c r="I50" s="21">
        <f t="shared" si="137"/>
        <v>-72102.248035734898</v>
      </c>
      <c r="J50" s="21">
        <f t="shared" si="137"/>
        <v>-69045.952883979742</v>
      </c>
      <c r="K50" s="21">
        <f t="shared" si="137"/>
        <v>-69144.961205035448</v>
      </c>
      <c r="L50" s="21">
        <f t="shared" ref="L50:N53" si="138">K50+L43+K57</f>
        <v>-59880.444310915569</v>
      </c>
      <c r="M50" s="21">
        <f t="shared" si="138"/>
        <v>-42787.723373422028</v>
      </c>
      <c r="N50" s="21">
        <f t="shared" si="138"/>
        <v>2114.0014029303547</v>
      </c>
      <c r="O50" s="21">
        <f>N50+O43+N57</f>
        <v>17682.799363250229</v>
      </c>
      <c r="P50" s="21">
        <f t="shared" si="98"/>
        <v>49422.952751912715</v>
      </c>
      <c r="Q50" s="21">
        <f t="shared" si="99"/>
        <v>38542.952747494091</v>
      </c>
      <c r="R50" s="21">
        <f t="shared" si="100"/>
        <v>60628.828544380289</v>
      </c>
      <c r="S50" s="21">
        <f t="shared" si="101"/>
        <v>97487.99160669338</v>
      </c>
      <c r="T50" s="21">
        <f t="shared" ref="T50:T53" si="139">S50+T43+S57</f>
        <v>163431.23076047408</v>
      </c>
      <c r="U50" s="21">
        <f t="shared" ref="U50:U53" si="140">T50+U43+T57</f>
        <v>200349.2437669381</v>
      </c>
      <c r="V50" s="21">
        <f t="shared" si="102"/>
        <v>254329.72039416831</v>
      </c>
      <c r="W50" s="21">
        <f t="shared" ref="W50:W53" si="141">V50+W43+V57</f>
        <v>297527.35597330623</v>
      </c>
      <c r="X50" s="21">
        <f t="shared" si="103"/>
        <v>336623.82076836511</v>
      </c>
      <c r="Y50" s="21">
        <f t="shared" si="104"/>
        <v>384586.66465486388</v>
      </c>
      <c r="Z50" s="21">
        <f t="shared" si="105"/>
        <v>499672.83480534278</v>
      </c>
      <c r="AA50" s="21">
        <f>Z50+AA43+Z57</f>
        <v>400284.3603511512</v>
      </c>
      <c r="AB50" s="21">
        <f t="shared" si="107"/>
        <v>190327.94084442325</v>
      </c>
      <c r="AC50" s="21">
        <f t="shared" si="108"/>
        <v>58301.144589118834</v>
      </c>
      <c r="AD50" s="21">
        <f t="shared" si="109"/>
        <v>-10903.328193335354</v>
      </c>
      <c r="AE50" s="21">
        <f t="shared" ref="AE50:AE53" si="142">AD50+AE43+AD57</f>
        <v>-26735.666228540424</v>
      </c>
      <c r="AF50" s="21">
        <f t="shared" si="110"/>
        <v>8114.5286038113873</v>
      </c>
      <c r="AG50" s="21">
        <f t="shared" si="111"/>
        <v>-14784.747272584862</v>
      </c>
      <c r="AH50" s="21">
        <f t="shared" si="112"/>
        <v>-96460.63904844888</v>
      </c>
      <c r="AI50" s="73">
        <f t="shared" ref="AI50:AI53" si="143">AH50+AI43+AH57</f>
        <v>-199033.97749380377</v>
      </c>
      <c r="AJ50" s="73">
        <f t="shared" si="113"/>
        <v>-288466.02051378932</v>
      </c>
      <c r="AK50" s="73">
        <f t="shared" si="113"/>
        <v>-393078.95545041753</v>
      </c>
      <c r="AL50" s="73">
        <f t="shared" si="113"/>
        <v>-487852.18714632676</v>
      </c>
      <c r="AM50" s="73">
        <f t="shared" si="113"/>
        <v>-583998.49465893395</v>
      </c>
      <c r="AN50" s="73">
        <f t="shared" si="113"/>
        <v>-681940.69037337706</v>
      </c>
      <c r="AO50" s="73">
        <f t="shared" si="113"/>
        <v>-731271.69887043047</v>
      </c>
      <c r="AP50" s="73">
        <f t="shared" si="113"/>
        <v>-711655.53861199843</v>
      </c>
      <c r="AQ50" s="73">
        <f t="shared" si="113"/>
        <v>-649151.14064367651</v>
      </c>
      <c r="AR50" s="73">
        <f t="shared" si="113"/>
        <v>-534400.5773050664</v>
      </c>
      <c r="AS50" s="73">
        <f t="shared" si="113"/>
        <v>-477226.36193919613</v>
      </c>
      <c r="AT50" s="73">
        <f t="shared" si="113"/>
        <v>-404575.7973146374</v>
      </c>
      <c r="AU50" s="73">
        <f t="shared" si="113"/>
        <v>-405679.03605404758</v>
      </c>
      <c r="AV50" s="73">
        <f t="shared" si="114"/>
        <v>-425761.87027263042</v>
      </c>
      <c r="AW50" s="73">
        <f t="shared" si="115"/>
        <v>-469641.57819338405</v>
      </c>
      <c r="AX50" s="73">
        <f t="shared" si="116"/>
        <v>-479800.33126984263</v>
      </c>
      <c r="AY50" s="73">
        <f t="shared" ref="AY50:AY53" si="144">AX50+AY43+AX57</f>
        <v>-497595.47101937095</v>
      </c>
      <c r="AZ50" s="73">
        <f t="shared" si="117"/>
        <v>-443224.52609577629</v>
      </c>
      <c r="BA50" s="73">
        <f t="shared" si="118"/>
        <v>-359610.97435817297</v>
      </c>
      <c r="BB50" s="73">
        <f t="shared" si="119"/>
        <v>-191965.98762667528</v>
      </c>
      <c r="BC50" s="73">
        <f t="shared" si="120"/>
        <v>56378.478017928173</v>
      </c>
      <c r="BD50" s="73">
        <f t="shared" si="121"/>
        <v>39276.465871943532</v>
      </c>
      <c r="BE50" s="73">
        <f t="shared" si="122"/>
        <v>5033.1937757998257</v>
      </c>
      <c r="BF50" s="73">
        <f t="shared" si="123"/>
        <v>-33102.176751783023</v>
      </c>
      <c r="BG50" s="73">
        <f t="shared" si="124"/>
        <v>-81162.516942678732</v>
      </c>
      <c r="BH50" s="73">
        <f t="shared" si="125"/>
        <v>-115828.74339798212</v>
      </c>
      <c r="BI50" s="73">
        <f t="shared" si="126"/>
        <v>-150733.61914066304</v>
      </c>
      <c r="BJ50" s="73">
        <f t="shared" si="127"/>
        <v>-164193.51878939819</v>
      </c>
      <c r="BK50" s="73">
        <f>BJ50+BK43+BJ57+BJ67</f>
        <v>-226326.27770982587</v>
      </c>
      <c r="BL50" s="73">
        <f t="shared" si="128"/>
        <v>-271235.23566449061</v>
      </c>
      <c r="BM50" s="73">
        <f t="shared" si="129"/>
        <v>-299311.49128195958</v>
      </c>
      <c r="BN50" s="73">
        <f t="shared" si="130"/>
        <v>-274547.28245049313</v>
      </c>
      <c r="BO50" s="73">
        <f t="shared" si="131"/>
        <v>-186537.77778966571</v>
      </c>
      <c r="BP50" s="73">
        <f t="shared" si="132"/>
        <v>-50064.830009056808</v>
      </c>
      <c r="BQ50" s="73">
        <f t="shared" si="133"/>
        <v>56421.271330212199</v>
      </c>
      <c r="BR50" s="73">
        <f t="shared" si="134"/>
        <v>123837.00753149638</v>
      </c>
      <c r="BS50" s="73">
        <f t="shared" si="135"/>
        <v>125552.63502285686</v>
      </c>
      <c r="BT50" s="210">
        <f>BS50+BT43+BS57</f>
        <v>121215.70986162867</v>
      </c>
      <c r="BU50" s="21">
        <f t="shared" ref="BU50:BV53" si="145">BT50+BU43+BT57</f>
        <v>117929.31408674929</v>
      </c>
      <c r="BV50" s="241">
        <f t="shared" si="145"/>
        <v>114841.87760388068</v>
      </c>
    </row>
    <row r="51" spans="1:74" x14ac:dyDescent="0.25">
      <c r="A51" t="s">
        <v>5</v>
      </c>
      <c r="B51" s="72">
        <f>B44</f>
        <v>0</v>
      </c>
      <c r="C51" s="21">
        <f t="shared" si="137"/>
        <v>0</v>
      </c>
      <c r="D51" s="21">
        <f t="shared" si="137"/>
        <v>0.36790548240712501</v>
      </c>
      <c r="E51" s="21">
        <f t="shared" si="137"/>
        <v>549.75215057062348</v>
      </c>
      <c r="F51" s="21">
        <f t="shared" si="137"/>
        <v>-2380.1607951153696</v>
      </c>
      <c r="G51" s="21">
        <f t="shared" si="137"/>
        <v>-92755.584697185666</v>
      </c>
      <c r="H51" s="21">
        <f t="shared" si="137"/>
        <v>-168517.22683701589</v>
      </c>
      <c r="I51" s="21">
        <f t="shared" si="137"/>
        <v>-233152.30207684272</v>
      </c>
      <c r="J51" s="21">
        <f t="shared" si="137"/>
        <v>-273602.11274825141</v>
      </c>
      <c r="K51" s="21">
        <f t="shared" si="137"/>
        <v>-327643.60538010154</v>
      </c>
      <c r="L51" s="21">
        <f>K51+L44+K58</f>
        <v>-339949.00233870995</v>
      </c>
      <c r="M51" s="21">
        <f t="shared" si="138"/>
        <v>-342924.63709766627</v>
      </c>
      <c r="N51" s="21">
        <f t="shared" si="138"/>
        <v>-296874.54494206631</v>
      </c>
      <c r="O51" s="21">
        <f>N51+O44+N58</f>
        <v>-278958.85061216116</v>
      </c>
      <c r="P51" s="21">
        <f t="shared" si="98"/>
        <v>-254387.22234254846</v>
      </c>
      <c r="Q51" s="21">
        <f t="shared" si="99"/>
        <v>-291901.52720832155</v>
      </c>
      <c r="R51" s="21">
        <f t="shared" si="100"/>
        <v>-287720.7989985132</v>
      </c>
      <c r="S51" s="21">
        <f t="shared" si="101"/>
        <v>-192752.30618823753</v>
      </c>
      <c r="T51" s="21">
        <f t="shared" si="139"/>
        <v>-36996.532919732468</v>
      </c>
      <c r="U51" s="21">
        <f t="shared" si="140"/>
        <v>102124.35198747226</v>
      </c>
      <c r="V51" s="21">
        <f t="shared" si="102"/>
        <v>222974.5157530432</v>
      </c>
      <c r="W51" s="21">
        <f t="shared" si="141"/>
        <v>272542.16072902206</v>
      </c>
      <c r="X51" s="21">
        <f t="shared" si="103"/>
        <v>322865.94622496027</v>
      </c>
      <c r="Y51" s="21">
        <f t="shared" si="104"/>
        <v>398145.39393487369</v>
      </c>
      <c r="Z51" s="21">
        <f t="shared" si="105"/>
        <v>579063.74290375982</v>
      </c>
      <c r="AA51" s="21">
        <f>Z51+AA44+Z58</f>
        <v>472590.95516305882</v>
      </c>
      <c r="AB51" s="21">
        <f t="shared" si="107"/>
        <v>150335.27387973378</v>
      </c>
      <c r="AC51" s="21">
        <f t="shared" si="108"/>
        <v>-125485.77199444885</v>
      </c>
      <c r="AD51" s="21">
        <f t="shared" si="109"/>
        <v>-318292.1180012101</v>
      </c>
      <c r="AE51" s="21">
        <f t="shared" si="142"/>
        <v>-167448.21090673318</v>
      </c>
      <c r="AF51" s="21">
        <f t="shared" si="110"/>
        <v>125703.80656487732</v>
      </c>
      <c r="AG51" s="21">
        <f t="shared" si="111"/>
        <v>410768.18233066518</v>
      </c>
      <c r="AH51" s="21">
        <f t="shared" si="112"/>
        <v>403496.15917229099</v>
      </c>
      <c r="AI51" s="73">
        <f t="shared" si="143"/>
        <v>169716.69699837465</v>
      </c>
      <c r="AJ51" s="73">
        <f t="shared" si="113"/>
        <v>-4836.123604108313</v>
      </c>
      <c r="AK51" s="73">
        <f t="shared" si="113"/>
        <v>-150250.68058148949</v>
      </c>
      <c r="AL51" s="73">
        <f t="shared" si="113"/>
        <v>-123382.98822631176</v>
      </c>
      <c r="AM51" s="73">
        <f t="shared" si="113"/>
        <v>-133934.13021770338</v>
      </c>
      <c r="AN51" s="73">
        <f t="shared" si="113"/>
        <v>-138817.42230618742</v>
      </c>
      <c r="AO51" s="73">
        <f t="shared" si="113"/>
        <v>-159994.62700296874</v>
      </c>
      <c r="AP51" s="73">
        <f t="shared" si="113"/>
        <v>-107760.61667827968</v>
      </c>
      <c r="AQ51" s="73">
        <f t="shared" si="113"/>
        <v>488941.7324719468</v>
      </c>
      <c r="AR51" s="73">
        <f t="shared" si="113"/>
        <v>1276098.3237020834</v>
      </c>
      <c r="AS51" s="73">
        <f t="shared" si="113"/>
        <v>1910758.2722280272</v>
      </c>
      <c r="AT51" s="73">
        <f t="shared" si="113"/>
        <v>2246239.6039506197</v>
      </c>
      <c r="AU51" s="73">
        <f t="shared" si="113"/>
        <v>2303512.3240786549</v>
      </c>
      <c r="AV51" s="73">
        <f t="shared" si="114"/>
        <v>2393167.9264434781</v>
      </c>
      <c r="AW51" s="73">
        <f t="shared" si="115"/>
        <v>2554975.8053912218</v>
      </c>
      <c r="AX51" s="73">
        <f t="shared" si="116"/>
        <v>2858095.8018149519</v>
      </c>
      <c r="AY51" s="73">
        <f t="shared" si="144"/>
        <v>2852758.0507812011</v>
      </c>
      <c r="AZ51" s="73">
        <f t="shared" si="117"/>
        <v>2567529.6316134073</v>
      </c>
      <c r="BA51" s="73">
        <f t="shared" si="118"/>
        <v>2271537.0140844402</v>
      </c>
      <c r="BB51" s="73">
        <f t="shared" si="119"/>
        <v>2139027.0307011101</v>
      </c>
      <c r="BC51" s="73">
        <f t="shared" si="120"/>
        <v>2873221.3378608795</v>
      </c>
      <c r="BD51" s="73">
        <f t="shared" si="121"/>
        <v>2387917.0161082926</v>
      </c>
      <c r="BE51" s="73">
        <f t="shared" si="122"/>
        <v>1870178.6791166936</v>
      </c>
      <c r="BF51" s="73">
        <f t="shared" si="123"/>
        <v>1253457.9926091353</v>
      </c>
      <c r="BG51" s="73">
        <f t="shared" si="124"/>
        <v>602255.25611469173</v>
      </c>
      <c r="BH51" s="73">
        <f t="shared" si="125"/>
        <v>24475.859101055114</v>
      </c>
      <c r="BI51" s="73">
        <f t="shared" si="126"/>
        <v>-565298.09134086769</v>
      </c>
      <c r="BJ51" s="73">
        <f t="shared" si="127"/>
        <v>-1157703.0428437765</v>
      </c>
      <c r="BK51" s="73">
        <f>BJ51+BK44+BJ58+BJ68</f>
        <v>-1585179.3742866006</v>
      </c>
      <c r="BL51" s="73">
        <f t="shared" si="128"/>
        <v>-1747437.0317976587</v>
      </c>
      <c r="BM51" s="73">
        <f t="shared" si="129"/>
        <v>-1925020.7230221345</v>
      </c>
      <c r="BN51" s="73">
        <f t="shared" si="130"/>
        <v>-2040555.4292125646</v>
      </c>
      <c r="BO51" s="73">
        <f t="shared" si="131"/>
        <v>-1792199.3583453274</v>
      </c>
      <c r="BP51" s="73">
        <f t="shared" si="132"/>
        <v>-1445113.291511124</v>
      </c>
      <c r="BQ51" s="73">
        <f t="shared" si="133"/>
        <v>-1105781.3240160283</v>
      </c>
      <c r="BR51" s="73">
        <f t="shared" si="134"/>
        <v>-973717.66689139069</v>
      </c>
      <c r="BS51" s="73">
        <f t="shared" si="135"/>
        <v>-1097635.3290653219</v>
      </c>
      <c r="BT51" s="210">
        <f>BS51+BT44+BS58</f>
        <v>-1208390.5896289814</v>
      </c>
      <c r="BU51" s="21">
        <f t="shared" si="145"/>
        <v>-1282189.9072896149</v>
      </c>
      <c r="BV51" s="241">
        <f t="shared" si="145"/>
        <v>-1323295.5403775352</v>
      </c>
    </row>
    <row r="52" spans="1:74" x14ac:dyDescent="0.25">
      <c r="A52" t="s">
        <v>6</v>
      </c>
      <c r="B52" s="72">
        <f>B45</f>
        <v>0</v>
      </c>
      <c r="C52" s="21">
        <f t="shared" si="137"/>
        <v>0</v>
      </c>
      <c r="D52" s="21">
        <f t="shared" si="137"/>
        <v>0</v>
      </c>
      <c r="E52" s="21">
        <f t="shared" si="137"/>
        <v>9.4764517045030008</v>
      </c>
      <c r="F52" s="21">
        <f t="shared" si="137"/>
        <v>-1379.2501967085516</v>
      </c>
      <c r="G52" s="21">
        <f t="shared" si="137"/>
        <v>-35170.962362785591</v>
      </c>
      <c r="H52" s="21">
        <f t="shared" si="137"/>
        <v>-65873.915936936362</v>
      </c>
      <c r="I52" s="21">
        <f t="shared" si="137"/>
        <v>-97645.158858050025</v>
      </c>
      <c r="J52" s="21">
        <f t="shared" si="137"/>
        <v>-125931.90654465849</v>
      </c>
      <c r="K52" s="21">
        <f t="shared" si="137"/>
        <v>-158037.80960401322</v>
      </c>
      <c r="L52" s="21">
        <f t="shared" si="138"/>
        <v>-179197.10344570148</v>
      </c>
      <c r="M52" s="21">
        <f t="shared" si="138"/>
        <v>-202486.13692655152</v>
      </c>
      <c r="N52" s="21">
        <f t="shared" si="138"/>
        <v>-204232.56551077912</v>
      </c>
      <c r="O52" s="21">
        <f>N52+O45+N59</f>
        <v>-218599.85722263966</v>
      </c>
      <c r="P52" s="21">
        <f t="shared" si="98"/>
        <v>-224337.11760493604</v>
      </c>
      <c r="Q52" s="21">
        <f t="shared" si="99"/>
        <v>-240382.47742583515</v>
      </c>
      <c r="R52" s="21">
        <f t="shared" si="100"/>
        <v>-234047.36222572607</v>
      </c>
      <c r="S52" s="21">
        <f t="shared" si="101"/>
        <v>-181846.86487872957</v>
      </c>
      <c r="T52" s="21">
        <f t="shared" si="139"/>
        <v>-100739.87123687913</v>
      </c>
      <c r="U52" s="21">
        <f t="shared" si="140"/>
        <v>-22901.053770795759</v>
      </c>
      <c r="V52" s="21">
        <f t="shared" si="102"/>
        <v>28091.449579969682</v>
      </c>
      <c r="W52" s="21">
        <f t="shared" si="141"/>
        <v>39888.616115719022</v>
      </c>
      <c r="X52" s="21">
        <f t="shared" si="103"/>
        <v>49899.672179839101</v>
      </c>
      <c r="Y52" s="21">
        <f t="shared" si="104"/>
        <v>60457.325231839357</v>
      </c>
      <c r="Z52" s="21">
        <f t="shared" si="105"/>
        <v>111083.41724088647</v>
      </c>
      <c r="AA52" s="21">
        <f>Z52+AA45+Z59</f>
        <v>67976.950224943299</v>
      </c>
      <c r="AB52" s="21">
        <f t="shared" si="107"/>
        <v>-42267.591473137225</v>
      </c>
      <c r="AC52" s="21">
        <f t="shared" si="108"/>
        <v>-154503.41904395906</v>
      </c>
      <c r="AD52" s="21">
        <f t="shared" si="109"/>
        <v>-242006.62763037661</v>
      </c>
      <c r="AE52" s="21">
        <f t="shared" si="142"/>
        <v>-169371.04111175341</v>
      </c>
      <c r="AF52" s="21">
        <f t="shared" si="110"/>
        <v>-95556.354485464966</v>
      </c>
      <c r="AG52" s="21">
        <f t="shared" si="111"/>
        <v>-11094.481387334161</v>
      </c>
      <c r="AH52" s="21">
        <f t="shared" si="112"/>
        <v>-38743.387716391291</v>
      </c>
      <c r="AI52" s="73">
        <f t="shared" si="143"/>
        <v>-124945.89140398175</v>
      </c>
      <c r="AJ52" s="73">
        <f t="shared" si="113"/>
        <v>-202645.89237547535</v>
      </c>
      <c r="AK52" s="73">
        <f t="shared" si="113"/>
        <v>-322809.76167953608</v>
      </c>
      <c r="AL52" s="73">
        <f t="shared" si="113"/>
        <v>-393109.25621975109</v>
      </c>
      <c r="AM52" s="73">
        <f t="shared" si="113"/>
        <v>-443080.41364484263</v>
      </c>
      <c r="AN52" s="73">
        <f t="shared" si="113"/>
        <v>-476818.51295626274</v>
      </c>
      <c r="AO52" s="73">
        <f t="shared" si="113"/>
        <v>-500011.3604270143</v>
      </c>
      <c r="AP52" s="73">
        <f t="shared" si="113"/>
        <v>-516046.61895439116</v>
      </c>
      <c r="AQ52" s="73">
        <f t="shared" si="113"/>
        <v>-408951.28307582159</v>
      </c>
      <c r="AR52" s="73">
        <f t="shared" si="113"/>
        <v>-228889.36093383399</v>
      </c>
      <c r="AS52" s="73">
        <f t="shared" si="113"/>
        <v>-85733.920878896533</v>
      </c>
      <c r="AT52" s="73">
        <f t="shared" si="113"/>
        <v>-22845.173320052454</v>
      </c>
      <c r="AU52" s="73">
        <f t="shared" si="113"/>
        <v>-37601.22832668374</v>
      </c>
      <c r="AV52" s="73">
        <f t="shared" si="114"/>
        <v>-55716.171447996261</v>
      </c>
      <c r="AW52" s="73">
        <f t="shared" si="115"/>
        <v>-65687.755583012142</v>
      </c>
      <c r="AX52" s="73">
        <f t="shared" si="116"/>
        <v>-26642.035718712934</v>
      </c>
      <c r="AY52" s="73">
        <f t="shared" si="144"/>
        <v>-53064.982361487317</v>
      </c>
      <c r="AZ52" s="73">
        <f t="shared" si="117"/>
        <v>-147221.09160382295</v>
      </c>
      <c r="BA52" s="73">
        <f t="shared" si="118"/>
        <v>-246042.36298111541</v>
      </c>
      <c r="BB52" s="73">
        <f t="shared" si="119"/>
        <v>-297612.83079008659</v>
      </c>
      <c r="BC52" s="73">
        <f t="shared" si="120"/>
        <v>-96057.084654739563</v>
      </c>
      <c r="BD52" s="73">
        <f t="shared" si="121"/>
        <v>-177187.09136711943</v>
      </c>
      <c r="BE52" s="73">
        <f t="shared" si="122"/>
        <v>-280440.71874130476</v>
      </c>
      <c r="BF52" s="73">
        <f t="shared" si="123"/>
        <v>-409697.04425975692</v>
      </c>
      <c r="BG52" s="73">
        <f t="shared" si="124"/>
        <v>-562310.40685223415</v>
      </c>
      <c r="BH52" s="73">
        <f t="shared" si="125"/>
        <v>-714681.93891194719</v>
      </c>
      <c r="BI52" s="73">
        <f t="shared" si="126"/>
        <v>-851101.43240878708</v>
      </c>
      <c r="BJ52" s="73">
        <f t="shared" si="127"/>
        <v>-960572.19484248164</v>
      </c>
      <c r="BK52" s="73">
        <f>BJ52+BK45+BJ59+BJ69</f>
        <v>-1052997.3321126273</v>
      </c>
      <c r="BL52" s="73">
        <f t="shared" si="128"/>
        <v>-1066959.2319391551</v>
      </c>
      <c r="BM52" s="73">
        <f t="shared" si="129"/>
        <v>-1077029.8574061834</v>
      </c>
      <c r="BN52" s="73">
        <f t="shared" si="130"/>
        <v>-1061930.0830378742</v>
      </c>
      <c r="BO52" s="73">
        <f t="shared" si="131"/>
        <v>-894441.34700854018</v>
      </c>
      <c r="BP52" s="73">
        <f t="shared" si="132"/>
        <v>-687011.15277432406</v>
      </c>
      <c r="BQ52" s="73">
        <f t="shared" si="133"/>
        <v>-483380.71765511559</v>
      </c>
      <c r="BR52" s="73">
        <f t="shared" si="134"/>
        <v>-362767.29398661765</v>
      </c>
      <c r="BS52" s="73">
        <f t="shared" si="135"/>
        <v>-349190.93418098427</v>
      </c>
      <c r="BT52" s="210">
        <f>BS52+BT45+BS59</f>
        <v>-339379.14984787087</v>
      </c>
      <c r="BU52" s="21">
        <f t="shared" si="145"/>
        <v>-313057.41315151012</v>
      </c>
      <c r="BV52" s="241">
        <f t="shared" si="145"/>
        <v>-270058.45723898133</v>
      </c>
    </row>
    <row r="53" spans="1:74" x14ac:dyDescent="0.25">
      <c r="A53" t="s">
        <v>7</v>
      </c>
      <c r="B53" s="72">
        <f>B46</f>
        <v>0</v>
      </c>
      <c r="C53" s="21">
        <f t="shared" si="137"/>
        <v>0</v>
      </c>
      <c r="D53" s="21">
        <f t="shared" si="137"/>
        <v>0</v>
      </c>
      <c r="E53" s="21">
        <f t="shared" si="137"/>
        <v>0</v>
      </c>
      <c r="F53" s="21">
        <f t="shared" si="137"/>
        <v>206.95969459981058</v>
      </c>
      <c r="G53" s="21">
        <f t="shared" si="137"/>
        <v>-3321.3126236875923</v>
      </c>
      <c r="H53" s="21">
        <f t="shared" si="137"/>
        <v>-10135.02713192603</v>
      </c>
      <c r="I53" s="21">
        <f t="shared" si="137"/>
        <v>-17457.53904226976</v>
      </c>
      <c r="J53" s="21">
        <f t="shared" si="137"/>
        <v>-24572.081114299297</v>
      </c>
      <c r="K53" s="21">
        <f t="shared" si="137"/>
        <v>-31305.402690031715</v>
      </c>
      <c r="L53" s="21">
        <f t="shared" si="138"/>
        <v>-33185.68839839143</v>
      </c>
      <c r="M53" s="21">
        <f t="shared" si="138"/>
        <v>-36616.425340765913</v>
      </c>
      <c r="N53" s="21">
        <f t="shared" si="138"/>
        <v>-36379.526675051631</v>
      </c>
      <c r="O53" s="21">
        <f>N53+O46+N60</f>
        <v>-42515.141070647485</v>
      </c>
      <c r="P53" s="21">
        <f t="shared" si="98"/>
        <v>-56958.201437273143</v>
      </c>
      <c r="Q53" s="21">
        <f t="shared" si="99"/>
        <v>-73961.605818219818</v>
      </c>
      <c r="R53" s="21">
        <f t="shared" si="100"/>
        <v>-83857.164420440109</v>
      </c>
      <c r="S53" s="21">
        <f t="shared" si="101"/>
        <v>-62442.774470321878</v>
      </c>
      <c r="T53" s="21">
        <f t="shared" si="139"/>
        <v>-46114.258347011186</v>
      </c>
      <c r="U53" s="21">
        <f t="shared" si="140"/>
        <v>-29349.771127538799</v>
      </c>
      <c r="V53" s="21">
        <f t="shared" si="102"/>
        <v>-28080.144027429837</v>
      </c>
      <c r="W53" s="21">
        <f t="shared" si="141"/>
        <v>-39949.357879371259</v>
      </c>
      <c r="X53" s="21">
        <f t="shared" si="103"/>
        <v>-51373.147075184424</v>
      </c>
      <c r="Y53" s="21">
        <f t="shared" si="104"/>
        <v>-61251.549839529383</v>
      </c>
      <c r="Z53" s="21">
        <f t="shared" si="105"/>
        <v>-68688.105632343169</v>
      </c>
      <c r="AA53" s="21">
        <f>Z53+AA46+Z60</f>
        <v>-90473.800647799784</v>
      </c>
      <c r="AB53" s="21">
        <f t="shared" si="107"/>
        <v>-103267.83185747727</v>
      </c>
      <c r="AC53" s="21">
        <f t="shared" si="108"/>
        <v>-131393.24418793741</v>
      </c>
      <c r="AD53" s="21">
        <f t="shared" si="109"/>
        <v>-151137.27420340094</v>
      </c>
      <c r="AE53" s="21">
        <f t="shared" si="142"/>
        <v>-124218.61313600252</v>
      </c>
      <c r="AF53" s="21">
        <f t="shared" si="110"/>
        <v>-101423.47312691146</v>
      </c>
      <c r="AG53" s="21">
        <f t="shared" si="111"/>
        <v>-76365.161230926533</v>
      </c>
      <c r="AH53" s="21">
        <f t="shared" si="112"/>
        <v>-83742.04066233155</v>
      </c>
      <c r="AI53" s="73">
        <f t="shared" si="143"/>
        <v>-112224.74803204206</v>
      </c>
      <c r="AJ53" s="73">
        <f t="shared" si="113"/>
        <v>-127424.09969945136</v>
      </c>
      <c r="AK53" s="73">
        <f t="shared" si="113"/>
        <v>-151506.55003613958</v>
      </c>
      <c r="AL53" s="73">
        <f t="shared" si="113"/>
        <v>-172782.39904344577</v>
      </c>
      <c r="AM53" s="73">
        <f t="shared" si="113"/>
        <v>-191043.70876476786</v>
      </c>
      <c r="AN53" s="73">
        <f t="shared" si="113"/>
        <v>-190995.18121453797</v>
      </c>
      <c r="AO53" s="73">
        <f t="shared" si="113"/>
        <v>-161368.41312530352</v>
      </c>
      <c r="AP53" s="73">
        <f t="shared" si="113"/>
        <v>-158155.71122056697</v>
      </c>
      <c r="AQ53" s="73">
        <f>AP53+AQ46+AP60</f>
        <v>-142891.54042752154</v>
      </c>
      <c r="AR53" s="73">
        <f t="shared" si="113"/>
        <v>-119896.61626653766</v>
      </c>
      <c r="AS53" s="73">
        <f t="shared" si="113"/>
        <v>-97108.760991069226</v>
      </c>
      <c r="AT53" s="73">
        <f t="shared" si="113"/>
        <v>-81018.045104868623</v>
      </c>
      <c r="AU53" s="73">
        <f t="shared" si="113"/>
        <v>-76139.807880286811</v>
      </c>
      <c r="AV53" s="73">
        <f t="shared" si="114"/>
        <v>-73332.043210319796</v>
      </c>
      <c r="AW53" s="73">
        <f t="shared" si="115"/>
        <v>-68414.771700918398</v>
      </c>
      <c r="AX53" s="73">
        <f t="shared" si="116"/>
        <v>-62619.729079229226</v>
      </c>
      <c r="AY53" s="73">
        <f t="shared" si="144"/>
        <v>-60268.55569120367</v>
      </c>
      <c r="AZ53" s="73">
        <f t="shared" si="117"/>
        <v>-71071.406709210991</v>
      </c>
      <c r="BA53" s="73">
        <f t="shared" si="118"/>
        <v>-81121.892041710365</v>
      </c>
      <c r="BB53" s="73">
        <f t="shared" si="119"/>
        <v>-82820.180613534627</v>
      </c>
      <c r="BC53" s="73">
        <f t="shared" si="120"/>
        <v>-29327.179237658998</v>
      </c>
      <c r="BD53" s="73">
        <f t="shared" si="121"/>
        <v>-12937.021016809964</v>
      </c>
      <c r="BE53" s="73">
        <f t="shared" si="122"/>
        <v>2349.8203357933444</v>
      </c>
      <c r="BF53" s="73">
        <f t="shared" si="123"/>
        <v>-3773.311918127084</v>
      </c>
      <c r="BG53" s="73">
        <f t="shared" si="124"/>
        <v>-28393.970218913721</v>
      </c>
      <c r="BH53" s="73">
        <f t="shared" si="125"/>
        <v>-50367.577477858751</v>
      </c>
      <c r="BI53" s="73">
        <f t="shared" si="126"/>
        <v>-74081.767255683284</v>
      </c>
      <c r="BJ53" s="73">
        <f t="shared" si="127"/>
        <v>-85559.701626174807</v>
      </c>
      <c r="BK53" s="73">
        <f>BJ53+BK46+BJ60+BJ70</f>
        <v>-93585.75984381068</v>
      </c>
      <c r="BL53" s="73">
        <f t="shared" si="128"/>
        <v>-97473.024578066266</v>
      </c>
      <c r="BM53" s="73">
        <f t="shared" si="129"/>
        <v>-99238.484482572472</v>
      </c>
      <c r="BN53" s="73">
        <f t="shared" si="130"/>
        <v>-93842.328377534403</v>
      </c>
      <c r="BO53" s="73">
        <f t="shared" si="131"/>
        <v>-45942.340622825235</v>
      </c>
      <c r="BP53" s="73">
        <f t="shared" si="132"/>
        <v>6890.0011375561189</v>
      </c>
      <c r="BQ53" s="73">
        <f t="shared" si="133"/>
        <v>60506.405857265636</v>
      </c>
      <c r="BR53" s="73">
        <f t="shared" si="134"/>
        <v>92097.457012945728</v>
      </c>
      <c r="BS53" s="73">
        <f t="shared" si="135"/>
        <v>95595.314239296771</v>
      </c>
      <c r="BT53" s="210">
        <f>BS53+BT46+BS60</f>
        <v>93877.327778816572</v>
      </c>
      <c r="BU53" s="21">
        <f t="shared" si="145"/>
        <v>94167.128864424361</v>
      </c>
      <c r="BV53" s="241">
        <f t="shared" si="145"/>
        <v>96922.490905264232</v>
      </c>
    </row>
    <row r="54" spans="1:74" x14ac:dyDescent="0.25">
      <c r="B54" s="65"/>
      <c r="F54" s="31"/>
      <c r="G54" s="31"/>
      <c r="BT54" s="65"/>
      <c r="BV54" s="67"/>
    </row>
    <row r="55" spans="1:74" x14ac:dyDescent="0.25">
      <c r="A55" t="s">
        <v>64</v>
      </c>
      <c r="B55" s="82">
        <v>0</v>
      </c>
      <c r="C55" s="83">
        <v>0</v>
      </c>
      <c r="D55" s="83">
        <v>0</v>
      </c>
      <c r="E55" s="83">
        <f>'PCR (M3)'!F67</f>
        <v>2.2185616666666667E-3</v>
      </c>
      <c r="F55" s="83">
        <f>'PCR (M3)'!G67</f>
        <v>2.2311341666666666E-3</v>
      </c>
      <c r="G55" s="83">
        <f>'PCR (M3)'!H67</f>
        <v>2.2083808333333336E-3</v>
      </c>
      <c r="H55" s="83">
        <f>'PCR (M3)'!I67</f>
        <v>2.1623908333333335E-3</v>
      </c>
      <c r="I55" s="83">
        <f>'PCR (M3)'!J67</f>
        <v>1.959325E-3</v>
      </c>
      <c r="J55" s="83">
        <f>'PCR (M3)'!K67</f>
        <v>1.8473916666666666E-3</v>
      </c>
      <c r="K55" s="83">
        <f>'PCR (M3)'!L67</f>
        <v>1.76161E-3</v>
      </c>
      <c r="L55" s="83">
        <f>'PCR (M3)'!M67</f>
        <v>1.5133241666666667E-3</v>
      </c>
      <c r="M55" s="83">
        <f>'PCR (M3)'!N67</f>
        <v>1.5959991666666667E-3</v>
      </c>
      <c r="N55" s="83">
        <f>'PCR (M3)'!O67</f>
        <v>1.5742316666666667E-3</v>
      </c>
      <c r="O55" s="83">
        <f>'PCR (M3)'!P67</f>
        <v>1.5029858333333332E-3</v>
      </c>
      <c r="P55" s="83">
        <f>'PCR (M3)'!Q67</f>
        <v>1.5738266666666667E-3</v>
      </c>
      <c r="Q55" s="83">
        <f>'PCR (M3)'!R67</f>
        <v>7.8204999999999995E-4</v>
      </c>
      <c r="R55" s="83">
        <f>'PCR (M3)'!S67</f>
        <v>1.0755583333333334E-4</v>
      </c>
      <c r="S55" s="83">
        <f>'PCR (M3)'!T67</f>
        <v>1.046925E-4</v>
      </c>
      <c r="T55" s="83">
        <f>'PCR (M3)'!U67</f>
        <v>1.6138583333333333E-4</v>
      </c>
      <c r="U55" s="83">
        <f>'PCR (M3)'!V67</f>
        <v>1.1382083333333333E-4</v>
      </c>
      <c r="V55" s="83">
        <f>'PCR (M3)'!W67</f>
        <v>1.0326333333333334E-4</v>
      </c>
      <c r="W55" s="83">
        <f>'PCR (M3)'!X67</f>
        <v>1.6666666666666666E-4</v>
      </c>
      <c r="X55" s="83">
        <f>'PCR (M3)'!Y67</f>
        <v>2.1037000000000001E-4</v>
      </c>
      <c r="Y55" s="83">
        <f>'PCR (M3)'!Z67</f>
        <v>2.3724916666666669E-4</v>
      </c>
      <c r="Z55" s="83">
        <f>'PCR (M3)'!AA67</f>
        <v>1.7178250000000002E-4</v>
      </c>
      <c r="AA55" s="83">
        <f>'PCR (M3)'!AB67</f>
        <v>1.9351416666666668E-4</v>
      </c>
      <c r="AB55" s="83">
        <f>'PCR (M3)'!AC67</f>
        <v>1.7806166666666664E-4</v>
      </c>
      <c r="AC55" s="83">
        <f>'PCR (M3)'!AD67</f>
        <v>1.8760249999999999E-4</v>
      </c>
      <c r="AD55" s="83">
        <f>'PCR (M3)'!AE67</f>
        <v>1.8689333333333334E-4</v>
      </c>
      <c r="AE55" s="83">
        <f>'PCR (M3)'!AF67</f>
        <v>1.6804916666666666E-4</v>
      </c>
      <c r="AF55" s="83">
        <f>'PCR (M3)'!AG67</f>
        <v>1.1629083333333334E-4</v>
      </c>
      <c r="AG55" s="83">
        <f>'PCR (M3)'!AH67</f>
        <v>1.7091583333333333E-4</v>
      </c>
      <c r="AH55" s="83">
        <f>'PCR (M3)'!AI67</f>
        <v>1.6102749999999998E-4</v>
      </c>
      <c r="AI55" s="83">
        <f>'PCR (M3)'!AJ67</f>
        <v>1.25E-4</v>
      </c>
      <c r="AJ55" s="83">
        <f>'PCR (M3)'!AK67</f>
        <v>1.2767416666666667E-4</v>
      </c>
      <c r="AK55" s="83">
        <f>'PCR (M3)'!AL67</f>
        <v>2.1705333333333333E-4</v>
      </c>
      <c r="AL55" s="83">
        <f>'PCR (M3)'!AM67</f>
        <v>1.9537499999999999E-4</v>
      </c>
      <c r="AM55" s="83">
        <f>'PCR (M3)'!AN67</f>
        <v>2.4654083333333334E-4</v>
      </c>
      <c r="AN55" s="83">
        <f>'PCR (M3)'!AO67</f>
        <v>5.7357999999999997E-4</v>
      </c>
      <c r="AO55" s="83">
        <f>'PCR (M3)'!AP67</f>
        <v>5.0034666666666668E-4</v>
      </c>
      <c r="AP55" s="83">
        <f>'PCR (M3)'!AQ67</f>
        <v>7.9142083333333336E-4</v>
      </c>
      <c r="AQ55" s="83">
        <f>'PCR (M3)'!AR67</f>
        <v>1.2382216666666666E-3</v>
      </c>
      <c r="AR55" s="83">
        <f>'PCR (M3)'!AS67</f>
        <v>1.7139083333333333E-3</v>
      </c>
      <c r="AS55" s="83">
        <f>'PCR (M3)'!AT67</f>
        <v>2.1367116666666667E-3</v>
      </c>
      <c r="AT55" s="83">
        <f>'PCR (M3)'!AU67</f>
        <v>2.3680800000000003E-3</v>
      </c>
      <c r="AU55" s="83">
        <f>'PCR (M3)'!AV67</f>
        <v>2.8917666666666668E-3</v>
      </c>
      <c r="AV55" s="127">
        <f>'PCR (M3)'!AW67</f>
        <v>3.5717483333333332E-3</v>
      </c>
      <c r="AW55" s="127">
        <f>'PCR (M3)'!AX67</f>
        <v>3.8480024999999998E-3</v>
      </c>
      <c r="AX55" s="127">
        <f>'PCR (M3)'!AY67</f>
        <v>3.9868766666666666E-3</v>
      </c>
      <c r="AY55" s="127">
        <f>'PCR (M3)'!AZ67</f>
        <v>4.0399541666666667E-3</v>
      </c>
      <c r="AZ55" s="127">
        <f>'PCR (M3)'!BA67</f>
        <v>4.1578449999999994E-3</v>
      </c>
      <c r="BA55" s="127">
        <f>'PCR (M3)'!BB67</f>
        <v>4.3739341666666669E-3</v>
      </c>
      <c r="BB55" s="127">
        <f>'PCR (M3)'!BC67</f>
        <v>4.4389866278539119E-3</v>
      </c>
      <c r="BC55" s="127">
        <f>'PCR (M3)'!BD67</f>
        <v>4.4956850000000001E-3</v>
      </c>
      <c r="BD55" s="127">
        <f>'PCR (M3)'!BE67</f>
        <v>4.5355533333333335E-3</v>
      </c>
      <c r="BE55" s="127">
        <f>'PCR (M3)'!BF67</f>
        <v>4.6003991666666664E-3</v>
      </c>
      <c r="BF55" s="127">
        <f>'PCR (M3)'!BG67</f>
        <v>4.6126058333333334E-3</v>
      </c>
      <c r="BG55" s="127">
        <f>'PCR (M3)'!BH67</f>
        <v>4.5978799999999995E-3</v>
      </c>
      <c r="BH55" s="127">
        <f>'PCR (M3)'!BI67</f>
        <v>4.6317149999999998E-3</v>
      </c>
      <c r="BI55" s="127">
        <f>'PCR (M3)'!BJ67</f>
        <v>4.6229791666666667E-3</v>
      </c>
      <c r="BJ55" s="127">
        <f>'PCR (M3)'!BK67</f>
        <v>4.4819374999999998E-3</v>
      </c>
      <c r="BK55" s="127">
        <f>'PCR (M3)'!BL67</f>
        <v>4.4809758333333337E-3</v>
      </c>
      <c r="BL55" s="127">
        <f>'PCR (M3)'!BM67</f>
        <v>4.5238608333333331E-3</v>
      </c>
      <c r="BM55" s="127">
        <f>'PCR (M3)'!BN67</f>
        <v>4.583470833333333E-3</v>
      </c>
      <c r="BN55" s="127">
        <f>'PCR (M3)'!BO67</f>
        <v>4.5750000000000001E-3</v>
      </c>
      <c r="BO55" s="127">
        <f>'PCR (M3)'!BP67</f>
        <v>4.6273308333333336E-3</v>
      </c>
      <c r="BP55" s="127">
        <f>'PCR (M3)'!BQ67</f>
        <v>4.6511725E-3</v>
      </c>
      <c r="BQ55" s="127">
        <f>'PCR (M3)'!BR67</f>
        <v>4.6366416666666667E-3</v>
      </c>
      <c r="BR55" s="127">
        <f>'PCR (M3)'!BS67</f>
        <v>4.4211241666666668E-3</v>
      </c>
      <c r="BS55" s="127">
        <f>'PCR (M3)'!BT67</f>
        <v>4.1172866666666667E-3</v>
      </c>
      <c r="BT55" s="270">
        <f>BS55</f>
        <v>4.1172866666666667E-3</v>
      </c>
      <c r="BU55" s="271">
        <f>BT55</f>
        <v>4.1172866666666667E-3</v>
      </c>
      <c r="BV55" s="272">
        <f>BT55</f>
        <v>4.1172866666666667E-3</v>
      </c>
    </row>
    <row r="56" spans="1:74" x14ac:dyDescent="0.25">
      <c r="A56" t="s">
        <v>0</v>
      </c>
      <c r="B56" s="72">
        <f t="shared" ref="B56:K60" si="146">B49*B$55</f>
        <v>0</v>
      </c>
      <c r="C56" s="21">
        <f t="shared" si="146"/>
        <v>0</v>
      </c>
      <c r="D56" s="21">
        <f>D49*D$55</f>
        <v>0</v>
      </c>
      <c r="E56" s="21">
        <f t="shared" si="146"/>
        <v>7.8597131965462799</v>
      </c>
      <c r="F56" s="21">
        <f t="shared" si="146"/>
        <v>3.3645042801216372</v>
      </c>
      <c r="G56" s="21">
        <f t="shared" si="146"/>
        <v>-220.38458867639332</v>
      </c>
      <c r="H56" s="21">
        <f t="shared" si="146"/>
        <v>-208.94083677642439</v>
      </c>
      <c r="I56" s="21">
        <f t="shared" si="146"/>
        <v>-38.937179333815578</v>
      </c>
      <c r="J56" s="21">
        <f t="shared" si="146"/>
        <v>-130.13520844314144</v>
      </c>
      <c r="K56" s="21">
        <f>K49*K$55</f>
        <v>-498.25449048821417</v>
      </c>
      <c r="L56" s="231">
        <f>L49*L$55+0.09</f>
        <v>-489.80919392111218</v>
      </c>
      <c r="M56" s="21">
        <f t="shared" ref="M56:W56" si="147">M49*M$55</f>
        <v>-446.67274976331379</v>
      </c>
      <c r="N56" s="21">
        <f>N49*N$55</f>
        <v>-320.32568404155893</v>
      </c>
      <c r="O56" s="21">
        <f>O49*O$55</f>
        <v>-2.9079887550433527</v>
      </c>
      <c r="P56" s="21">
        <f t="shared" si="147"/>
        <v>50.901555737919367</v>
      </c>
      <c r="Q56" s="21">
        <f t="shared" si="147"/>
        <v>-73.475986073157827</v>
      </c>
      <c r="R56" s="21">
        <f t="shared" si="147"/>
        <v>-16.954688831875448</v>
      </c>
      <c r="S56" s="21">
        <f t="shared" si="147"/>
        <v>19.7577543917082</v>
      </c>
      <c r="T56" s="21">
        <f t="shared" si="147"/>
        <v>108.87942740147437</v>
      </c>
      <c r="U56" s="21">
        <f t="shared" si="147"/>
        <v>158.50587563774192</v>
      </c>
      <c r="V56" s="21">
        <f t="shared" si="147"/>
        <v>204.25012300816897</v>
      </c>
      <c r="W56" s="21">
        <f t="shared" si="147"/>
        <v>354.55275128533498</v>
      </c>
      <c r="X56" s="21">
        <f>X49*X$55</f>
        <v>506.68142256404474</v>
      </c>
      <c r="Y56" s="21">
        <f t="shared" ref="Y56" si="148">Y49*Y$55</f>
        <v>650.36468504252298</v>
      </c>
      <c r="Z56" s="21">
        <f>Z49*Z$55</f>
        <v>510.04257429939156</v>
      </c>
      <c r="AA56" s="21">
        <f>AA49*AA$55</f>
        <v>456.4686139537589</v>
      </c>
      <c r="AB56" s="21">
        <f t="shared" ref="AB56:AI56" si="149">AB49*AB$55</f>
        <v>247.69181243803612</v>
      </c>
      <c r="AC56" s="21">
        <f t="shared" si="149"/>
        <v>171.74874911518742</v>
      </c>
      <c r="AD56" s="21">
        <f t="shared" si="149"/>
        <v>110.10882874624774</v>
      </c>
      <c r="AE56" s="21">
        <f t="shared" si="149"/>
        <v>224.39308904598926</v>
      </c>
      <c r="AF56" s="21">
        <f t="shared" si="149"/>
        <v>244.94072316743029</v>
      </c>
      <c r="AG56" s="21">
        <f t="shared" si="149"/>
        <v>504.69522563010872</v>
      </c>
      <c r="AH56" s="21">
        <f t="shared" si="149"/>
        <v>506.20141794100658</v>
      </c>
      <c r="AI56" s="73">
        <f t="shared" si="149"/>
        <v>333.67495537879688</v>
      </c>
      <c r="AJ56" s="73">
        <f t="shared" ref="AJ56:AU56" si="150">AJ49*AJ$55</f>
        <v>307.22890236835497</v>
      </c>
      <c r="AK56" s="73">
        <f t="shared" si="150"/>
        <v>445.69754030441288</v>
      </c>
      <c r="AL56" s="73">
        <f t="shared" si="150"/>
        <v>276.41847151983052</v>
      </c>
      <c r="AM56" s="73">
        <f t="shared" si="150"/>
        <v>243.04452328308867</v>
      </c>
      <c r="AN56" s="73">
        <f t="shared" si="150"/>
        <v>413.81601522686668</v>
      </c>
      <c r="AO56" s="73">
        <f t="shared" si="150"/>
        <v>286.36908364174798</v>
      </c>
      <c r="AP56" s="73">
        <f t="shared" si="150"/>
        <v>404.78820829858017</v>
      </c>
      <c r="AQ56" s="73">
        <f t="shared" si="150"/>
        <v>1620.5209739468041</v>
      </c>
      <c r="AR56" s="73">
        <f t="shared" si="150"/>
        <v>3886.824690983573</v>
      </c>
      <c r="AS56" s="73">
        <f t="shared" si="150"/>
        <v>6827.4225206012497</v>
      </c>
      <c r="AT56" s="73">
        <f t="shared" si="150"/>
        <v>8787.0054358752841</v>
      </c>
      <c r="AU56" s="73">
        <f t="shared" si="150"/>
        <v>10543.664030719176</v>
      </c>
      <c r="AV56" s="73">
        <f t="shared" ref="AV56:BF56" si="151">AV49*AV$55</f>
        <v>13120.291352697559</v>
      </c>
      <c r="AW56" s="73">
        <f t="shared" si="151"/>
        <v>13806.42673413983</v>
      </c>
      <c r="AX56" s="257">
        <f>((AX49+AX66)*AX$55)+'[2]MEEIA 3 calcs'!$AZ$26</f>
        <v>13404.920489391474</v>
      </c>
      <c r="AY56" s="73">
        <f t="shared" si="151"/>
        <v>12694.437456022652</v>
      </c>
      <c r="AZ56" s="73">
        <f t="shared" si="151"/>
        <v>11844.799717638649</v>
      </c>
      <c r="BA56" s="73">
        <f t="shared" si="151"/>
        <v>11288.081137321999</v>
      </c>
      <c r="BB56" s="73">
        <f t="shared" si="151"/>
        <v>11175.003094665492</v>
      </c>
      <c r="BC56" s="73">
        <f t="shared" si="151"/>
        <v>16908.588992702447</v>
      </c>
      <c r="BD56" s="73">
        <f t="shared" si="151"/>
        <v>13671.649517397595</v>
      </c>
      <c r="BE56" s="73">
        <f t="shared" si="151"/>
        <v>10654.415046571134</v>
      </c>
      <c r="BF56" s="73">
        <f t="shared" si="151"/>
        <v>7072.0708610567035</v>
      </c>
      <c r="BG56" s="73">
        <f>BG49*BG$55</f>
        <v>3900.9466527962645</v>
      </c>
      <c r="BH56" s="73">
        <f t="shared" ref="BH56:BS56" si="152">BH49*BH$55</f>
        <v>1343.0055802570953</v>
      </c>
      <c r="BI56" s="73">
        <f t="shared" si="152"/>
        <v>-2082.3639494208014</v>
      </c>
      <c r="BJ56" s="73">
        <f t="shared" si="152"/>
        <v>-6431.6400086164622</v>
      </c>
      <c r="BK56" s="73">
        <f>BK49*BK$55</f>
        <v>-9625.4651153653558</v>
      </c>
      <c r="BL56" s="73">
        <f t="shared" si="152"/>
        <v>-10431.982364082289</v>
      </c>
      <c r="BM56" s="73">
        <f t="shared" si="152"/>
        <v>-11335.031138167127</v>
      </c>
      <c r="BN56" s="73">
        <f t="shared" si="152"/>
        <v>-11734.000398387272</v>
      </c>
      <c r="BO56" s="73">
        <f t="shared" si="152"/>
        <v>-10142.34650431296</v>
      </c>
      <c r="BP56" s="73">
        <f t="shared" si="152"/>
        <v>-7550.5730135025487</v>
      </c>
      <c r="BQ56" s="73">
        <f t="shared" si="152"/>
        <v>-4648.2917944455321</v>
      </c>
      <c r="BR56" s="73">
        <f t="shared" si="152"/>
        <v>-3541.8738219613256</v>
      </c>
      <c r="BS56" s="73">
        <f t="shared" si="152"/>
        <v>-3823.8071558197053</v>
      </c>
      <c r="BT56" s="72">
        <f>((BT49+BT66)*BT$55)-BT66</f>
        <v>-4157.2088305016568</v>
      </c>
      <c r="BU56" s="21">
        <f t="shared" ref="BU56:BV60" si="153">BU49*BU$55</f>
        <v>-4234.4466051701856</v>
      </c>
      <c r="BV56" s="75">
        <f t="shared" si="153"/>
        <v>-4531.1088685132745</v>
      </c>
    </row>
    <row r="57" spans="1:74" x14ac:dyDescent="0.25">
      <c r="A57" t="s">
        <v>4</v>
      </c>
      <c r="B57" s="72">
        <f t="shared" si="146"/>
        <v>0</v>
      </c>
      <c r="C57" s="21">
        <f t="shared" si="146"/>
        <v>0</v>
      </c>
      <c r="D57" s="21">
        <f t="shared" si="146"/>
        <v>0</v>
      </c>
      <c r="E57" s="21">
        <f t="shared" si="146"/>
        <v>1.318263876019244</v>
      </c>
      <c r="F57" s="21">
        <f t="shared" si="146"/>
        <v>9.5964728779010411</v>
      </c>
      <c r="G57" s="21">
        <f t="shared" si="146"/>
        <v>-72.044519925120881</v>
      </c>
      <c r="H57" s="21">
        <f t="shared" si="146"/>
        <v>-117.34568886557454</v>
      </c>
      <c r="I57" s="21">
        <f t="shared" si="146"/>
        <v>-141.27173713261629</v>
      </c>
      <c r="J57" s="21">
        <f t="shared" si="146"/>
        <v>-127.55491797492347</v>
      </c>
      <c r="K57" s="21">
        <f t="shared" si="146"/>
        <v>-121.8064551084025</v>
      </c>
      <c r="L57" s="231">
        <f>L50*L$55+0.02</f>
        <v>-90.598523486446055</v>
      </c>
      <c r="M57" s="21">
        <f t="shared" ref="M57:W57" si="154">M50*M$55</f>
        <v>-68.289170847545407</v>
      </c>
      <c r="N57" s="21">
        <f t="shared" si="154"/>
        <v>3.3279279518707239</v>
      </c>
      <c r="O57" s="21">
        <f t="shared" si="154"/>
        <v>26.576996936640779</v>
      </c>
      <c r="P57" s="21">
        <f t="shared" si="154"/>
        <v>77.783160986366951</v>
      </c>
      <c r="Q57" s="21">
        <f t="shared" si="154"/>
        <v>30.142516196177752</v>
      </c>
      <c r="R57" s="21">
        <f t="shared" si="154"/>
        <v>6.5209841781146096</v>
      </c>
      <c r="S57" s="21">
        <f t="shared" si="154"/>
        <v>10.206261561283746</v>
      </c>
      <c r="T57" s="21">
        <f t="shared" si="154"/>
        <v>26.375485368971407</v>
      </c>
      <c r="U57" s="21">
        <f t="shared" si="154"/>
        <v>22.803917883256034</v>
      </c>
      <c r="V57" s="21">
        <f t="shared" si="154"/>
        <v>26.262934693636467</v>
      </c>
      <c r="W57" s="21">
        <f t="shared" si="154"/>
        <v>49.587892662217705</v>
      </c>
      <c r="X57" s="21">
        <f>X50*X$55</f>
        <v>70.815553175040975</v>
      </c>
      <c r="Y57" s="21">
        <f t="shared" ref="Y57:AI57" si="155">Y50*Y$55</f>
        <v>91.242865700479257</v>
      </c>
      <c r="Z57" s="21">
        <f t="shared" si="155"/>
        <v>85.835048744948807</v>
      </c>
      <c r="AA57" s="21">
        <f t="shared" si="155"/>
        <v>77.460694423052743</v>
      </c>
      <c r="AB57" s="21">
        <f t="shared" si="155"/>
        <v>33.89011035999274</v>
      </c>
      <c r="AC57" s="21">
        <f t="shared" si="155"/>
        <v>10.937440477780166</v>
      </c>
      <c r="AD57" s="21">
        <f t="shared" si="155"/>
        <v>-2.0377593504797553</v>
      </c>
      <c r="AE57" s="21">
        <f t="shared" si="155"/>
        <v>-4.4929064299843606</v>
      </c>
      <c r="AF57" s="21">
        <f t="shared" si="155"/>
        <v>0.94364529344439618</v>
      </c>
      <c r="AG57" s="21">
        <f t="shared" si="155"/>
        <v>-2.5269474007165686</v>
      </c>
      <c r="AH57" s="21">
        <f t="shared" si="155"/>
        <v>-15.5328155543741</v>
      </c>
      <c r="AI57" s="73">
        <f t="shared" si="155"/>
        <v>-24.879247186725472</v>
      </c>
      <c r="AJ57" s="73">
        <f t="shared" ref="AJ57:AU57" si="156">AJ50*AJ$55</f>
        <v>-36.829658780747621</v>
      </c>
      <c r="AK57" s="73">
        <f t="shared" si="156"/>
        <v>-85.319097543697964</v>
      </c>
      <c r="AL57" s="73">
        <f t="shared" si="156"/>
        <v>-95.314121063713586</v>
      </c>
      <c r="AM57" s="73">
        <f t="shared" si="156"/>
        <v>-143.97947553862579</v>
      </c>
      <c r="AN57" s="73">
        <f t="shared" si="156"/>
        <v>-391.14754118436161</v>
      </c>
      <c r="AO57" s="73">
        <f t="shared" si="156"/>
        <v>-365.88935695749035</v>
      </c>
      <c r="AP57" s="73">
        <f t="shared" si="156"/>
        <v>-563.21901941458998</v>
      </c>
      <c r="AQ57" s="73">
        <f t="shared" si="156"/>
        <v>-803.79300728638077</v>
      </c>
      <c r="AR57" s="73">
        <f t="shared" si="156"/>
        <v>-915.91360278129741</v>
      </c>
      <c r="AS57" s="73">
        <f t="shared" si="156"/>
        <v>-1019.6951351963696</v>
      </c>
      <c r="AT57" s="73">
        <f t="shared" si="156"/>
        <v>-958.06785410484667</v>
      </c>
      <c r="AU57" s="73">
        <f t="shared" si="156"/>
        <v>-1173.1291138265597</v>
      </c>
      <c r="AV57" s="73">
        <f t="shared" ref="AV57:BG57" si="157">AV50*AV$55</f>
        <v>-1520.7142505431505</v>
      </c>
      <c r="AW57" s="73">
        <f t="shared" si="157"/>
        <v>-1807.1819669920872</v>
      </c>
      <c r="AX57" s="257">
        <f>((AX50+AX67)*AX$55)+'[2]MEEIA 3 calcs'!$AZ$36</f>
        <v>-1940.7955008324734</v>
      </c>
      <c r="AY57" s="73">
        <f t="shared" si="157"/>
        <v>-2010.2628964591702</v>
      </c>
      <c r="AZ57" s="73">
        <f t="shared" si="157"/>
        <v>-1842.8588797046928</v>
      </c>
      <c r="BA57" s="73">
        <f t="shared" si="157"/>
        <v>-1572.9147274535035</v>
      </c>
      <c r="BB57" s="73">
        <f t="shared" si="157"/>
        <v>-852.13445207758105</v>
      </c>
      <c r="BC57" s="73">
        <f t="shared" si="157"/>
        <v>253.45987794802943</v>
      </c>
      <c r="BD57" s="73">
        <f t="shared" si="157"/>
        <v>178.1405057070464</v>
      </c>
      <c r="BE57" s="73">
        <f t="shared" si="157"/>
        <v>23.15470045186137</v>
      </c>
      <c r="BF57" s="73">
        <f t="shared" si="157"/>
        <v>-152.68729358130543</v>
      </c>
      <c r="BG57" s="73">
        <f t="shared" si="157"/>
        <v>-373.17551340040364</v>
      </c>
      <c r="BH57" s="73">
        <f t="shared" ref="BH57:BS57" si="158">BH50*BH$55</f>
        <v>-536.48572822758479</v>
      </c>
      <c r="BI57" s="73">
        <f t="shared" si="158"/>
        <v>-696.8383810035532</v>
      </c>
      <c r="BJ57" s="73">
        <f t="shared" si="158"/>
        <v>-735.90508911915833</v>
      </c>
      <c r="BK57" s="73">
        <f>BK50*BK$55</f>
        <v>-1014.1625808660185</v>
      </c>
      <c r="BL57" s="73">
        <f t="shared" si="158"/>
        <v>-1227.0304592425255</v>
      </c>
      <c r="BM57" s="73">
        <f t="shared" si="158"/>
        <v>-1371.8854903723659</v>
      </c>
      <c r="BN57" s="73">
        <f t="shared" si="158"/>
        <v>-1256.0538172110062</v>
      </c>
      <c r="BO57" s="73">
        <f t="shared" si="158"/>
        <v>-863.17201074760203</v>
      </c>
      <c r="BP57" s="73">
        <f t="shared" si="158"/>
        <v>-232.86016055529979</v>
      </c>
      <c r="BQ57" s="73">
        <f t="shared" si="158"/>
        <v>261.60521753596731</v>
      </c>
      <c r="BR57" s="73">
        <f t="shared" si="158"/>
        <v>547.49878672518071</v>
      </c>
      <c r="BS57" s="73">
        <f t="shared" si="158"/>
        <v>516.93619014447495</v>
      </c>
      <c r="BT57" s="72">
        <f>((BT50+BT67)*BT$55)-BT67</f>
        <v>499.07982600381888</v>
      </c>
      <c r="BU57" s="21">
        <f t="shared" si="153"/>
        <v>485.54879249851837</v>
      </c>
      <c r="BV57" s="75">
        <f t="shared" si="153"/>
        <v>472.83693143342322</v>
      </c>
    </row>
    <row r="58" spans="1:74" x14ac:dyDescent="0.25">
      <c r="A58" t="s">
        <v>5</v>
      </c>
      <c r="B58" s="72">
        <f t="shared" si="146"/>
        <v>0</v>
      </c>
      <c r="C58" s="21">
        <f t="shared" si="146"/>
        <v>0</v>
      </c>
      <c r="D58" s="21">
        <f t="shared" si="146"/>
        <v>0</v>
      </c>
      <c r="E58" s="21">
        <f t="shared" si="146"/>
        <v>1.2196590474235467</v>
      </c>
      <c r="F58" s="21">
        <f t="shared" si="146"/>
        <v>-5.3104580721424011</v>
      </c>
      <c r="G58" s="21">
        <f t="shared" si="146"/>
        <v>-204.83965542989148</v>
      </c>
      <c r="H58" s="21">
        <f t="shared" si="146"/>
        <v>-364.40010657111719</v>
      </c>
      <c r="I58" s="21">
        <f t="shared" si="146"/>
        <v>-456.82113426670986</v>
      </c>
      <c r="J58" s="21">
        <f t="shared" si="146"/>
        <v>-505.45026307351344</v>
      </c>
      <c r="K58" s="21">
        <f t="shared" si="146"/>
        <v>-577.18025167364067</v>
      </c>
      <c r="L58" s="231">
        <f>L51*L$55+95.42</f>
        <v>-419.03304067339292</v>
      </c>
      <c r="M58" s="21">
        <f t="shared" ref="M58:W58" si="159">M51*M$55</f>
        <v>-547.30743503734448</v>
      </c>
      <c r="N58" s="21">
        <f t="shared" si="159"/>
        <v>-467.34930967505727</v>
      </c>
      <c r="O58" s="21">
        <f t="shared" si="159"/>
        <v>-419.27120055302782</v>
      </c>
      <c r="P58" s="21">
        <f t="shared" si="159"/>
        <v>-400.36139418196524</v>
      </c>
      <c r="Q58" s="21">
        <f t="shared" si="159"/>
        <v>-228.28158935326786</v>
      </c>
      <c r="R58" s="21">
        <f t="shared" si="159"/>
        <v>-30.946050303617586</v>
      </c>
      <c r="S58" s="21">
        <f t="shared" si="159"/>
        <v>-20.179720815612058</v>
      </c>
      <c r="T58" s="21">
        <f t="shared" si="159"/>
        <v>-5.9707162956951239</v>
      </c>
      <c r="U58" s="21">
        <f t="shared" si="159"/>
        <v>11.623878846840748</v>
      </c>
      <c r="V58" s="21">
        <f t="shared" si="159"/>
        <v>23.025091745045085</v>
      </c>
      <c r="W58" s="21">
        <f t="shared" si="159"/>
        <v>45.423693454837007</v>
      </c>
      <c r="X58" s="21">
        <f>X51*X$55</f>
        <v>67.921309107344896</v>
      </c>
      <c r="Y58" s="21">
        <f t="shared" ref="Y58:AI58" si="160">Y51*Y$55</f>
        <v>94.45966292322052</v>
      </c>
      <c r="Z58" s="21">
        <f t="shared" si="160"/>
        <v>99.473017415365135</v>
      </c>
      <c r="AA58" s="21">
        <f t="shared" si="160"/>
        <v>91.453044862583369</v>
      </c>
      <c r="AB58" s="21">
        <f t="shared" si="160"/>
        <v>26.768949425815194</v>
      </c>
      <c r="AC58" s="21">
        <f t="shared" si="160"/>
        <v>-23.541444540588589</v>
      </c>
      <c r="AD58" s="21">
        <f t="shared" si="160"/>
        <v>-59.486674906972823</v>
      </c>
      <c r="AE58" s="21">
        <f t="shared" si="160"/>
        <v>-28.139532302700754</v>
      </c>
      <c r="AF58" s="21">
        <f t="shared" si="160"/>
        <v>14.618200418601722</v>
      </c>
      <c r="AG58" s="21">
        <f t="shared" si="160"/>
        <v>70.206786189864246</v>
      </c>
      <c r="AH58" s="21">
        <f t="shared" si="160"/>
        <v>64.973977771116083</v>
      </c>
      <c r="AI58" s="73">
        <f t="shared" si="160"/>
        <v>21.214587124796832</v>
      </c>
      <c r="AJ58" s="73">
        <f t="shared" ref="AJ58:AU58" si="161">AJ51*AJ$55</f>
        <v>-0.61744805105152545</v>
      </c>
      <c r="AK58" s="73">
        <f t="shared" si="161"/>
        <v>-32.612411055814235</v>
      </c>
      <c r="AL58" s="73">
        <f t="shared" si="161"/>
        <v>-24.105951324715658</v>
      </c>
      <c r="AM58" s="73">
        <f t="shared" si="161"/>
        <v>-33.020232075647776</v>
      </c>
      <c r="AN58" s="73">
        <f t="shared" si="161"/>
        <v>-79.622897086382977</v>
      </c>
      <c r="AO58" s="73">
        <f t="shared" si="161"/>
        <v>-80.052778305512064</v>
      </c>
      <c r="AP58" s="73">
        <f t="shared" si="161"/>
        <v>-85.283997052038004</v>
      </c>
      <c r="AQ58" s="73">
        <f t="shared" si="161"/>
        <v>605.41824688430142</v>
      </c>
      <c r="AR58" s="73">
        <f t="shared" si="161"/>
        <v>2187.1155511456982</v>
      </c>
      <c r="AS58" s="73">
        <f t="shared" si="161"/>
        <v>4082.7394924494683</v>
      </c>
      <c r="AT58" s="73">
        <f t="shared" si="161"/>
        <v>5319.2750813233843</v>
      </c>
      <c r="AU58" s="73">
        <f t="shared" si="161"/>
        <v>6661.2201550265181</v>
      </c>
      <c r="AV58" s="73">
        <f t="shared" ref="AV58:BG58" si="162">AV51*AV$55</f>
        <v>8547.7935526612819</v>
      </c>
      <c r="AW58" s="73">
        <f t="shared" si="162"/>
        <v>9831.5532865849345</v>
      </c>
      <c r="AX58" s="257">
        <f>((AX51+AX68)*AX$55)+'[2]MEEIA 3 calcs'!$AZ$46</f>
        <v>11366.02088051859</v>
      </c>
      <c r="AY58" s="73">
        <f t="shared" si="162"/>
        <v>11525.011773745391</v>
      </c>
      <c r="AZ58" s="73">
        <f t="shared" si="162"/>
        <v>10675.390241155646</v>
      </c>
      <c r="BA58" s="73">
        <f t="shared" si="162"/>
        <v>9935.5533567519142</v>
      </c>
      <c r="BB58" s="73">
        <f t="shared" si="162"/>
        <v>9495.1123859002873</v>
      </c>
      <c r="BC58" s="73">
        <f t="shared" si="162"/>
        <v>12917.098070301088</v>
      </c>
      <c r="BD58" s="73">
        <f t="shared" si="162"/>
        <v>10830.524982133355</v>
      </c>
      <c r="BE58" s="73">
        <f t="shared" si="162"/>
        <v>8603.5684369262035</v>
      </c>
      <c r="BF58" s="73">
        <f t="shared" si="162"/>
        <v>5781.707648547188</v>
      </c>
      <c r="BG58" s="73">
        <f t="shared" si="162"/>
        <v>2769.0973969846186</v>
      </c>
      <c r="BH58" s="73">
        <f t="shared" ref="BH58:BS58" si="163">BH51*BH$55</f>
        <v>113.36520373624349</v>
      </c>
      <c r="BI58" s="73">
        <f t="shared" si="163"/>
        <v>-2613.361299225262</v>
      </c>
      <c r="BJ58" s="73">
        <f t="shared" si="163"/>
        <v>-5188.7526815856281</v>
      </c>
      <c r="BK58" s="73">
        <f>BK51*BK$55</f>
        <v>-7103.1504676767127</v>
      </c>
      <c r="BL58" s="73">
        <f t="shared" si="163"/>
        <v>-7905.1619468656818</v>
      </c>
      <c r="BM58" s="73">
        <f t="shared" si="163"/>
        <v>-8823.2763375341983</v>
      </c>
      <c r="BN58" s="73">
        <f t="shared" si="163"/>
        <v>-9335.5410886474838</v>
      </c>
      <c r="BO58" s="73">
        <f t="shared" si="163"/>
        <v>-8293.0993503515492</v>
      </c>
      <c r="BP58" s="73">
        <f t="shared" si="163"/>
        <v>-6721.4712008610231</v>
      </c>
      <c r="BQ58" s="73">
        <f t="shared" si="163"/>
        <v>-5127.1117611545505</v>
      </c>
      <c r="BR58" s="73">
        <f t="shared" si="163"/>
        <v>-4304.9267086038108</v>
      </c>
      <c r="BS58" s="73">
        <f t="shared" si="163"/>
        <v>-4519.279305222929</v>
      </c>
      <c r="BT58" s="72">
        <f t="shared" ref="BT58:BT60" si="164">((BT51+BT68)*BT$55)-BT68</f>
        <v>-4975.2904628048773</v>
      </c>
      <c r="BU58" s="21">
        <f t="shared" si="153"/>
        <v>-5279.1434094181013</v>
      </c>
      <c r="BV58" s="75">
        <f t="shared" si="153"/>
        <v>-5448.3870844558869</v>
      </c>
    </row>
    <row r="59" spans="1:74" x14ac:dyDescent="0.25">
      <c r="A59" t="s">
        <v>6</v>
      </c>
      <c r="B59" s="72">
        <f t="shared" si="146"/>
        <v>0</v>
      </c>
      <c r="C59" s="21">
        <f t="shared" si="146"/>
        <v>0</v>
      </c>
      <c r="D59" s="21">
        <f t="shared" si="146"/>
        <v>0</v>
      </c>
      <c r="E59" s="21">
        <f t="shared" si="146"/>
        <v>2.1024092487628352E-2</v>
      </c>
      <c r="F59" s="21">
        <f t="shared" si="146"/>
        <v>-3.0772922382581704</v>
      </c>
      <c r="G59" s="21">
        <f t="shared" si="146"/>
        <v>-77.67087917186376</v>
      </c>
      <c r="H59" s="21">
        <f t="shared" si="146"/>
        <v>-142.44515197780177</v>
      </c>
      <c r="I59" s="21">
        <f t="shared" si="146"/>
        <v>-191.31860087954888</v>
      </c>
      <c r="J59" s="21">
        <f>J52*J$55</f>
        <v>-232.64555471804755</v>
      </c>
      <c r="K59" s="21">
        <f t="shared" si="146"/>
        <v>-278.40098577652572</v>
      </c>
      <c r="L59" s="231">
        <f>L52*L$55+46.57</f>
        <v>-224.61330724104664</v>
      </c>
      <c r="M59" s="21">
        <f t="shared" ref="M59:W59" si="165">M52*M$55</f>
        <v>-323.16770579632879</v>
      </c>
      <c r="N59" s="21">
        <f t="shared" si="165"/>
        <v>-321.50937199164304</v>
      </c>
      <c r="O59" s="21">
        <f t="shared" si="165"/>
        <v>-328.55248857431673</v>
      </c>
      <c r="P59" s="21">
        <f t="shared" si="165"/>
        <v>-353.06773800978448</v>
      </c>
      <c r="Q59" s="21">
        <f t="shared" si="165"/>
        <v>-187.99111647087437</v>
      </c>
      <c r="R59" s="21">
        <f t="shared" si="165"/>
        <v>-25.17315908365649</v>
      </c>
      <c r="S59" s="21">
        <f t="shared" si="165"/>
        <v>-19.038002901316396</v>
      </c>
      <c r="T59" s="21">
        <f t="shared" si="165"/>
        <v>-16.257988069456434</v>
      </c>
      <c r="U59" s="21">
        <f t="shared" si="165"/>
        <v>-2.606617024403449</v>
      </c>
      <c r="V59" s="21">
        <f t="shared" si="165"/>
        <v>2.9008167217929359</v>
      </c>
      <c r="W59" s="21">
        <f t="shared" si="165"/>
        <v>6.6481026859531704</v>
      </c>
      <c r="X59" s="21">
        <f>X52*X$55</f>
        <v>10.497394036472752</v>
      </c>
      <c r="Y59" s="21">
        <f t="shared" ref="Y59:AI59" si="166">Y52*Y$55</f>
        <v>14.34345003014953</v>
      </c>
      <c r="Z59" s="21">
        <f t="shared" si="166"/>
        <v>19.082187122182582</v>
      </c>
      <c r="AA59" s="21">
        <f t="shared" si="166"/>
        <v>13.154502875321382</v>
      </c>
      <c r="AB59" s="21">
        <f t="shared" si="166"/>
        <v>-7.5262377836926015</v>
      </c>
      <c r="AC59" s="21">
        <f t="shared" si="166"/>
        <v>-28.985227671194327</v>
      </c>
      <c r="AD59" s="21">
        <f t="shared" si="166"/>
        <v>-45.229425326599852</v>
      </c>
      <c r="AE59" s="21">
        <f t="shared" si="166"/>
        <v>-28.462662316295901</v>
      </c>
      <c r="AF59" s="21">
        <f t="shared" si="166"/>
        <v>-11.112328093410126</v>
      </c>
      <c r="AG59" s="21">
        <f t="shared" si="166"/>
        <v>-1.8962225317173742</v>
      </c>
      <c r="AH59" s="21">
        <f t="shared" si="166"/>
        <v>-6.2387508655011983</v>
      </c>
      <c r="AI59" s="73">
        <f t="shared" si="166"/>
        <v>-15.618236425497718</v>
      </c>
      <c r="AJ59" s="73">
        <f t="shared" ref="AJ59:AU59" si="167">AJ52*AJ$55</f>
        <v>-25.872645437461838</v>
      </c>
      <c r="AK59" s="73">
        <f t="shared" si="167"/>
        <v>-70.066934805082241</v>
      </c>
      <c r="AL59" s="73">
        <f t="shared" si="167"/>
        <v>-76.80372093393386</v>
      </c>
      <c r="AM59" s="73">
        <f t="shared" si="167"/>
        <v>-109.23741441367754</v>
      </c>
      <c r="AN59" s="73">
        <f t="shared" si="167"/>
        <v>-273.49356266145315</v>
      </c>
      <c r="AO59" s="73">
        <f t="shared" si="167"/>
        <v>-250.17901748512185</v>
      </c>
      <c r="AP59" s="73">
        <f t="shared" si="167"/>
        <v>-408.4100452117334</v>
      </c>
      <c r="AQ59" s="73">
        <f t="shared" si="167"/>
        <v>-506.37233931561559</v>
      </c>
      <c r="AR59" s="73">
        <f t="shared" si="167"/>
        <v>-392.29538311583917</v>
      </c>
      <c r="AS59" s="73">
        <f t="shared" si="167"/>
        <v>-183.18866897101515</v>
      </c>
      <c r="AT59" s="73">
        <f t="shared" si="167"/>
        <v>-54.099198035749822</v>
      </c>
      <c r="AU59" s="73">
        <f t="shared" si="167"/>
        <v>-108.73397870082648</v>
      </c>
      <c r="AV59" s="73">
        <f t="shared" ref="AV59:BG59" si="168">AV52*AV$55</f>
        <v>-199.00414250909489</v>
      </c>
      <c r="AW59" s="73">
        <f t="shared" si="168"/>
        <v>-252.76664770281968</v>
      </c>
      <c r="AX59" s="257">
        <f>((AX52+AX69)*AX$55)+'[2]MEEIA 3 calcs'!$AZ$56</f>
        <v>-110.59589334170329</v>
      </c>
      <c r="AY59" s="73">
        <f t="shared" si="168"/>
        <v>-214.38009659538386</v>
      </c>
      <c r="AZ59" s="73">
        <f t="shared" si="168"/>
        <v>-612.12247961949708</v>
      </c>
      <c r="BA59" s="73">
        <f t="shared" si="168"/>
        <v>-1076.1730978905025</v>
      </c>
      <c r="BB59" s="73">
        <f t="shared" si="168"/>
        <v>-1321.0993761549435</v>
      </c>
      <c r="BC59" s="73">
        <f t="shared" si="168"/>
        <v>-431.84239462604285</v>
      </c>
      <c r="BD59" s="73">
        <f t="shared" si="168"/>
        <v>-803.6415028737764</v>
      </c>
      <c r="BE59" s="73">
        <f t="shared" si="168"/>
        <v>-1290.1392487968994</v>
      </c>
      <c r="BF59" s="73">
        <f t="shared" si="168"/>
        <v>-1889.7709762519796</v>
      </c>
      <c r="BG59" s="73">
        <f t="shared" si="168"/>
        <v>-2585.4357734577502</v>
      </c>
      <c r="BH59" s="73">
        <f t="shared" ref="BH59:BS59" si="169">BH52*BH$55</f>
        <v>-3310.2030566875492</v>
      </c>
      <c r="BI59" s="73">
        <f t="shared" si="169"/>
        <v>-3934.6241907459807</v>
      </c>
      <c r="BJ59" s="73">
        <f t="shared" si="169"/>
        <v>-4305.2245415218249</v>
      </c>
      <c r="BK59" s="73">
        <f>BK52*BK$55</f>
        <v>-4718.4555977611572</v>
      </c>
      <c r="BL59" s="73">
        <f t="shared" si="169"/>
        <v>-4826.7750801329594</v>
      </c>
      <c r="BM59" s="73">
        <f t="shared" si="169"/>
        <v>-4936.5349380504003</v>
      </c>
      <c r="BN59" s="73">
        <f t="shared" si="169"/>
        <v>-4858.3301298982742</v>
      </c>
      <c r="BO59" s="73">
        <f t="shared" si="169"/>
        <v>-4138.8760236208173</v>
      </c>
      <c r="BP59" s="73">
        <f t="shared" si="169"/>
        <v>-3195.4073809772349</v>
      </c>
      <c r="BQ59" s="73">
        <f t="shared" si="169"/>
        <v>-2241.2631763429445</v>
      </c>
      <c r="BR59" s="73">
        <f t="shared" si="169"/>
        <v>-1603.8392503205066</v>
      </c>
      <c r="BS59" s="73">
        <f t="shared" si="169"/>
        <v>-1437.7191774242442</v>
      </c>
      <c r="BT59" s="72">
        <f t="shared" si="164"/>
        <v>-1397.3212486133075</v>
      </c>
      <c r="BU59" s="21">
        <f t="shared" si="153"/>
        <v>-1288.9471130698705</v>
      </c>
      <c r="BV59" s="75">
        <f t="shared" si="153"/>
        <v>-1111.9080852106279</v>
      </c>
    </row>
    <row r="60" spans="1:74" ht="15.75" thickBot="1" x14ac:dyDescent="0.3">
      <c r="A60" t="s">
        <v>7</v>
      </c>
      <c r="B60" s="72">
        <f t="shared" si="146"/>
        <v>0</v>
      </c>
      <c r="C60" s="21">
        <f t="shared" si="146"/>
        <v>0</v>
      </c>
      <c r="D60" s="21">
        <f t="shared" si="146"/>
        <v>0</v>
      </c>
      <c r="E60" s="21">
        <f t="shared" si="146"/>
        <v>0</v>
      </c>
      <c r="F60" s="21">
        <f t="shared" si="146"/>
        <v>0.46175484574453618</v>
      </c>
      <c r="G60" s="21">
        <f t="shared" si="146"/>
        <v>-7.3347231396597259</v>
      </c>
      <c r="H60" s="21">
        <f t="shared" si="146"/>
        <v>-21.915889765661472</v>
      </c>
      <c r="I60" s="21">
        <f t="shared" si="146"/>
        <v>-34.204992683995201</v>
      </c>
      <c r="J60" s="21">
        <f t="shared" si="146"/>
        <v>-45.394257883213903</v>
      </c>
      <c r="K60" s="21">
        <f t="shared" si="146"/>
        <v>-55.147910432786773</v>
      </c>
      <c r="L60" s="231">
        <f>L53*L$55+15.68</f>
        <v>-34.540704240755382</v>
      </c>
      <c r="M60" s="21">
        <f t="shared" ref="M60:W60" si="170">M53*M$55</f>
        <v>-58.439784330174611</v>
      </c>
      <c r="N60" s="21">
        <f t="shared" si="170"/>
        <v>-57.269802910210991</v>
      </c>
      <c r="O60" s="21">
        <f>O53*O$55</f>
        <v>-63.899654731351333</v>
      </c>
      <c r="P60" s="21">
        <f t="shared" si="170"/>
        <v>-89.642336307352139</v>
      </c>
      <c r="Q60" s="21">
        <f t="shared" si="170"/>
        <v>-57.841673830138802</v>
      </c>
      <c r="R60" s="21">
        <f t="shared" si="170"/>
        <v>-9.0193272002107872</v>
      </c>
      <c r="S60" s="21">
        <f t="shared" si="170"/>
        <v>-6.5372901662341736</v>
      </c>
      <c r="T60" s="21">
        <f t="shared" si="170"/>
        <v>-7.4421880118810222</v>
      </c>
      <c r="U60" s="21">
        <f t="shared" si="170"/>
        <v>-3.3406154078790724</v>
      </c>
      <c r="V60" s="21">
        <f t="shared" si="170"/>
        <v>-2.8996492727524963</v>
      </c>
      <c r="W60" s="21">
        <f t="shared" si="170"/>
        <v>-6.6582263132285426</v>
      </c>
      <c r="X60" s="21">
        <f>X53*X$55</f>
        <v>-10.807368950206548</v>
      </c>
      <c r="Y60" s="21">
        <f t="shared" ref="Y60:Z60" si="171">Y53*Y$55</f>
        <v>-14.531879156470149</v>
      </c>
      <c r="Z60" s="21">
        <f t="shared" si="171"/>
        <v>-11.799414505787992</v>
      </c>
      <c r="AA60" s="21">
        <f>AA53*AA$55</f>
        <v>-17.507962137525102</v>
      </c>
      <c r="AB60" s="21">
        <f t="shared" ref="AB60:AI60" si="172">AB53*AB$55</f>
        <v>-18.388042253595497</v>
      </c>
      <c r="AC60" s="21">
        <f t="shared" si="172"/>
        <v>-24.649701092767526</v>
      </c>
      <c r="AD60" s="21">
        <f t="shared" si="172"/>
        <v>-28.246548966787614</v>
      </c>
      <c r="AE60" s="21">
        <f t="shared" si="172"/>
        <v>-20.874834421994276</v>
      </c>
      <c r="AF60" s="21">
        <f t="shared" si="172"/>
        <v>-11.794620209489473</v>
      </c>
      <c r="AG60" s="21">
        <f t="shared" si="172"/>
        <v>-13.052015169418167</v>
      </c>
      <c r="AH60" s="21">
        <f t="shared" si="172"/>
        <v>-13.484771452753593</v>
      </c>
      <c r="AI60" s="73">
        <f t="shared" si="172"/>
        <v>-14.028093504005257</v>
      </c>
      <c r="AJ60" s="73">
        <f t="shared" ref="AJ60:AU60" si="173">AJ53*AJ$55</f>
        <v>-16.268765742377703</v>
      </c>
      <c r="AK60" s="73">
        <f t="shared" si="173"/>
        <v>-32.885001707177551</v>
      </c>
      <c r="AL60" s="73">
        <f t="shared" si="173"/>
        <v>-33.757361213113214</v>
      </c>
      <c r="AM60" s="73">
        <f t="shared" si="173"/>
        <v>-47.100075161956504</v>
      </c>
      <c r="AN60" s="73">
        <f t="shared" si="173"/>
        <v>-109.55101604103469</v>
      </c>
      <c r="AO60" s="73">
        <f t="shared" si="173"/>
        <v>-80.740147612535196</v>
      </c>
      <c r="AP60" s="73">
        <f t="shared" si="173"/>
        <v>-125.16772477060714</v>
      </c>
      <c r="AQ60" s="73">
        <f t="shared" si="173"/>
        <v>-176.93140134073309</v>
      </c>
      <c r="AR60" s="73">
        <f t="shared" si="173"/>
        <v>-205.49180975768778</v>
      </c>
      <c r="AS60" s="73">
        <f t="shared" si="173"/>
        <v>-207.4934225451625</v>
      </c>
      <c r="AT60" s="73">
        <f t="shared" si="173"/>
        <v>-191.85721225193731</v>
      </c>
      <c r="AU60" s="73">
        <f t="shared" si="173"/>
        <v>-220.1785584346174</v>
      </c>
      <c r="AV60" s="73">
        <f t="shared" ref="AV60:BG60" si="174">AV53*AV$55</f>
        <v>-261.92360311638771</v>
      </c>
      <c r="AW60" s="73">
        <f t="shared" si="174"/>
        <v>-263.26021254206324</v>
      </c>
      <c r="AX60" s="257">
        <f>((AX53+AX70)*AX$55)+'[2]MEEIA 3 calcs'!$AZ$66</f>
        <v>-245.23959448163373</v>
      </c>
      <c r="AY60" s="73">
        <f t="shared" si="174"/>
        <v>-243.48220268366032</v>
      </c>
      <c r="AZ60" s="73">
        <f t="shared" si="174"/>
        <v>-295.50389302885935</v>
      </c>
      <c r="BA60" s="73">
        <f t="shared" si="174"/>
        <v>-354.82181526588175</v>
      </c>
      <c r="BB60" s="73">
        <f t="shared" si="174"/>
        <v>-367.63767425992597</v>
      </c>
      <c r="BC60" s="73">
        <f t="shared" si="174"/>
        <v>-131.845759791055</v>
      </c>
      <c r="BD60" s="73">
        <f t="shared" si="174"/>
        <v>-58.676548796195824</v>
      </c>
      <c r="BE60" s="73">
        <f t="shared" si="174"/>
        <v>10.810111514600088</v>
      </c>
      <c r="BF60" s="73">
        <f t="shared" si="174"/>
        <v>-17.404800564539176</v>
      </c>
      <c r="BG60" s="73">
        <f t="shared" si="174"/>
        <v>-130.55206779013901</v>
      </c>
      <c r="BH60" s="73">
        <f t="shared" ref="BH60:BS60" si="175">BH53*BH$55</f>
        <v>-233.28826411786054</v>
      </c>
      <c r="BI60" s="73">
        <f t="shared" si="175"/>
        <v>-342.47846665287267</v>
      </c>
      <c r="BJ60" s="73">
        <f t="shared" si="175"/>
        <v>-383.47323520716384</v>
      </c>
      <c r="BK60" s="73">
        <f>BK53*BK$55</f>
        <v>-419.35552820425278</v>
      </c>
      <c r="BL60" s="73">
        <f t="shared" si="175"/>
        <v>-440.95439819525131</v>
      </c>
      <c r="BM60" s="73">
        <f t="shared" si="175"/>
        <v>-454.85669917007345</v>
      </c>
      <c r="BN60" s="73">
        <f t="shared" si="175"/>
        <v>-429.32865232721991</v>
      </c>
      <c r="BO60" s="73">
        <f t="shared" si="175"/>
        <v>-212.59040931950176</v>
      </c>
      <c r="BP60" s="73">
        <f t="shared" si="175"/>
        <v>32.04658381596974</v>
      </c>
      <c r="BQ60" s="73">
        <f t="shared" si="175"/>
        <v>280.5465224980419</v>
      </c>
      <c r="BR60" s="73">
        <f t="shared" si="175"/>
        <v>407.17429288847887</v>
      </c>
      <c r="BS60" s="73">
        <f t="shared" si="175"/>
        <v>393.59331271326676</v>
      </c>
      <c r="BT60" s="245">
        <f t="shared" si="164"/>
        <v>386.51986996601778</v>
      </c>
      <c r="BU60" s="246">
        <f t="shared" si="153"/>
        <v>387.71306411177625</v>
      </c>
      <c r="BV60" s="247">
        <f t="shared" si="153"/>
        <v>399.05767950436569</v>
      </c>
    </row>
    <row r="61" spans="1:74" ht="16.5" thickTop="1" thickBot="1" x14ac:dyDescent="0.3">
      <c r="A61" s="84" t="s">
        <v>70</v>
      </c>
      <c r="B61" s="85">
        <f>SUM(B56:B60)+SUM(B49:B53)-B64</f>
        <v>0</v>
      </c>
      <c r="C61" s="86">
        <f>SUM(C56:C60)+SUM(C49:C53)-C64</f>
        <v>0</v>
      </c>
      <c r="D61" s="86">
        <f t="shared" ref="D61:J61" si="176">SUM(D56:D60)+SUM(D49:D53)-D64</f>
        <v>0</v>
      </c>
      <c r="E61" s="86">
        <f t="shared" si="176"/>
        <v>0</v>
      </c>
      <c r="F61" s="86">
        <f>SUM(F56:F60)+SUM(F49:F53)-F64</f>
        <v>0</v>
      </c>
      <c r="G61" s="54">
        <f>SUM(G56:G60)+SUM(G49:G53)-G64</f>
        <v>0</v>
      </c>
      <c r="H61" s="86">
        <f t="shared" si="176"/>
        <v>0</v>
      </c>
      <c r="I61" s="86">
        <f t="shared" si="176"/>
        <v>0</v>
      </c>
      <c r="J61" s="86">
        <f t="shared" si="176"/>
        <v>0</v>
      </c>
      <c r="K61" s="86">
        <f>SUM(K56:K60)+SUM(K49:K53)-K64</f>
        <v>0</v>
      </c>
      <c r="L61" s="86">
        <f t="shared" ref="L61:W61" si="177">SUM(L56:L60)+SUM(L49:L53)-L64</f>
        <v>0</v>
      </c>
      <c r="M61" s="86">
        <f t="shared" si="177"/>
        <v>0</v>
      </c>
      <c r="N61" s="86">
        <f t="shared" si="177"/>
        <v>0</v>
      </c>
      <c r="O61" s="86">
        <f>SUM(O56:O60)+SUM(O49:O53)-O64</f>
        <v>0</v>
      </c>
      <c r="P61" s="86">
        <f t="shared" si="177"/>
        <v>0</v>
      </c>
      <c r="Q61" s="86">
        <f t="shared" si="177"/>
        <v>0</v>
      </c>
      <c r="R61" s="86">
        <f t="shared" si="177"/>
        <v>0</v>
      </c>
      <c r="S61" s="86">
        <f t="shared" si="177"/>
        <v>3.4924596548080444E-10</v>
      </c>
      <c r="T61" s="86">
        <f t="shared" si="177"/>
        <v>0</v>
      </c>
      <c r="U61" s="86">
        <f t="shared" si="177"/>
        <v>0</v>
      </c>
      <c r="V61" s="86">
        <f t="shared" si="177"/>
        <v>0</v>
      </c>
      <c r="W61" s="86">
        <f t="shared" si="177"/>
        <v>0</v>
      </c>
      <c r="X61" s="86">
        <f>SUM(X56:X60)+SUM(X49:X53)-X64</f>
        <v>0</v>
      </c>
      <c r="Y61" s="86">
        <f t="shared" ref="Y61:Z61" si="178">SUM(Y56:Y60)+SUM(Y49:Y53)-Y64</f>
        <v>0</v>
      </c>
      <c r="Z61" s="86">
        <f t="shared" si="178"/>
        <v>0</v>
      </c>
      <c r="AA61" s="86">
        <f>SUM(AA56:AA60)+SUM(AA49:AA53)-AA64</f>
        <v>0</v>
      </c>
      <c r="AB61" s="86">
        <f t="shared" ref="AB61:AH61" si="179">SUM(AB56:AB60)+SUM(AB49:AB53)-AB64</f>
        <v>0</v>
      </c>
      <c r="AC61" s="86">
        <f t="shared" si="179"/>
        <v>9.3132257461547852E-10</v>
      </c>
      <c r="AD61" s="86">
        <f t="shared" si="179"/>
        <v>1.2223608791828156E-9</v>
      </c>
      <c r="AE61" s="86">
        <f t="shared" si="179"/>
        <v>0</v>
      </c>
      <c r="AF61" s="86">
        <f t="shared" si="179"/>
        <v>0</v>
      </c>
      <c r="AG61" s="86">
        <f t="shared" si="179"/>
        <v>0</v>
      </c>
      <c r="AH61" s="86">
        <f t="shared" si="179"/>
        <v>0</v>
      </c>
      <c r="AI61" s="170">
        <f>SUM(AI56:AI60)+SUM(AI49:AI53)-AI64</f>
        <v>0</v>
      </c>
      <c r="AJ61" s="170">
        <f t="shared" ref="AJ61:AU61" si="180">SUM(AJ56:AJ60)+SUM(AJ49:AJ53)-AJ64</f>
        <v>0</v>
      </c>
      <c r="AK61" s="170">
        <f t="shared" si="180"/>
        <v>0</v>
      </c>
      <c r="AL61" s="170">
        <f t="shared" si="180"/>
        <v>0</v>
      </c>
      <c r="AM61" s="170">
        <f t="shared" si="180"/>
        <v>0</v>
      </c>
      <c r="AN61" s="170">
        <f t="shared" si="180"/>
        <v>0</v>
      </c>
      <c r="AO61" s="170">
        <f t="shared" si="180"/>
        <v>0</v>
      </c>
      <c r="AP61" s="170">
        <f t="shared" si="180"/>
        <v>0</v>
      </c>
      <c r="AQ61" s="170">
        <f t="shared" si="180"/>
        <v>0</v>
      </c>
      <c r="AR61" s="170">
        <f t="shared" si="180"/>
        <v>0</v>
      </c>
      <c r="AS61" s="170">
        <f>SUM(AS56:AS60)+SUM(AS49:AS53)-AS64</f>
        <v>0</v>
      </c>
      <c r="AT61" s="170">
        <f t="shared" si="180"/>
        <v>0</v>
      </c>
      <c r="AU61" s="170">
        <f t="shared" si="180"/>
        <v>0</v>
      </c>
      <c r="AV61" s="170">
        <f t="shared" ref="AV61:BG61" si="181">SUM(AV56:AV60)+SUM(AV49:AV53)-AV64</f>
        <v>0</v>
      </c>
      <c r="AW61" s="170">
        <f t="shared" si="181"/>
        <v>0</v>
      </c>
      <c r="AX61" s="170">
        <f t="shared" si="181"/>
        <v>0</v>
      </c>
      <c r="AY61" s="170">
        <f t="shared" si="181"/>
        <v>0</v>
      </c>
      <c r="AZ61" s="170">
        <f t="shared" si="181"/>
        <v>0</v>
      </c>
      <c r="BA61" s="170">
        <f t="shared" si="181"/>
        <v>0</v>
      </c>
      <c r="BB61" s="170">
        <f t="shared" si="181"/>
        <v>0</v>
      </c>
      <c r="BC61" s="170">
        <f t="shared" si="181"/>
        <v>0</v>
      </c>
      <c r="BD61" s="170">
        <f t="shared" si="181"/>
        <v>0</v>
      </c>
      <c r="BE61" s="170">
        <f t="shared" si="181"/>
        <v>0</v>
      </c>
      <c r="BF61" s="170">
        <f t="shared" si="181"/>
        <v>0</v>
      </c>
      <c r="BG61" s="170">
        <f t="shared" si="181"/>
        <v>-1.0477378964424133E-9</v>
      </c>
      <c r="BH61" s="170">
        <f t="shared" ref="BH61:BS61" si="182">SUM(BH56:BH60)+SUM(BH49:BH53)-BH64</f>
        <v>-9.3132257461547852E-10</v>
      </c>
      <c r="BI61" s="170">
        <f t="shared" si="182"/>
        <v>0</v>
      </c>
      <c r="BJ61" s="170">
        <f>SUM(BJ56:BJ60)+SUM(BJ49:BJ53)-BJ64</f>
        <v>0</v>
      </c>
      <c r="BK61" s="170">
        <f>SUM(BK56:BK60)+SUM(BK49:BK53)-BK64</f>
        <v>0</v>
      </c>
      <c r="BL61" s="170">
        <f t="shared" si="182"/>
        <v>0</v>
      </c>
      <c r="BM61" s="170">
        <f t="shared" si="182"/>
        <v>0</v>
      </c>
      <c r="BN61" s="170">
        <f t="shared" si="182"/>
        <v>0</v>
      </c>
      <c r="BO61" s="170">
        <f t="shared" si="182"/>
        <v>0</v>
      </c>
      <c r="BP61" s="170">
        <f t="shared" si="182"/>
        <v>0</v>
      </c>
      <c r="BQ61" s="170">
        <f t="shared" si="182"/>
        <v>0</v>
      </c>
      <c r="BR61" s="170">
        <f t="shared" si="182"/>
        <v>0</v>
      </c>
      <c r="BS61" s="170">
        <f t="shared" si="182"/>
        <v>0</v>
      </c>
      <c r="BT61" s="242">
        <f>SUM(BT56:BT60)+SUM(BT49:BT53)-BT64</f>
        <v>0</v>
      </c>
      <c r="BU61" s="243">
        <f>SUM(BU56:BU60)+SUM(BU49:BU53)-BU64</f>
        <v>0</v>
      </c>
      <c r="BV61" s="244">
        <f>SUM(BV56:BV60)+SUM(BV49:BV53)-BV64</f>
        <v>0</v>
      </c>
    </row>
    <row r="62" spans="1:74" ht="16.5" thickTop="1" thickBot="1" x14ac:dyDescent="0.3">
      <c r="A62" s="84" t="s">
        <v>71</v>
      </c>
      <c r="B62" s="87">
        <f>SUM(B56:B60)-B39</f>
        <v>0</v>
      </c>
      <c r="C62" s="54">
        <f t="shared" ref="C62:I62" si="183">SUM(C56:C60)-C39</f>
        <v>0</v>
      </c>
      <c r="D62" s="54">
        <f>SUM(D56:D60)-D39</f>
        <v>0</v>
      </c>
      <c r="E62" s="54">
        <f>SUM(E56:E60)-E39</f>
        <v>-1.3397875233014389E-3</v>
      </c>
      <c r="F62" s="54">
        <f>SUM(F56:F60)-F39</f>
        <v>4.9816933666440022E-3</v>
      </c>
      <c r="G62" s="54">
        <f>SUM(G56:G60)-G39</f>
        <v>-4.3663429291882494E-3</v>
      </c>
      <c r="H62" s="54">
        <f t="shared" si="183"/>
        <v>2.326043420566748E-3</v>
      </c>
      <c r="I62" s="54">
        <f t="shared" si="183"/>
        <v>-3.6442966858203363E-3</v>
      </c>
      <c r="J62" s="54">
        <f>SUM(J56:J60)-J39</f>
        <v>-2.0209283979966131E-4</v>
      </c>
      <c r="K62" s="54">
        <f t="shared" ref="K62:W62" si="184">SUM(K56:K60)-K39</f>
        <v>-9.3479569841292687E-5</v>
      </c>
      <c r="L62" s="54">
        <f t="shared" si="184"/>
        <v>-4.7695627531538776E-3</v>
      </c>
      <c r="M62" s="54">
        <f t="shared" si="184"/>
        <v>3.1542252929739334E-3</v>
      </c>
      <c r="N62" s="54">
        <f>SUM(N56:N60)-N39</f>
        <v>3.7593334006942314E-3</v>
      </c>
      <c r="O62" s="54">
        <f>SUM(O56:O60)-O39</f>
        <v>295.41566432290153</v>
      </c>
      <c r="P62" s="54">
        <f t="shared" si="184"/>
        <v>285.7632482251845</v>
      </c>
      <c r="Q62" s="54">
        <f t="shared" si="184"/>
        <v>117.48215046873884</v>
      </c>
      <c r="R62" s="54">
        <f t="shared" si="184"/>
        <v>14.73775875875431</v>
      </c>
      <c r="S62" s="54">
        <f t="shared" si="184"/>
        <v>17.999002069829316</v>
      </c>
      <c r="T62" s="54">
        <f t="shared" si="184"/>
        <v>35.104020393413194</v>
      </c>
      <c r="U62" s="54">
        <f t="shared" si="184"/>
        <v>23.886439935556183</v>
      </c>
      <c r="V62" s="54">
        <f t="shared" si="184"/>
        <v>20.31931689589095</v>
      </c>
      <c r="W62" s="54">
        <f t="shared" si="184"/>
        <v>24.714213775114331</v>
      </c>
      <c r="X62" s="54">
        <f>SUM(X56:X60)-X39</f>
        <v>-835.42169006730319</v>
      </c>
      <c r="Y62" s="54">
        <f t="shared" ref="Y62" si="185">SUM(Y56:Y60)-Y39</f>
        <v>8.7845399020807236E-3</v>
      </c>
      <c r="Z62" s="54">
        <f>SUM(Z56:Z60)-Z39</f>
        <v>3.4130761000596976E-3</v>
      </c>
      <c r="AA62" s="54">
        <f>SUM(AA56:AA60)-AA39</f>
        <v>8.8939771912919241E-3</v>
      </c>
      <c r="AB62" s="54">
        <f t="shared" ref="AB62:AI62" si="186">SUM(AB56:AB60)-AB39</f>
        <v>6.5921865560198967E-3</v>
      </c>
      <c r="AC62" s="54">
        <f t="shared" si="186"/>
        <v>-1.8371158287777689E-4</v>
      </c>
      <c r="AD62" s="54">
        <f t="shared" si="186"/>
        <v>8.4201954076874586E-3</v>
      </c>
      <c r="AE62" s="54">
        <f t="shared" si="186"/>
        <v>-6.8464249860653581E-3</v>
      </c>
      <c r="AF62" s="54">
        <f t="shared" si="186"/>
        <v>-4.3794234231597784E-3</v>
      </c>
      <c r="AG62" s="54">
        <f t="shared" si="186"/>
        <v>-3.17328187907151E-3</v>
      </c>
      <c r="AH62" s="54">
        <f t="shared" si="186"/>
        <v>-9.4216050626982906E-4</v>
      </c>
      <c r="AI62" s="105">
        <f t="shared" si="186"/>
        <v>1.3965387365203696E-2</v>
      </c>
      <c r="AJ62" s="105">
        <f t="shared" ref="AJ62:AT62" si="187">SUM(AJ56:AJ60)-AJ39</f>
        <v>3.8435671623915368E-4</v>
      </c>
      <c r="AK62" s="105">
        <f t="shared" si="187"/>
        <v>-1.590480735913502E-2</v>
      </c>
      <c r="AL62" s="105">
        <f t="shared" si="187"/>
        <v>-2.6830156457720022E-3</v>
      </c>
      <c r="AM62" s="105">
        <f t="shared" si="187"/>
        <v>-2.6739068189414184E-3</v>
      </c>
      <c r="AN62" s="105">
        <f t="shared" si="187"/>
        <v>9.9825363423633462E-4</v>
      </c>
      <c r="AO62" s="105">
        <f t="shared" si="187"/>
        <v>-2.2167189114270514E-3</v>
      </c>
      <c r="AP62" s="105">
        <f t="shared" si="187"/>
        <v>-2.5781503883308687E-3</v>
      </c>
      <c r="AQ62" s="105">
        <f>SUM(AQ56:AQ60)-AQ39</f>
        <v>2.4728883760190001E-3</v>
      </c>
      <c r="AR62" s="105">
        <f t="shared" si="187"/>
        <v>-5.5352555227727862E-4</v>
      </c>
      <c r="AS62" s="105">
        <f t="shared" si="187"/>
        <v>-5.2136618287477177E-3</v>
      </c>
      <c r="AT62" s="105">
        <f t="shared" si="187"/>
        <v>-3.7471938667295035E-3</v>
      </c>
      <c r="AU62" s="105">
        <f>SUM(AU56:AU60)-AU39</f>
        <v>-7.4652163111750269E-3</v>
      </c>
      <c r="AV62" s="105">
        <f t="shared" ref="AV62:BG62" si="188">SUM(AV56:AV60)-AV39</f>
        <v>2.9091902069922071E-3</v>
      </c>
      <c r="AW62" s="105">
        <f t="shared" si="188"/>
        <v>-8.8065122072293889E-3</v>
      </c>
      <c r="AX62" s="105">
        <f>SUM(AX56:AX60)-AX39</f>
        <v>-0.7896187457445194</v>
      </c>
      <c r="AY62" s="105">
        <f t="shared" si="188"/>
        <v>-5.9659701728378423E-3</v>
      </c>
      <c r="AZ62" s="105">
        <f t="shared" si="188"/>
        <v>4.7064412428881042E-3</v>
      </c>
      <c r="BA62" s="105">
        <f t="shared" si="188"/>
        <v>-5.1465359756548423E-3</v>
      </c>
      <c r="BB62" s="105">
        <f t="shared" si="188"/>
        <v>-6.0219266742933542E-3</v>
      </c>
      <c r="BC62" s="105">
        <f t="shared" si="188"/>
        <v>-1.213465537148295E-3</v>
      </c>
      <c r="BD62" s="105">
        <f t="shared" si="188"/>
        <v>-3.0464319788734429E-3</v>
      </c>
      <c r="BE62" s="105">
        <f t="shared" si="188"/>
        <v>-9.5333309945999645E-4</v>
      </c>
      <c r="BF62" s="105">
        <f t="shared" si="188"/>
        <v>5.4392060665122699E-3</v>
      </c>
      <c r="BG62" s="105">
        <f t="shared" si="188"/>
        <v>6.9513259040832054E-4</v>
      </c>
      <c r="BH62" s="105">
        <f t="shared" ref="BH62:BS62" si="189">SUM(BH56:BH60)-BH39</f>
        <v>-6.2650396553181054E-3</v>
      </c>
      <c r="BI62" s="105">
        <f t="shared" si="189"/>
        <v>-1.6287048469166621E-2</v>
      </c>
      <c r="BJ62" s="105">
        <f>SUM(BJ56:BJ60)-BJ39</f>
        <v>4.4439497651183046E-3</v>
      </c>
      <c r="BK62" s="105">
        <f>SUM(BK56:BK60)-BK39</f>
        <v>7.101265036908444E-4</v>
      </c>
      <c r="BL62" s="105">
        <f t="shared" si="189"/>
        <v>-4.2485187077545561E-3</v>
      </c>
      <c r="BM62" s="105">
        <f t="shared" si="189"/>
        <v>5.3967058338457718E-3</v>
      </c>
      <c r="BN62" s="105">
        <f t="shared" si="189"/>
        <v>-4.086471253685886E-3</v>
      </c>
      <c r="BO62" s="105">
        <f t="shared" si="189"/>
        <v>5.7016475693671964E-3</v>
      </c>
      <c r="BP62" s="105">
        <f t="shared" si="189"/>
        <v>4.8279198636009824E-3</v>
      </c>
      <c r="BQ62" s="105">
        <f t="shared" si="189"/>
        <v>-4.9919090197363403E-3</v>
      </c>
      <c r="BR62" s="105">
        <f t="shared" si="189"/>
        <v>3.2987280173983891E-3</v>
      </c>
      <c r="BS62" s="105">
        <f t="shared" si="189"/>
        <v>-6.1356091355264653E-3</v>
      </c>
      <c r="BT62" s="87">
        <f>SUM(BT56:BT60)-BT39</f>
        <v>9.1540499943221221E-3</v>
      </c>
      <c r="BU62" s="54">
        <f>SUM(BU56:BU60)-BU39</f>
        <v>4.7289521353377495E-3</v>
      </c>
      <c r="BV62" s="88">
        <f>SUM(BV56:BV60)-BV39</f>
        <v>5.7275799917988479E-4</v>
      </c>
    </row>
    <row r="63" spans="1:74" ht="15.75" thickTop="1" x14ac:dyDescent="0.25">
      <c r="B63" s="65"/>
      <c r="G63" s="31"/>
      <c r="BT63" s="65"/>
      <c r="BV63" s="67"/>
    </row>
    <row r="64" spans="1:74" x14ac:dyDescent="0.25">
      <c r="A64" t="s">
        <v>72</v>
      </c>
      <c r="B64" s="72">
        <f>(B15-SUM(B22:B26))+SUM(B56:B60)</f>
        <v>0</v>
      </c>
      <c r="C64" s="21">
        <f t="shared" ref="C64:BV64" si="190">(SUM(C15:C19)-SUM(C22:C26))+SUM(C56:C60)+B64</f>
        <v>0</v>
      </c>
      <c r="D64" s="21">
        <f t="shared" si="190"/>
        <v>0.71203150918887492</v>
      </c>
      <c r="E64" s="21">
        <f>(SUM(E15:E19)-SUM(E22:E26))+SUM(E56:E60)+D64</f>
        <v>4706.551460582401</v>
      </c>
      <c r="F64" s="21">
        <f t="shared" si="190"/>
        <v>2261.7265642031507</v>
      </c>
      <c r="G64" s="21">
        <f>(SUM(G15:G19)-SUM(G22:G26))+SUM(G56:G60)+F64</f>
        <v>-264248.01423967956</v>
      </c>
      <c r="H64" s="21">
        <f t="shared" si="190"/>
        <v>-396272.77733502828</v>
      </c>
      <c r="I64" s="21">
        <f t="shared" si="190"/>
        <v>-441092.55341293442</v>
      </c>
      <c r="J64" s="21">
        <f t="shared" si="190"/>
        <v>-564635.90723227884</v>
      </c>
      <c r="K64" s="21">
        <f t="shared" si="190"/>
        <v>-870502.97660443862</v>
      </c>
      <c r="L64" s="21">
        <f>(SUM(L15:L19)-SUM(L22:L26))+SUM(L56:L60)+K64</f>
        <v>-937194.72845501162</v>
      </c>
      <c r="M64" s="21">
        <f t="shared" ref="M64" si="191">(SUM(M15:M19)-SUM(M22:M26))+SUM(M56:M60)+L64</f>
        <v>-906129.08967726061</v>
      </c>
      <c r="N64" s="21">
        <f>(SUM(N15:N19)-SUM(N22:N26))+SUM(N56:N60)+M64</f>
        <v>-740016.41276452632</v>
      </c>
      <c r="O64" s="21">
        <f>(SUM(O15:O19)-SUM(O22:O26))+SUM(O56:O60)+N64</f>
        <v>-525113.91170543432</v>
      </c>
      <c r="P64" s="21">
        <f t="shared" ref="P64" si="192">(SUM(P15:P19)-SUM(P22:P26))+SUM(P56:P60)+O64</f>
        <v>-454631.43295856763</v>
      </c>
      <c r="Q64" s="21">
        <f t="shared" ref="Q64" si="193">(SUM(Q15:Q19)-SUM(Q22:Q26))+SUM(Q56:Q60)+P64</f>
        <v>-662173.15980050794</v>
      </c>
      <c r="R64" s="21">
        <f t="shared" ref="R64" si="194">(SUM(R15:R19)-SUM(R22:R26))+SUM(R56:R60)+Q64</f>
        <v>-702708.23194120231</v>
      </c>
      <c r="S64" s="21">
        <f t="shared" ref="S64" si="195">(SUM(S15:S19)-SUM(S22:S26))+SUM(S56:S60)+R64</f>
        <v>-150847.9702865202</v>
      </c>
      <c r="T64" s="21">
        <f t="shared" ref="T64" si="196">(SUM(T15:T19)-SUM(T22:T26))+SUM(T56:T60)+S64</f>
        <v>654339.09518202848</v>
      </c>
      <c r="U64" s="21">
        <f t="shared" ref="U64" si="197">(SUM(U15:U19)-SUM(U22:U26))+SUM(U56:U60)+T64</f>
        <v>1643000.8234108132</v>
      </c>
      <c r="V64" s="21">
        <f t="shared" ref="V64" si="198">(SUM(V15:V19)-SUM(V22:V26))+SUM(V56:V60)+U64</f>
        <v>2455523.0789652793</v>
      </c>
      <c r="W64" s="206">
        <f>(SUM(W15:W19)-SUM(W22:W26))+SUM(W56:W60)+V64</f>
        <v>2697774.8368644607</v>
      </c>
      <c r="X64" s="21">
        <f t="shared" ref="X64" si="199">(SUM(X15:X19)-SUM(X22:X26))+SUM(X56:X60)+W64</f>
        <v>3067186.487464264</v>
      </c>
      <c r="Y64" s="21">
        <f t="shared" ref="Y64" si="200">(SUM(Y15:Y19)-SUM(Y22:Y26))+SUM(Y56:Y60)+X64</f>
        <v>3524046.5028045829</v>
      </c>
      <c r="Z64" s="21">
        <f>(SUM(Z15:Z19)-SUM(Z22:Z26))+SUM(Z56:Z60)+Y64</f>
        <v>4090952.8805342894</v>
      </c>
      <c r="AA64" s="21">
        <f>(SUM(AA15:AA19)-SUM(AA22:AA26))+SUM(AA56:AA60)+Z64</f>
        <v>3209837.7217830825</v>
      </c>
      <c r="AB64" s="21">
        <f t="shared" ref="AB64" si="201">(SUM(AB15:AB19)-SUM(AB22:AB26))+SUM(AB56:AB60)+AA64</f>
        <v>1586455.3477740197</v>
      </c>
      <c r="AC64" s="21">
        <f t="shared" ref="AC64" si="202">(SUM(AC15:AC19)-SUM(AC22:AC26))+SUM(AC56:AC60)+AB64</f>
        <v>562517.07836370647</v>
      </c>
      <c r="AD64" s="21">
        <f t="shared" ref="AD64" si="203">(SUM(AD15:AD19)-SUM(AD22:AD26))+SUM(AD56:AD60)+AC64</f>
        <v>-133210.91464782483</v>
      </c>
      <c r="AE64" s="21">
        <f t="shared" ref="AE64" si="204">(SUM(AE15:AE19)-SUM(AE22:AE26))+SUM(AE56:AE60)+AD64</f>
        <v>847651.25881187222</v>
      </c>
      <c r="AF64" s="21">
        <f t="shared" ref="AF64" si="205">(SUM(AF15:AF19)-SUM(AF22:AF26))+SUM(AF56:AF60)+AE64</f>
        <v>2043353.237380045</v>
      </c>
      <c r="AG64" s="21">
        <f t="shared" ref="AG64" si="206">(SUM(AG15:AG19)-SUM(AG22:AG26))+SUM(AG56:AG60)+AF64</f>
        <v>3261968.7065586755</v>
      </c>
      <c r="AH64" s="21">
        <f t="shared" ref="AH64" si="207">(SUM(AH15:AH19)-SUM(AH22:AH26))+SUM(AH56:AH60)+AG64</f>
        <v>3328657.2513737087</v>
      </c>
      <c r="AI64" s="73">
        <f>(SUM(AI15:AI19)-SUM(AI22:AI26))+SUM(AI56:AI60)+AH64</f>
        <v>2403212.0870643086</v>
      </c>
      <c r="AJ64" s="73">
        <f t="shared" ref="AJ64:AT64" si="208">(SUM(AJ15:AJ19)-SUM(AJ22:AJ26))+SUM(AJ56:AJ60)+AI64</f>
        <v>1783206.8467499057</v>
      </c>
      <c r="AK64" s="73">
        <f t="shared" si="208"/>
        <v>1035979.9058973955</v>
      </c>
      <c r="AL64" s="73">
        <f t="shared" si="208"/>
        <v>237729.44171547028</v>
      </c>
      <c r="AM64" s="73">
        <f t="shared" si="208"/>
        <v>-366328.50435683504</v>
      </c>
      <c r="AN64" s="73">
        <f t="shared" si="208"/>
        <v>-767550.08259316441</v>
      </c>
      <c r="AO64" s="73">
        <f t="shared" si="208"/>
        <v>-980795.2476907461</v>
      </c>
      <c r="AP64" s="73">
        <f t="shared" si="208"/>
        <v>-982925.5320635332</v>
      </c>
      <c r="AQ64" s="73">
        <f t="shared" si="208"/>
        <v>597435.29253369512</v>
      </c>
      <c r="AR64" s="73">
        <f t="shared" si="208"/>
        <v>2665285.6456911373</v>
      </c>
      <c r="AS64" s="73">
        <f t="shared" si="208"/>
        <v>4455483.271719845</v>
      </c>
      <c r="AT64" s="73">
        <f t="shared" si="208"/>
        <v>5461306.1331514474</v>
      </c>
      <c r="AU64" s="73">
        <f>(SUM(AU15:AU19)-SUM(AU22:AU26))+SUM(AU56:AU60)+AT64</f>
        <v>5445892.8768103793</v>
      </c>
      <c r="AV64" s="73">
        <f t="shared" ref="AV64:BG64" si="209">(SUM(AV15:AV19)-SUM(AV22:AV26))+SUM(AV56:AV60)+AU64</f>
        <v>5531396.9756660834</v>
      </c>
      <c r="AW64" s="73">
        <f>(SUM(AW15:AW19)-SUM(AW22:AW26))+SUM(AW56:AW60)+AV64</f>
        <v>5560492.8755444586</v>
      </c>
      <c r="AX64" s="73">
        <f>(SUM(AX15:AX19)-SUM(AX22:AX26))+SUM(AX56:AX60)+AW64</f>
        <v>5723577.2099068537</v>
      </c>
      <c r="AY64" s="73">
        <f t="shared" si="209"/>
        <v>5405803.5030162167</v>
      </c>
      <c r="AZ64" s="73">
        <f t="shared" si="209"/>
        <v>4774565.6883088248</v>
      </c>
      <c r="BA64" s="73">
        <f t="shared" si="209"/>
        <v>4183743.0636167228</v>
      </c>
      <c r="BB64" s="73">
        <f t="shared" si="209"/>
        <v>4102224.4436155995</v>
      </c>
      <c r="BC64" s="73">
        <f t="shared" si="209"/>
        <v>6594801.6802487737</v>
      </c>
      <c r="BD64" s="73">
        <f t="shared" si="209"/>
        <v>5275216.2725556679</v>
      </c>
      <c r="BE64" s="73">
        <f t="shared" si="209"/>
        <v>3931098.9978957297</v>
      </c>
      <c r="BF64" s="73">
        <f t="shared" si="209"/>
        <v>2350884.490966612</v>
      </c>
      <c r="BG64" s="73">
        <f t="shared" si="209"/>
        <v>782392.13612863561</v>
      </c>
      <c r="BH64" s="73">
        <f t="shared" ref="BH64" si="210">(SUM(BH15:BH19)-SUM(BH22:BH26))+SUM(BH56:BH60)+BG64</f>
        <v>-569067.41056639492</v>
      </c>
      <c r="BI64" s="73">
        <f t="shared" ref="BI64" si="211">(SUM(BI15:BI19)-SUM(BI22:BI26))+SUM(BI56:BI60)+BH64</f>
        <v>-2101322.2432162752</v>
      </c>
      <c r="BJ64" s="73">
        <f>(SUM(BJ15:BJ19)-SUM(BJ22:BJ26))+SUM(BJ56:BJ60)+BI64</f>
        <v>-3820086.7729235906</v>
      </c>
      <c r="BK64" s="73">
        <f>(SUM(BK15:BK19)-SUM(BK22:BK26))+SUM(BK56:BK60)+BJ64+BJ65</f>
        <v>-5129042.7604107456</v>
      </c>
      <c r="BL64" s="73">
        <f>(SUM(BL15:BL19)-SUM(BL22:BL26))+SUM(BL56:BL60)+BK64</f>
        <v>-5513927.4276007963</v>
      </c>
      <c r="BM64" s="73">
        <f t="shared" ref="BM64" si="212">(SUM(BM15:BM19)-SUM(BM22:BM26))+SUM(BM56:BM60)+BL64</f>
        <v>-5900545.6529636066</v>
      </c>
      <c r="BN64" s="73">
        <f t="shared" ref="BN64" si="213">(SUM(BN15:BN19)-SUM(BN22:BN26))+SUM(BN56:BN60)+BM64</f>
        <v>-6063297.2074135216</v>
      </c>
      <c r="BO64" s="73">
        <f t="shared" ref="BO64" si="214">(SUM(BO15:BO19)-SUM(BO22:BO26))+SUM(BO56:BO60)+BN64</f>
        <v>-5134606.0868359767</v>
      </c>
      <c r="BP64" s="73">
        <f t="shared" ref="BP64" si="215">(SUM(BP15:BP19)-SUM(BP22:BP26))+SUM(BP56:BP60)+BO64</f>
        <v>-3816337.3474476002</v>
      </c>
      <c r="BQ64" s="73">
        <f t="shared" ref="BQ64" si="216">(SUM(BQ15:BQ19)-SUM(BQ22:BQ26))+SUM(BQ56:BQ60)+BP64</f>
        <v>-2486221.5014585545</v>
      </c>
      <c r="BR64" s="73">
        <f t="shared" ref="BR64" si="217">(SUM(BR15:BR19)-SUM(BR22:BR26))+SUM(BR56:BR60)+BQ64</f>
        <v>-1930171.6267806333</v>
      </c>
      <c r="BS64" s="73">
        <f t="shared" ref="BS64" si="218">(SUM(BS15:BS19)-SUM(BS22:BS26))+SUM(BS56:BS60)+BR64</f>
        <v>-2163268.7559457277</v>
      </c>
      <c r="BT64" s="210">
        <f>(SUM(BT15:BT19)-SUM(BT22:BT26))+SUM(BT56:BT60)+BS64</f>
        <v>-2352017.1539790984</v>
      </c>
      <c r="BU64" s="206">
        <f>(SUM(BU15:BU19)-SUM(BU22:BU26))+SUM(BU56:BU60)+BT64</f>
        <v>-2421535.7712274129</v>
      </c>
      <c r="BV64" s="209">
        <f t="shared" si="190"/>
        <v>-2492317.613010508</v>
      </c>
    </row>
    <row r="65" spans="1:74" x14ac:dyDescent="0.25">
      <c r="B65" s="65"/>
      <c r="AW65" s="310"/>
      <c r="AX65" s="280">
        <f>SUM(AX66:AX70)</f>
        <v>-254.26999999999953</v>
      </c>
      <c r="BI65" s="145" t="s">
        <v>156</v>
      </c>
      <c r="BJ65" s="239">
        <f>'TDR (M2) Final'!CT64</f>
        <v>69484.073794938362</v>
      </c>
      <c r="BT65" s="65"/>
      <c r="BV65" s="67"/>
    </row>
    <row r="66" spans="1:74" x14ac:dyDescent="0.25">
      <c r="A66" s="136" t="s">
        <v>0</v>
      </c>
      <c r="B66" s="65"/>
      <c r="AW66" s="311"/>
      <c r="AX66" s="312">
        <f>+'[2]MEEIA 3 calcs'!$AZ$26</f>
        <v>-197.79000000000087</v>
      </c>
      <c r="BJ66" s="238">
        <f>'TDR (M2) Final'!CT49+'TDR (M2) Final'!CT56</f>
        <v>27278.026782997076</v>
      </c>
      <c r="BT66" s="214"/>
      <c r="BV66" s="67"/>
    </row>
    <row r="67" spans="1:74" x14ac:dyDescent="0.25">
      <c r="A67" s="136" t="s">
        <v>4</v>
      </c>
      <c r="B67" s="65"/>
      <c r="AW67" s="311"/>
      <c r="AX67" s="312">
        <f>+'[2]MEEIA 3 calcs'!$AZ$36</f>
        <v>-27.780000000000655</v>
      </c>
      <c r="BJ67" s="238">
        <f>'TDR (M2) Final'!CT50+'TDR (M2) Final'!CT57</f>
        <v>8636.4981081285168</v>
      </c>
      <c r="BT67" s="214"/>
      <c r="BV67" s="67"/>
    </row>
    <row r="68" spans="1:74" x14ac:dyDescent="0.25">
      <c r="A68" s="136" t="s">
        <v>5</v>
      </c>
      <c r="B68" s="65"/>
      <c r="E68" s="35"/>
      <c r="F68" s="35"/>
      <c r="G68" s="35"/>
      <c r="H68" s="35"/>
      <c r="I68" s="35"/>
      <c r="J68" s="35"/>
      <c r="K68" s="35"/>
      <c r="L68" s="35"/>
      <c r="M68" s="35"/>
      <c r="N68" s="35"/>
      <c r="O68" s="35"/>
      <c r="P68" s="35"/>
      <c r="Q68" s="35"/>
      <c r="R68" s="35"/>
      <c r="S68" s="35"/>
      <c r="T68" s="35"/>
      <c r="U68" s="35"/>
      <c r="V68" s="35"/>
      <c r="W68" s="31"/>
      <c r="X68" s="35"/>
      <c r="Y68" s="35"/>
      <c r="Z68" s="35"/>
      <c r="AA68" s="35"/>
      <c r="AB68" s="35"/>
      <c r="AC68" s="35"/>
      <c r="AD68" s="35"/>
      <c r="AE68" s="35"/>
      <c r="AF68" s="35"/>
      <c r="AG68" s="35"/>
      <c r="AH68" s="35"/>
      <c r="AI68" s="31"/>
      <c r="AJ68" s="31"/>
      <c r="AK68" s="31"/>
      <c r="AL68" s="31"/>
      <c r="AM68" s="31"/>
      <c r="AN68" s="31"/>
      <c r="AO68" s="31"/>
      <c r="AP68" s="31"/>
      <c r="AQ68" s="31"/>
      <c r="AR68" s="31"/>
      <c r="AS68" s="31"/>
      <c r="AT68" s="31"/>
      <c r="AU68" s="31"/>
      <c r="AV68" s="31"/>
      <c r="AW68" s="311"/>
      <c r="AX68" s="312">
        <f>+'[2]MEEIA 3 calcs'!$AZ$46</f>
        <v>-28.739999999997963</v>
      </c>
      <c r="AY68" s="31"/>
      <c r="AZ68" s="31"/>
      <c r="BA68" s="31"/>
      <c r="BB68" s="31"/>
      <c r="BC68" s="31"/>
      <c r="BD68" s="31"/>
      <c r="BE68" s="31"/>
      <c r="BF68" s="31"/>
      <c r="BG68" s="31"/>
      <c r="BH68" s="31"/>
      <c r="BI68" s="31"/>
      <c r="BJ68" s="238">
        <f>'TDR (M2) Final'!CT51+'TDR (M2) Final'!CT58</f>
        <v>24323.748103855072</v>
      </c>
      <c r="BK68" s="31"/>
      <c r="BL68" s="31"/>
      <c r="BM68" s="31"/>
      <c r="BN68" s="31"/>
      <c r="BO68" s="31"/>
      <c r="BP68" s="31"/>
      <c r="BQ68" s="31"/>
      <c r="BR68" s="31"/>
      <c r="BS68" s="31"/>
      <c r="BT68" s="214"/>
      <c r="BV68" s="67"/>
    </row>
    <row r="69" spans="1:74" x14ac:dyDescent="0.25">
      <c r="A69" s="136" t="s">
        <v>6</v>
      </c>
      <c r="B69" s="65"/>
      <c r="AW69" s="311"/>
      <c r="AX69" s="312">
        <f>+'[2]MEEIA 3 calcs'!$AZ$56</f>
        <v>-4.3600000000001273</v>
      </c>
      <c r="BJ69" s="238">
        <f>'TDR (M2) Final'!CT52+'TDR (M2) Final'!CT59</f>
        <v>7798.3319889460026</v>
      </c>
      <c r="BT69" s="214"/>
      <c r="BV69" s="67"/>
    </row>
    <row r="70" spans="1:74" ht="15.75" thickBot="1" x14ac:dyDescent="0.3">
      <c r="A70" s="136" t="s">
        <v>7</v>
      </c>
      <c r="B70" s="89"/>
      <c r="C70" s="90"/>
      <c r="D70" s="90"/>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284"/>
      <c r="AX70" s="283">
        <f>+'[2]MEEIA 3 calcs'!$AZ$66</f>
        <v>4.4000000000000909</v>
      </c>
      <c r="AY70" s="141"/>
      <c r="AZ70" s="141"/>
      <c r="BA70" s="141"/>
      <c r="BB70" s="141"/>
      <c r="BC70" s="141"/>
      <c r="BD70" s="141"/>
      <c r="BE70" s="141"/>
      <c r="BF70" s="141"/>
      <c r="BG70" s="141"/>
      <c r="BH70" s="141"/>
      <c r="BI70" s="141"/>
      <c r="BJ70" s="240">
        <f>'TDR (M2) Final'!CT53+'TDR (M2) Final'!CT60</f>
        <v>1447.4688110127506</v>
      </c>
      <c r="BK70" s="141"/>
      <c r="BL70" s="141"/>
      <c r="BM70" s="141"/>
      <c r="BN70" s="141"/>
      <c r="BO70" s="141"/>
      <c r="BP70" s="141"/>
      <c r="BQ70" s="141"/>
      <c r="BR70" s="141"/>
      <c r="BS70" s="141"/>
      <c r="BT70" s="215"/>
      <c r="BU70" s="90"/>
      <c r="BV70" s="91"/>
    </row>
    <row r="71" spans="1:74" x14ac:dyDescent="0.25">
      <c r="B71" s="5"/>
      <c r="C71" s="5"/>
      <c r="D71" s="5"/>
      <c r="E71" s="5"/>
      <c r="F71" s="5"/>
      <c r="G71" s="5"/>
      <c r="H71" s="5"/>
    </row>
    <row r="72" spans="1:74" x14ac:dyDescent="0.25">
      <c r="K72" s="31"/>
      <c r="L72" s="31"/>
      <c r="N72" s="31"/>
      <c r="O72" s="31"/>
      <c r="P72" s="31"/>
      <c r="Q72" s="31"/>
      <c r="R72" s="31"/>
      <c r="S72" s="31"/>
      <c r="T72" s="31"/>
      <c r="U72" s="31"/>
      <c r="V72" s="230"/>
      <c r="W72" s="31"/>
      <c r="X72" s="31"/>
      <c r="Y72" s="31"/>
      <c r="Z72" s="31"/>
      <c r="AA72" s="31"/>
      <c r="AB72" s="31"/>
      <c r="AC72" s="31"/>
      <c r="AD72" s="31"/>
      <c r="AE72" s="31"/>
      <c r="AF72" s="31"/>
      <c r="AG72" s="31"/>
      <c r="AH72" s="31"/>
      <c r="AI72" s="230"/>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row>
    <row r="73" spans="1:74" x14ac:dyDescent="0.25">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row>
    <row r="75" spans="1:74" x14ac:dyDescent="0.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row>
  </sheetData>
  <mergeCells count="1">
    <mergeCell ref="BT13:BV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E270-FDD9-42DE-A7FF-CA729848D266}">
  <sheetPr>
    <tabColor theme="7" tint="0.79998168889431442"/>
  </sheetPr>
  <dimension ref="A1:BV75"/>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H27" sqref="H27"/>
    </sheetView>
  </sheetViews>
  <sheetFormatPr defaultColWidth="9.140625" defaultRowHeight="15" x14ac:dyDescent="0.25"/>
  <cols>
    <col min="1" max="1" width="30.140625" customWidth="1"/>
    <col min="2" max="2" width="16" customWidth="1"/>
    <col min="3" max="3" width="16.28515625" bestFit="1" customWidth="1"/>
    <col min="4" max="4" width="15.140625" customWidth="1"/>
    <col min="5" max="5" width="16.140625" customWidth="1"/>
    <col min="6" max="6" width="14.28515625" bestFit="1" customWidth="1"/>
    <col min="7" max="7" width="16" customWidth="1"/>
    <col min="8" max="9" width="14.28515625" bestFit="1" customWidth="1"/>
    <col min="10" max="10" width="15.5703125" customWidth="1"/>
    <col min="11" max="71" width="14" customWidth="1"/>
    <col min="72" max="72" width="19.140625" bestFit="1" customWidth="1"/>
    <col min="73" max="74" width="15.5703125" customWidth="1"/>
    <col min="75" max="75" width="17.28515625" customWidth="1"/>
  </cols>
  <sheetData>
    <row r="1" spans="1:73" x14ac:dyDescent="0.25">
      <c r="A1" t="s">
        <v>174</v>
      </c>
    </row>
    <row r="2" spans="1:73" x14ac:dyDescent="0.25">
      <c r="B2" s="125" t="s">
        <v>99</v>
      </c>
      <c r="H2" s="2" t="s">
        <v>26</v>
      </c>
      <c r="I2" s="2"/>
    </row>
    <row r="3" spans="1:73" x14ac:dyDescent="0.25">
      <c r="B3" s="52" t="s">
        <v>63</v>
      </c>
      <c r="C3" s="52" t="s">
        <v>75</v>
      </c>
      <c r="D3" s="52" t="s">
        <v>90</v>
      </c>
      <c r="E3" s="52" t="s">
        <v>64</v>
      </c>
      <c r="F3" s="52" t="s">
        <v>65</v>
      </c>
      <c r="H3" s="2" t="s">
        <v>89</v>
      </c>
      <c r="AI3" s="17"/>
    </row>
    <row r="4" spans="1:73" x14ac:dyDescent="0.25">
      <c r="A4" s="19" t="s">
        <v>0</v>
      </c>
      <c r="B4" s="21">
        <f>SUM(B29:D29)</f>
        <v>0</v>
      </c>
      <c r="C4" s="21">
        <f>SUM(B15:D15)</f>
        <v>1676.0444770623374</v>
      </c>
      <c r="D4" s="21">
        <f>-B4+C4</f>
        <v>1676.0444770623374</v>
      </c>
      <c r="E4" s="21">
        <f>SUM(B56:D56)</f>
        <v>6.9007555781490675</v>
      </c>
      <c r="F4" s="26">
        <f>D4+E4</f>
        <v>1682.9452326404864</v>
      </c>
      <c r="H4" s="2" t="s">
        <v>97</v>
      </c>
      <c r="AI4" s="17"/>
    </row>
    <row r="5" spans="1:73" x14ac:dyDescent="0.25">
      <c r="A5" s="19" t="s">
        <v>4</v>
      </c>
      <c r="B5" s="21">
        <f>SUM(B30:D30)</f>
        <v>0</v>
      </c>
      <c r="C5" s="21">
        <f>SUM(B16:D16)</f>
        <v>6.9103690592109759</v>
      </c>
      <c r="D5" s="21">
        <f>-B5+C5</f>
        <v>6.9103690592109759</v>
      </c>
      <c r="E5" s="21">
        <f>SUM(B57:D57)</f>
        <v>2.8451970389235227E-2</v>
      </c>
      <c r="F5" s="26">
        <f>D5+E5</f>
        <v>6.9388210296002111</v>
      </c>
      <c r="H5" s="2" t="s">
        <v>98</v>
      </c>
      <c r="AI5" s="17"/>
    </row>
    <row r="6" spans="1:73" x14ac:dyDescent="0.25">
      <c r="A6" s="19" t="s">
        <v>5</v>
      </c>
      <c r="B6" s="21">
        <f>SUM(B31:D31)</f>
        <v>0</v>
      </c>
      <c r="C6" s="21">
        <f>SUM(B17:D17)</f>
        <v>12.959999466356765</v>
      </c>
      <c r="D6" s="21">
        <f>-B6+C6</f>
        <v>12.959999466356765</v>
      </c>
      <c r="E6" s="21">
        <f>SUM(B58:D58)</f>
        <v>5.3360033002837821E-2</v>
      </c>
      <c r="F6" s="26">
        <f>D6+E6</f>
        <v>13.013359499359602</v>
      </c>
      <c r="H6" s="2" t="s">
        <v>116</v>
      </c>
      <c r="AI6" s="17"/>
      <c r="AX6" s="267"/>
    </row>
    <row r="7" spans="1:73" x14ac:dyDescent="0.25">
      <c r="A7" s="19" t="s">
        <v>6</v>
      </c>
      <c r="B7" s="21">
        <f>SUM(B32:D32)</f>
        <v>0</v>
      </c>
      <c r="C7" s="21">
        <f>SUM(B18:D18)</f>
        <v>5.425342683710296</v>
      </c>
      <c r="D7" s="21">
        <f>-B7+C7</f>
        <v>5.425342683710296</v>
      </c>
      <c r="E7" s="21">
        <f>SUM(B59:D59)</f>
        <v>2.2337691093737951E-2</v>
      </c>
      <c r="F7" s="26">
        <f>D7+E7</f>
        <v>5.4476803748040341</v>
      </c>
      <c r="H7" s="2" t="s">
        <v>81</v>
      </c>
      <c r="O7" s="31"/>
      <c r="AA7" s="31"/>
      <c r="AI7" s="17"/>
      <c r="AX7" s="267"/>
    </row>
    <row r="8" spans="1:73" ht="15.75" thickBot="1" x14ac:dyDescent="0.3">
      <c r="A8" s="19" t="s">
        <v>7</v>
      </c>
      <c r="B8" s="21">
        <f>SUM(B33:D33)</f>
        <v>0</v>
      </c>
      <c r="C8" s="21">
        <f>SUM(B19:D19)</f>
        <v>1.4864604309111322</v>
      </c>
      <c r="D8" s="21">
        <f>-B8+C8</f>
        <v>1.4864604309111322</v>
      </c>
      <c r="E8" s="21">
        <f>SUM(B60:D60)</f>
        <v>6.1201837127179927E-3</v>
      </c>
      <c r="F8" s="26">
        <f>D8+E8</f>
        <v>1.4925806146238503</v>
      </c>
      <c r="H8" s="2" t="s">
        <v>95</v>
      </c>
      <c r="N8" s="31"/>
      <c r="Z8" s="31"/>
      <c r="AX8" s="267"/>
    </row>
    <row r="9" spans="1:73" ht="16.5" thickTop="1" thickBot="1" x14ac:dyDescent="0.3">
      <c r="B9" s="54">
        <f t="shared" ref="B9:F9" si="0">SUM(B4:B8)</f>
        <v>0</v>
      </c>
      <c r="C9" s="54">
        <f t="shared" si="0"/>
        <v>1702.8266487025267</v>
      </c>
      <c r="D9" s="54">
        <f t="shared" si="0"/>
        <v>1702.8266487025267</v>
      </c>
      <c r="E9" s="54">
        <f t="shared" si="0"/>
        <v>7.0110254563475962</v>
      </c>
      <c r="F9" s="54">
        <f t="shared" si="0"/>
        <v>1709.8376741588743</v>
      </c>
      <c r="H9" s="2" t="s">
        <v>115</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67"/>
      <c r="AY9" s="31"/>
      <c r="AZ9" s="31"/>
      <c r="BA9" s="31"/>
      <c r="BB9" s="31"/>
      <c r="BC9" s="31"/>
      <c r="BD9" s="31"/>
      <c r="BE9" s="31"/>
      <c r="BF9" s="31"/>
      <c r="BG9" s="31"/>
      <c r="BH9" s="31"/>
      <c r="BI9" s="31"/>
      <c r="BJ9" s="31"/>
      <c r="BK9" s="31"/>
      <c r="BL9" s="31"/>
      <c r="BM9" s="31"/>
      <c r="BN9" s="31"/>
      <c r="BO9" s="31"/>
      <c r="BP9" s="31"/>
      <c r="BQ9" s="31"/>
      <c r="BR9" s="31"/>
      <c r="BS9" s="31"/>
    </row>
    <row r="10" spans="1:73" ht="16.5" thickTop="1" thickBot="1" x14ac:dyDescent="0.3">
      <c r="E10" s="198" t="s">
        <v>25</v>
      </c>
      <c r="F10" s="201">
        <f>E9-SUM(B39:D39)</f>
        <v>1.0254563475955436E-3</v>
      </c>
      <c r="N10" s="31"/>
      <c r="Z10" s="31"/>
      <c r="AY10" s="267"/>
    </row>
    <row r="11" spans="1:73" ht="15.75" thickTop="1" x14ac:dyDescent="0.25">
      <c r="B11" s="31"/>
      <c r="E11" s="3"/>
      <c r="F11" s="31"/>
    </row>
    <row r="12" spans="1:73" ht="15.75" thickBot="1" x14ac:dyDescent="0.3">
      <c r="B12" s="17"/>
      <c r="C12" s="17"/>
      <c r="D12" s="17"/>
      <c r="E12" s="17"/>
      <c r="F12" s="17"/>
      <c r="G12" s="17"/>
      <c r="H12" s="17"/>
      <c r="I12" s="17"/>
      <c r="J12" s="17"/>
      <c r="K12" s="17"/>
      <c r="L12" s="17"/>
      <c r="M12" s="17"/>
      <c r="N12" s="17"/>
      <c r="O12" s="17"/>
      <c r="P12" s="17"/>
      <c r="Q12" s="17"/>
      <c r="R12" s="17"/>
      <c r="S12" s="17"/>
      <c r="T12" s="17"/>
      <c r="U12" s="17"/>
      <c r="V12" s="17"/>
      <c r="W12" s="1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row>
    <row r="13" spans="1:73" ht="15.75" thickBot="1" x14ac:dyDescent="0.3">
      <c r="B13" s="323" t="s">
        <v>66</v>
      </c>
      <c r="C13" s="324"/>
      <c r="D13" s="325"/>
    </row>
    <row r="14" spans="1:73" x14ac:dyDescent="0.25">
      <c r="A14" t="s">
        <v>74</v>
      </c>
      <c r="B14" s="58">
        <v>45597</v>
      </c>
      <c r="C14" s="59">
        <f t="shared" ref="C14:D14" si="1">EDATE(B14,1)</f>
        <v>45627</v>
      </c>
      <c r="D14" s="60">
        <f t="shared" si="1"/>
        <v>45658</v>
      </c>
      <c r="F14" s="1"/>
      <c r="G14" s="1"/>
      <c r="H14" s="1"/>
      <c r="I14" s="1"/>
      <c r="J14" s="1"/>
      <c r="K14" s="1"/>
      <c r="L14" s="1"/>
      <c r="M14" s="1"/>
      <c r="N14" s="1"/>
      <c r="O14" s="1"/>
    </row>
    <row r="15" spans="1:73" x14ac:dyDescent="0.25">
      <c r="A15" t="s">
        <v>0</v>
      </c>
      <c r="B15" s="93">
        <f>'[2]M4 Allocations - TD'!B31</f>
        <v>0</v>
      </c>
      <c r="C15" s="94">
        <f>'[2]M4 Allocations - TD'!C31</f>
        <v>0</v>
      </c>
      <c r="D15" s="95">
        <f>'[2]M4 Allocations - TD'!D31</f>
        <v>1676.0444770623374</v>
      </c>
    </row>
    <row r="16" spans="1:73" x14ac:dyDescent="0.25">
      <c r="A16" t="s">
        <v>4</v>
      </c>
      <c r="B16" s="93">
        <f>'[2]M4 Allocations - TD'!B32</f>
        <v>0</v>
      </c>
      <c r="C16" s="94">
        <f>'[2]M4 Allocations - TD'!C32</f>
        <v>0</v>
      </c>
      <c r="D16" s="95">
        <f>'[2]M4 Allocations - TD'!D32</f>
        <v>6.9103690592109759</v>
      </c>
    </row>
    <row r="17" spans="1:6" x14ac:dyDescent="0.25">
      <c r="A17" t="s">
        <v>5</v>
      </c>
      <c r="B17" s="93">
        <f>'[2]M4 Allocations - TD'!B33</f>
        <v>0</v>
      </c>
      <c r="C17" s="94">
        <f>'[2]M4 Allocations - TD'!C33</f>
        <v>0</v>
      </c>
      <c r="D17" s="95">
        <f>'[2]M4 Allocations - TD'!D33</f>
        <v>12.959999466356765</v>
      </c>
    </row>
    <row r="18" spans="1:6" x14ac:dyDescent="0.25">
      <c r="A18" t="s">
        <v>6</v>
      </c>
      <c r="B18" s="93">
        <f>'[2]M4 Allocations - TD'!B34</f>
        <v>0</v>
      </c>
      <c r="C18" s="94">
        <f>'[2]M4 Allocations - TD'!C34</f>
        <v>0</v>
      </c>
      <c r="D18" s="95">
        <f>'[2]M4 Allocations - TD'!D34</f>
        <v>5.425342683710296</v>
      </c>
    </row>
    <row r="19" spans="1:6" x14ac:dyDescent="0.25">
      <c r="A19" t="s">
        <v>7</v>
      </c>
      <c r="B19" s="93">
        <f>'[2]M4 Allocations - TD'!B35</f>
        <v>0</v>
      </c>
      <c r="C19" s="94">
        <f>'[2]M4 Allocations - TD'!C35</f>
        <v>0</v>
      </c>
      <c r="D19" s="95">
        <f>'[2]M4 Allocations - TD'!D35</f>
        <v>1.4864604309111322</v>
      </c>
    </row>
    <row r="20" spans="1:6" x14ac:dyDescent="0.25">
      <c r="B20" s="66"/>
      <c r="C20" s="31"/>
      <c r="D20" s="67"/>
    </row>
    <row r="21" spans="1:6" x14ac:dyDescent="0.25">
      <c r="A21" t="s">
        <v>117</v>
      </c>
      <c r="B21" s="66"/>
      <c r="C21" s="31"/>
      <c r="D21" s="67"/>
      <c r="E21" t="s">
        <v>105</v>
      </c>
    </row>
    <row r="22" spans="1:6" x14ac:dyDescent="0.25">
      <c r="A22" t="s">
        <v>0</v>
      </c>
      <c r="B22" s="210">
        <f>+'PCR (M4)'!B28*'TDR (M4)'!$E$22+B36</f>
        <v>0</v>
      </c>
      <c r="C22" s="21">
        <f>+'PCR (M4)'!C28*'TDR (M4)'!$E$22+C36</f>
        <v>0</v>
      </c>
      <c r="D22" s="241">
        <f>+'PCR (M4)'!D28*'TDR (M4)'!$E$22+D36</f>
        <v>0</v>
      </c>
      <c r="E22" s="70">
        <v>0</v>
      </c>
      <c r="F22" s="3"/>
    </row>
    <row r="23" spans="1:6" x14ac:dyDescent="0.25">
      <c r="A23" t="s">
        <v>4</v>
      </c>
      <c r="B23" s="210">
        <f>+'PCR (M4)'!B29*'TDR (M4)'!$E$23</f>
        <v>0</v>
      </c>
      <c r="C23" s="21">
        <f>+'PCR (M4)'!C29*'TDR (M4)'!$E$23</f>
        <v>0</v>
      </c>
      <c r="D23" s="241">
        <f>+'PCR (M4)'!D29*'TDR (M4)'!$E$23</f>
        <v>0</v>
      </c>
      <c r="E23" s="70">
        <v>0</v>
      </c>
      <c r="F23" s="3"/>
    </row>
    <row r="24" spans="1:6" x14ac:dyDescent="0.25">
      <c r="A24" t="s">
        <v>5</v>
      </c>
      <c r="B24" s="210">
        <f>+'PCR (M4)'!B30*'TDR (M4)'!$E$24</f>
        <v>0</v>
      </c>
      <c r="C24" s="21">
        <f>+'PCR (M4)'!C30*'TDR (M4)'!$E$24</f>
        <v>0</v>
      </c>
      <c r="D24" s="241">
        <f>+'PCR (M4)'!D30*'TDR (M4)'!$E$24</f>
        <v>0</v>
      </c>
      <c r="E24" s="70">
        <v>0</v>
      </c>
      <c r="F24" s="3"/>
    </row>
    <row r="25" spans="1:6" x14ac:dyDescent="0.25">
      <c r="A25" t="s">
        <v>6</v>
      </c>
      <c r="B25" s="210">
        <f>+'PCR (M4)'!B31*'TDR (M4)'!$E$25</f>
        <v>0</v>
      </c>
      <c r="C25" s="21">
        <f>+'PCR (M4)'!C31*'TDR (M4)'!$E$25</f>
        <v>0</v>
      </c>
      <c r="D25" s="241">
        <f>+'PCR (M4)'!D31*'TDR (M4)'!$E$25</f>
        <v>0</v>
      </c>
      <c r="E25" s="70">
        <v>0</v>
      </c>
      <c r="F25" s="3"/>
    </row>
    <row r="26" spans="1:6" x14ac:dyDescent="0.25">
      <c r="A26" t="s">
        <v>7</v>
      </c>
      <c r="B26" s="210">
        <f>+'PCR (M4)'!B32*'TDR (M4)'!$E$26</f>
        <v>0</v>
      </c>
      <c r="C26" s="21">
        <f>+'PCR (M4)'!C32*'TDR (M4)'!$E$26</f>
        <v>0</v>
      </c>
      <c r="D26" s="241">
        <f>+'PCR (M4)'!D32*'TDR (M4)'!$E$26</f>
        <v>0</v>
      </c>
      <c r="E26" s="70">
        <v>0</v>
      </c>
      <c r="F26" s="3"/>
    </row>
    <row r="27" spans="1:6" x14ac:dyDescent="0.25">
      <c r="B27" s="71"/>
      <c r="C27" s="3"/>
      <c r="D27" s="67"/>
      <c r="F27" s="3"/>
    </row>
    <row r="28" spans="1:6" x14ac:dyDescent="0.25">
      <c r="A28" t="s">
        <v>100</v>
      </c>
      <c r="B28" s="71"/>
      <c r="C28" s="3"/>
      <c r="D28" s="67"/>
    </row>
    <row r="29" spans="1:6" x14ac:dyDescent="0.25">
      <c r="A29" t="s">
        <v>0</v>
      </c>
      <c r="B29" s="232">
        <f>+(B22-B36)+(B36*'PCR (M4)'!B28/SUM('PCR (M4)'!B28:B32))</f>
        <v>0</v>
      </c>
      <c r="C29" s="206">
        <f>+(C22-C36)+(C36*'PCR (M4)'!C28/SUM('PCR (M4)'!C28:C32))</f>
        <v>0</v>
      </c>
      <c r="D29" s="209">
        <f>+(D22-D36)+(D36*'PCR (M4)'!D28/SUM('PCR (M4)'!D28:D32))</f>
        <v>0</v>
      </c>
      <c r="E29" s="260"/>
    </row>
    <row r="30" spans="1:6" x14ac:dyDescent="0.25">
      <c r="A30" t="s">
        <v>4</v>
      </c>
      <c r="B30" s="232">
        <f>+B23+(B36*'PCR (M4)'!B29/SUM('PCR (M4)'!B28:B32))</f>
        <v>0</v>
      </c>
      <c r="C30" s="206">
        <f>+C23+(C36*'PCR (M4)'!C29/SUM('PCR (M4)'!C28:C32))</f>
        <v>0</v>
      </c>
      <c r="D30" s="209">
        <f>+D23+(D36*'PCR (M4)'!D29/SUM('PCR (M4)'!D28:D32))</f>
        <v>0</v>
      </c>
      <c r="E30" s="260"/>
    </row>
    <row r="31" spans="1:6" x14ac:dyDescent="0.25">
      <c r="A31" t="s">
        <v>5</v>
      </c>
      <c r="B31" s="232">
        <f>+B24+(B36*'PCR (M4)'!B30/SUM('PCR (M4)'!B28:B32))</f>
        <v>0</v>
      </c>
      <c r="C31" s="206">
        <f>+C24+(C36*'PCR (M4)'!C30/SUM('PCR (M4)'!C28:C32))</f>
        <v>0</v>
      </c>
      <c r="D31" s="209">
        <f>+D24+(D36*'PCR (M4)'!D30/SUM('PCR (M4)'!D28:D32))</f>
        <v>0</v>
      </c>
      <c r="E31" s="260"/>
    </row>
    <row r="32" spans="1:6" x14ac:dyDescent="0.25">
      <c r="A32" t="s">
        <v>6</v>
      </c>
      <c r="B32" s="232">
        <f>+B25+(B36*'PCR (M4)'!B31/SUM('PCR (M4)'!B28:B32))</f>
        <v>0</v>
      </c>
      <c r="C32" s="206">
        <f>+C25+(C36*'PCR (M4)'!C31/SUM('PCR (M4)'!C28:C32))</f>
        <v>0</v>
      </c>
      <c r="D32" s="209">
        <f>+D25+(D36*'PCR (M4)'!D31/SUM('PCR (M4)'!D28:D32))</f>
        <v>0</v>
      </c>
      <c r="E32" s="260"/>
    </row>
    <row r="33" spans="1:6" x14ac:dyDescent="0.25">
      <c r="A33" t="s">
        <v>7</v>
      </c>
      <c r="B33" s="232">
        <f>+B26+(B36*'PCR (M4)'!B32/SUM('PCR (M4)'!B28:B32))</f>
        <v>0</v>
      </c>
      <c r="C33" s="206">
        <f>+C26+(C36*'PCR (M4)'!C32/SUM('PCR (M4)'!C28:C32))</f>
        <v>0</v>
      </c>
      <c r="D33" s="209">
        <f>+D26+(D36*'PCR (M4)'!D32/SUM('PCR (M4)'!D28:D32))</f>
        <v>0</v>
      </c>
      <c r="E33" s="260"/>
    </row>
    <row r="34" spans="1:6" x14ac:dyDescent="0.25">
      <c r="B34" s="65"/>
      <c r="D34" s="67"/>
    </row>
    <row r="35" spans="1:6" x14ac:dyDescent="0.25">
      <c r="A35" t="s">
        <v>104</v>
      </c>
      <c r="B35" s="65"/>
      <c r="D35" s="67"/>
    </row>
    <row r="36" spans="1:6" x14ac:dyDescent="0.25">
      <c r="A36" t="str">
        <f>A22</f>
        <v>RES</v>
      </c>
      <c r="B36" s="72">
        <f>-('PCR (M4)'!B28*'TDR (M4)'!$E$22*PPC!$B$14)</f>
        <v>0</v>
      </c>
      <c r="C36" s="206">
        <f>-('PCR (M4)'!C28*'TDR (M4)'!$E$22*PPC!$B$14)</f>
        <v>0</v>
      </c>
      <c r="D36" s="209">
        <f>-('PCR (M4)'!D28*'TDR (M4)'!$E$22*PPC!$B$14)</f>
        <v>0</v>
      </c>
    </row>
    <row r="37" spans="1:6" x14ac:dyDescent="0.25">
      <c r="B37" s="71"/>
      <c r="C37" s="3"/>
      <c r="D37" s="67"/>
      <c r="F37" s="3"/>
    </row>
    <row r="38" spans="1:6" x14ac:dyDescent="0.25">
      <c r="B38" s="71"/>
      <c r="C38" s="3"/>
      <c r="D38" s="269"/>
      <c r="E38" s="3"/>
    </row>
    <row r="39" spans="1:6" ht="15.75" thickBot="1" x14ac:dyDescent="0.3">
      <c r="A39" t="s">
        <v>87</v>
      </c>
      <c r="B39" s="150">
        <f>'[2]MEEIA 4 calcs'!$C$21</f>
        <v>0</v>
      </c>
      <c r="C39" s="151">
        <f>'[2]MEEIA 4 calcs'!$D$21</f>
        <v>0</v>
      </c>
      <c r="D39" s="103">
        <f>'[2]MEEIA 4 calcs'!$E$21</f>
        <v>7.0100000000000007</v>
      </c>
    </row>
    <row r="40" spans="1:6" x14ac:dyDescent="0.25">
      <c r="B40" s="110"/>
      <c r="C40" s="79"/>
      <c r="D40" s="80"/>
    </row>
    <row r="41" spans="1:6" x14ac:dyDescent="0.25">
      <c r="A41" t="s">
        <v>68</v>
      </c>
      <c r="B41" s="65"/>
      <c r="D41" s="67"/>
    </row>
    <row r="42" spans="1:6" x14ac:dyDescent="0.25">
      <c r="A42" t="s">
        <v>0</v>
      </c>
      <c r="B42" s="72">
        <f>B15-B29</f>
        <v>0</v>
      </c>
      <c r="C42" s="21">
        <f t="shared" ref="B42:D46" si="2">C15-C29</f>
        <v>0</v>
      </c>
      <c r="D42" s="75">
        <f t="shared" si="2"/>
        <v>1676.0444770623374</v>
      </c>
    </row>
    <row r="43" spans="1:6" x14ac:dyDescent="0.25">
      <c r="A43" t="s">
        <v>4</v>
      </c>
      <c r="B43" s="72">
        <f t="shared" si="2"/>
        <v>0</v>
      </c>
      <c r="C43" s="21">
        <f t="shared" si="2"/>
        <v>0</v>
      </c>
      <c r="D43" s="75">
        <f t="shared" si="2"/>
        <v>6.9103690592109759</v>
      </c>
    </row>
    <row r="44" spans="1:6" x14ac:dyDescent="0.25">
      <c r="A44" t="s">
        <v>5</v>
      </c>
      <c r="B44" s="72">
        <f t="shared" si="2"/>
        <v>0</v>
      </c>
      <c r="C44" s="21">
        <f t="shared" si="2"/>
        <v>0</v>
      </c>
      <c r="D44" s="75">
        <f t="shared" si="2"/>
        <v>12.959999466356765</v>
      </c>
    </row>
    <row r="45" spans="1:6" x14ac:dyDescent="0.25">
      <c r="A45" t="s">
        <v>6</v>
      </c>
      <c r="B45" s="72">
        <f t="shared" si="2"/>
        <v>0</v>
      </c>
      <c r="C45" s="21">
        <f t="shared" si="2"/>
        <v>0</v>
      </c>
      <c r="D45" s="75">
        <f t="shared" si="2"/>
        <v>5.425342683710296</v>
      </c>
    </row>
    <row r="46" spans="1:6" x14ac:dyDescent="0.25">
      <c r="A46" t="s">
        <v>7</v>
      </c>
      <c r="B46" s="72">
        <f t="shared" si="2"/>
        <v>0</v>
      </c>
      <c r="C46" s="21">
        <f t="shared" si="2"/>
        <v>0</v>
      </c>
      <c r="D46" s="75">
        <f t="shared" si="2"/>
        <v>1.4864604309111322</v>
      </c>
    </row>
    <row r="47" spans="1:6" x14ac:dyDescent="0.25">
      <c r="B47" s="65"/>
      <c r="D47" s="67"/>
    </row>
    <row r="48" spans="1:6" x14ac:dyDescent="0.25">
      <c r="A48" t="s">
        <v>69</v>
      </c>
      <c r="B48" s="65"/>
      <c r="D48" s="67"/>
    </row>
    <row r="49" spans="1:4" x14ac:dyDescent="0.25">
      <c r="A49" t="s">
        <v>0</v>
      </c>
      <c r="B49" s="210">
        <f>+B42</f>
        <v>0</v>
      </c>
      <c r="C49" s="21">
        <f>B49+C42+B56</f>
        <v>0</v>
      </c>
      <c r="D49" s="241">
        <f t="shared" ref="D49" si="3">C49+D42+C56</f>
        <v>1676.0444770623374</v>
      </c>
    </row>
    <row r="50" spans="1:4" x14ac:dyDescent="0.25">
      <c r="A50" t="s">
        <v>4</v>
      </c>
      <c r="B50" s="210">
        <f>+B43</f>
        <v>0</v>
      </c>
      <c r="C50" s="21">
        <f t="shared" ref="C50:D53" si="4">B50+C43+B57</f>
        <v>0</v>
      </c>
      <c r="D50" s="241">
        <f t="shared" si="4"/>
        <v>6.9103690592109759</v>
      </c>
    </row>
    <row r="51" spans="1:4" x14ac:dyDescent="0.25">
      <c r="A51" t="s">
        <v>5</v>
      </c>
      <c r="B51" s="210">
        <f>+B44</f>
        <v>0</v>
      </c>
      <c r="C51" s="21">
        <f t="shared" si="4"/>
        <v>0</v>
      </c>
      <c r="D51" s="241">
        <f t="shared" si="4"/>
        <v>12.959999466356765</v>
      </c>
    </row>
    <row r="52" spans="1:4" x14ac:dyDescent="0.25">
      <c r="A52" t="s">
        <v>6</v>
      </c>
      <c r="B52" s="210">
        <f>+B45</f>
        <v>0</v>
      </c>
      <c r="C52" s="21">
        <f t="shared" si="4"/>
        <v>0</v>
      </c>
      <c r="D52" s="241">
        <f t="shared" si="4"/>
        <v>5.425342683710296</v>
      </c>
    </row>
    <row r="53" spans="1:4" x14ac:dyDescent="0.25">
      <c r="A53" t="s">
        <v>7</v>
      </c>
      <c r="B53" s="210">
        <f>+B46</f>
        <v>0</v>
      </c>
      <c r="C53" s="21">
        <f t="shared" si="4"/>
        <v>0</v>
      </c>
      <c r="D53" s="241">
        <f t="shared" si="4"/>
        <v>1.4864604309111322</v>
      </c>
    </row>
    <row r="54" spans="1:4" x14ac:dyDescent="0.25">
      <c r="B54" s="65"/>
      <c r="D54" s="67"/>
    </row>
    <row r="55" spans="1:4" x14ac:dyDescent="0.25">
      <c r="A55" t="s">
        <v>64</v>
      </c>
      <c r="B55" s="270">
        <f>'PCR (M3)'!BU67</f>
        <v>4.1172866666666667E-3</v>
      </c>
      <c r="C55" s="271">
        <f>B55</f>
        <v>4.1172866666666667E-3</v>
      </c>
      <c r="D55" s="272">
        <f>B55</f>
        <v>4.1172866666666667E-3</v>
      </c>
    </row>
    <row r="56" spans="1:4" x14ac:dyDescent="0.25">
      <c r="A56" t="s">
        <v>0</v>
      </c>
      <c r="B56" s="72">
        <f>((B49+B66)*B$55)-B66</f>
        <v>0</v>
      </c>
      <c r="C56" s="21">
        <f t="shared" ref="C56:D60" si="5">C49*C$55</f>
        <v>0</v>
      </c>
      <c r="D56" s="75">
        <f t="shared" si="5"/>
        <v>6.9007555781490675</v>
      </c>
    </row>
    <row r="57" spans="1:4" x14ac:dyDescent="0.25">
      <c r="A57" t="s">
        <v>4</v>
      </c>
      <c r="B57" s="72">
        <f>((B50+B67)*B$55)-B67</f>
        <v>0</v>
      </c>
      <c r="C57" s="21">
        <f t="shared" si="5"/>
        <v>0</v>
      </c>
      <c r="D57" s="75">
        <f t="shared" si="5"/>
        <v>2.8451970389235227E-2</v>
      </c>
    </row>
    <row r="58" spans="1:4" x14ac:dyDescent="0.25">
      <c r="A58" t="s">
        <v>5</v>
      </c>
      <c r="B58" s="72">
        <f t="shared" ref="B58:B60" si="6">((B51+B68)*B$55)-B68</f>
        <v>0</v>
      </c>
      <c r="C58" s="21">
        <f t="shared" si="5"/>
        <v>0</v>
      </c>
      <c r="D58" s="75">
        <f t="shared" si="5"/>
        <v>5.3360033002837821E-2</v>
      </c>
    </row>
    <row r="59" spans="1:4" x14ac:dyDescent="0.25">
      <c r="A59" t="s">
        <v>6</v>
      </c>
      <c r="B59" s="72">
        <f t="shared" si="6"/>
        <v>0</v>
      </c>
      <c r="C59" s="21">
        <f t="shared" si="5"/>
        <v>0</v>
      </c>
      <c r="D59" s="75">
        <f t="shared" si="5"/>
        <v>2.2337691093737951E-2</v>
      </c>
    </row>
    <row r="60" spans="1:4" ht="15.75" thickBot="1" x14ac:dyDescent="0.3">
      <c r="A60" t="s">
        <v>7</v>
      </c>
      <c r="B60" s="245">
        <f t="shared" si="6"/>
        <v>0</v>
      </c>
      <c r="C60" s="246">
        <f t="shared" si="5"/>
        <v>0</v>
      </c>
      <c r="D60" s="247">
        <f t="shared" si="5"/>
        <v>6.1201837127179927E-3</v>
      </c>
    </row>
    <row r="61" spans="1:4" ht="15.75" thickBot="1" x14ac:dyDescent="0.3">
      <c r="A61" s="84" t="s">
        <v>70</v>
      </c>
      <c r="B61" s="242">
        <f>SUM(B56:B60)+SUM(B49:B53)-B64</f>
        <v>0</v>
      </c>
      <c r="C61" s="243">
        <f>SUM(C56:C60)+SUM(C49:C53)-C64</f>
        <v>0</v>
      </c>
      <c r="D61" s="244">
        <f>SUM(D56:D60)+SUM(D49:D53)-D64</f>
        <v>0</v>
      </c>
    </row>
    <row r="62" spans="1:4" ht="16.5" thickTop="1" thickBot="1" x14ac:dyDescent="0.3">
      <c r="A62" s="84" t="s">
        <v>71</v>
      </c>
      <c r="B62" s="87">
        <f>SUM(B56:B60)-B39</f>
        <v>0</v>
      </c>
      <c r="C62" s="54">
        <f>SUM(C56:C60)-C39</f>
        <v>0</v>
      </c>
      <c r="D62" s="88">
        <f>SUM(D56:D60)-D39</f>
        <v>1.0254563475955436E-3</v>
      </c>
    </row>
    <row r="63" spans="1:4" ht="15.75" thickTop="1" x14ac:dyDescent="0.25">
      <c r="B63" s="65"/>
      <c r="D63" s="67"/>
    </row>
    <row r="64" spans="1:4" x14ac:dyDescent="0.25">
      <c r="A64" t="s">
        <v>72</v>
      </c>
      <c r="B64" s="210">
        <f>(SUM(B15:B19)-SUM(B22:B26))+SUM(B56:B60)</f>
        <v>0</v>
      </c>
      <c r="C64" s="206">
        <f>(SUM(C15:C19)-SUM(C22:C26))+SUM(C56:C60)+B64</f>
        <v>0</v>
      </c>
      <c r="D64" s="209">
        <f t="shared" ref="D64" si="7">(SUM(D15:D19)-SUM(D22:D26))+SUM(D56:D60)+C64</f>
        <v>1709.8376741588743</v>
      </c>
    </row>
    <row r="65" spans="1:74" x14ac:dyDescent="0.25">
      <c r="B65" s="65"/>
      <c r="D65" s="67"/>
    </row>
    <row r="66" spans="1:74" x14ac:dyDescent="0.25">
      <c r="A66" s="136" t="s">
        <v>0</v>
      </c>
      <c r="B66" s="214"/>
      <c r="D66" s="67"/>
    </row>
    <row r="67" spans="1:74" x14ac:dyDescent="0.25">
      <c r="A67" s="136" t="s">
        <v>4</v>
      </c>
      <c r="B67" s="214"/>
      <c r="D67" s="67"/>
    </row>
    <row r="68" spans="1:74" x14ac:dyDescent="0.25">
      <c r="A68" s="136" t="s">
        <v>5</v>
      </c>
      <c r="B68" s="214"/>
      <c r="D68" s="67"/>
    </row>
    <row r="69" spans="1:74" x14ac:dyDescent="0.25">
      <c r="A69" s="136" t="s">
        <v>6</v>
      </c>
      <c r="B69" s="214"/>
      <c r="D69" s="67"/>
    </row>
    <row r="70" spans="1:74" ht="15.75" thickBot="1" x14ac:dyDescent="0.3">
      <c r="A70" s="136" t="s">
        <v>7</v>
      </c>
      <c r="B70" s="215"/>
      <c r="C70" s="90"/>
      <c r="D70" s="91"/>
    </row>
    <row r="72" spans="1:74" x14ac:dyDescent="0.25">
      <c r="A72" s="230"/>
      <c r="B72" s="31"/>
      <c r="C72" s="31"/>
      <c r="D72" s="31"/>
    </row>
    <row r="73" spans="1:74" x14ac:dyDescent="0.25">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row>
    <row r="75" spans="1:74" x14ac:dyDescent="0.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row>
  </sheetData>
  <mergeCells count="1">
    <mergeCell ref="B13:D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sheetPr>
  <dimension ref="A1:L37"/>
  <sheetViews>
    <sheetView workbookViewId="0">
      <selection activeCell="B13" sqref="B13"/>
    </sheetView>
  </sheetViews>
  <sheetFormatPr defaultColWidth="9.140625" defaultRowHeight="15" x14ac:dyDescent="0.25"/>
  <cols>
    <col min="1" max="1" width="24.28515625" customWidth="1"/>
    <col min="2" max="2" width="25" customWidth="1"/>
    <col min="3" max="4" width="17.28515625" customWidth="1"/>
    <col min="5" max="5" width="9.28515625" customWidth="1"/>
    <col min="6" max="6" width="25.5703125" bestFit="1" customWidth="1"/>
    <col min="7" max="7" width="12" customWidth="1"/>
    <col min="8" max="8" width="17.5703125" customWidth="1"/>
    <col min="9" max="9" width="16.85546875" bestFit="1" customWidth="1"/>
    <col min="10" max="10" width="14" customWidth="1"/>
    <col min="11" max="11" width="9.140625" customWidth="1"/>
  </cols>
  <sheetData>
    <row r="1" spans="1:12" x14ac:dyDescent="0.25">
      <c r="A1" s="6" t="s">
        <v>165</v>
      </c>
    </row>
    <row r="2" spans="1:12" x14ac:dyDescent="0.25">
      <c r="E2" s="19"/>
      <c r="F2" s="181"/>
      <c r="G2" s="181"/>
      <c r="H2" s="181"/>
    </row>
    <row r="3" spans="1:12" ht="15.75" thickBot="1" x14ac:dyDescent="0.3">
      <c r="B3" s="42" t="s">
        <v>166</v>
      </c>
      <c r="C3" s="42"/>
      <c r="D3" s="42"/>
      <c r="F3" s="190"/>
    </row>
    <row r="4" spans="1:12" ht="15.75" thickBot="1" x14ac:dyDescent="0.3">
      <c r="E4" s="327" t="s">
        <v>8</v>
      </c>
      <c r="F4" s="328"/>
      <c r="G4" s="328"/>
      <c r="H4" s="329"/>
      <c r="L4" s="2" t="s">
        <v>26</v>
      </c>
    </row>
    <row r="5" spans="1:12" x14ac:dyDescent="0.25">
      <c r="A5" s="19" t="s">
        <v>169</v>
      </c>
      <c r="B5" s="29">
        <f>[1]EO.1!$F$41</f>
        <v>4073.1120319161564</v>
      </c>
      <c r="C5" t="s">
        <v>9</v>
      </c>
      <c r="E5" s="110"/>
      <c r="F5" s="115" t="s">
        <v>150</v>
      </c>
      <c r="G5" s="115" t="s">
        <v>151</v>
      </c>
      <c r="H5" s="116" t="s">
        <v>152</v>
      </c>
      <c r="L5" s="195" t="s">
        <v>168</v>
      </c>
    </row>
    <row r="6" spans="1:12" x14ac:dyDescent="0.25">
      <c r="A6" s="19"/>
      <c r="B6" s="31"/>
      <c r="C6" s="3"/>
      <c r="D6" s="3"/>
      <c r="E6" s="111" t="s">
        <v>0</v>
      </c>
      <c r="F6" s="107">
        <f>[1]EO.2!B5</f>
        <v>11040509151.5189</v>
      </c>
      <c r="G6" s="113">
        <f>+F6/$F$11</f>
        <v>0.44057379639172634</v>
      </c>
      <c r="H6" s="22">
        <f>+$B$5*G6</f>
        <v>1794.5064310301195</v>
      </c>
      <c r="L6" s="2" t="s">
        <v>162</v>
      </c>
    </row>
    <row r="7" spans="1:12" x14ac:dyDescent="0.25">
      <c r="A7" s="19"/>
      <c r="B7" s="33"/>
      <c r="E7" s="111" t="s">
        <v>4</v>
      </c>
      <c r="F7" s="107">
        <f>[1]EO.2!B6</f>
        <v>3194596149</v>
      </c>
      <c r="G7" s="113">
        <f t="shared" ref="G7:G10" si="0">+F7/$F$11</f>
        <v>0.12748101867291947</v>
      </c>
      <c r="H7" s="22">
        <f t="shared" ref="H7:H10" si="1">+$B$5*G7</f>
        <v>519.24447099759652</v>
      </c>
      <c r="L7" s="195" t="s">
        <v>178</v>
      </c>
    </row>
    <row r="8" spans="1:12" x14ac:dyDescent="0.25">
      <c r="A8" s="19"/>
      <c r="B8" s="33"/>
      <c r="E8" s="111" t="s">
        <v>5</v>
      </c>
      <c r="F8" s="107">
        <f>[1]EO.2!B7</f>
        <v>6842679309</v>
      </c>
      <c r="G8" s="113">
        <f t="shared" si="0"/>
        <v>0.27305853011701875</v>
      </c>
      <c r="H8" s="22">
        <f t="shared" si="1"/>
        <v>1112.1979844369691</v>
      </c>
      <c r="L8" s="2" t="s">
        <v>179</v>
      </c>
    </row>
    <row r="9" spans="1:12" x14ac:dyDescent="0.25">
      <c r="A9" s="19"/>
      <c r="B9" s="33"/>
      <c r="E9" s="111" t="s">
        <v>6</v>
      </c>
      <c r="F9" s="107">
        <f>[1]EO.2!B8</f>
        <v>2915868381</v>
      </c>
      <c r="G9" s="113">
        <f t="shared" si="0"/>
        <v>0.11635832956300118</v>
      </c>
      <c r="H9" s="22">
        <f t="shared" si="1"/>
        <v>473.9405121567255</v>
      </c>
      <c r="L9" s="2" t="s">
        <v>180</v>
      </c>
    </row>
    <row r="10" spans="1:12" ht="15.75" thickBot="1" x14ac:dyDescent="0.3">
      <c r="A10" s="19"/>
      <c r="B10" s="189"/>
      <c r="E10" s="111" t="s">
        <v>7</v>
      </c>
      <c r="F10" s="107">
        <f>[1]EO.2!B9</f>
        <v>1065733750</v>
      </c>
      <c r="G10" s="113">
        <f t="shared" si="0"/>
        <v>4.2528325255334329E-2</v>
      </c>
      <c r="H10" s="22">
        <f t="shared" si="1"/>
        <v>173.222633294746</v>
      </c>
      <c r="L10" s="2"/>
    </row>
    <row r="11" spans="1:12" ht="16.5" thickTop="1" thickBot="1" x14ac:dyDescent="0.3">
      <c r="B11" s="52" t="s">
        <v>175</v>
      </c>
      <c r="C11" s="52" t="s">
        <v>147</v>
      </c>
      <c r="D11" s="52"/>
      <c r="E11" s="89"/>
      <c r="F11" s="176">
        <f>SUM(F6:F10)</f>
        <v>25059386740.518898</v>
      </c>
      <c r="G11" s="182">
        <f>SUM(G6:G10)</f>
        <v>1</v>
      </c>
      <c r="H11" s="108">
        <f>SUM(H6:H10)</f>
        <v>4073.1120319161573</v>
      </c>
    </row>
    <row r="12" spans="1:12" x14ac:dyDescent="0.25">
      <c r="A12" s="19" t="s">
        <v>0</v>
      </c>
      <c r="B12" s="24">
        <f>'[1]PPC.1, PCR.2F, EO.5'!R27</f>
        <v>13123013582.390793</v>
      </c>
      <c r="C12" s="29">
        <f>+H6</f>
        <v>1794.5064310301195</v>
      </c>
      <c r="D12" s="197"/>
      <c r="E12" s="19"/>
      <c r="F12" s="126"/>
      <c r="G12" s="179"/>
      <c r="H12" s="126"/>
    </row>
    <row r="13" spans="1:12" x14ac:dyDescent="0.25">
      <c r="A13" s="19" t="s">
        <v>4</v>
      </c>
      <c r="B13" s="24">
        <f>'[1]PPC.1, PCR.2F, EO.5'!R28</f>
        <v>3189499539.3651609</v>
      </c>
      <c r="C13" s="29">
        <f t="shared" ref="C13:C16" si="2">+H7</f>
        <v>519.24447099759652</v>
      </c>
      <c r="D13" s="197"/>
      <c r="E13" s="19"/>
      <c r="F13" s="126"/>
      <c r="G13" s="126"/>
      <c r="H13" s="126"/>
    </row>
    <row r="14" spans="1:12" x14ac:dyDescent="0.25">
      <c r="A14" s="19" t="s">
        <v>5</v>
      </c>
      <c r="B14" s="24">
        <f>'[1]PPC.1, PCR.2F, EO.5'!R29</f>
        <v>6758129930.8800106</v>
      </c>
      <c r="C14" s="29">
        <f t="shared" si="2"/>
        <v>1112.1979844369691</v>
      </c>
      <c r="D14" s="197"/>
      <c r="E14" s="19"/>
      <c r="F14" s="126"/>
      <c r="G14" s="180"/>
      <c r="H14" s="126"/>
    </row>
    <row r="15" spans="1:12" x14ac:dyDescent="0.25">
      <c r="A15" s="19" t="s">
        <v>6</v>
      </c>
      <c r="B15" s="24">
        <f>'[1]PPC.1, PCR.2F, EO.5'!R30</f>
        <v>2873169676.4508505</v>
      </c>
      <c r="C15" s="29">
        <f t="shared" si="2"/>
        <v>473.9405121567255</v>
      </c>
      <c r="D15" s="197"/>
      <c r="E15" s="19"/>
      <c r="F15" s="126"/>
      <c r="G15" s="180"/>
      <c r="H15" s="126"/>
    </row>
    <row r="16" spans="1:12" x14ac:dyDescent="0.25">
      <c r="A16" s="19" t="s">
        <v>7</v>
      </c>
      <c r="B16" s="24">
        <f>'[1]PPC.1, PCR.2F, EO.5'!R31</f>
        <v>869932432.58731532</v>
      </c>
      <c r="C16" s="29">
        <f t="shared" si="2"/>
        <v>173.222633294746</v>
      </c>
      <c r="D16" s="197"/>
      <c r="E16" s="19"/>
      <c r="F16" s="126"/>
      <c r="G16" s="180"/>
      <c r="H16" s="126"/>
    </row>
    <row r="17" spans="1:8" ht="15.75" thickBot="1" x14ac:dyDescent="0.3">
      <c r="A17" s="19" t="s">
        <v>9</v>
      </c>
      <c r="B17" s="25">
        <f>SUM(B12:B16)</f>
        <v>26813745161.674129</v>
      </c>
      <c r="C17" s="21">
        <f>SUM(C12:C16)</f>
        <v>4073.1120319161573</v>
      </c>
      <c r="E17" s="19"/>
      <c r="F17" s="126"/>
      <c r="G17" s="180"/>
      <c r="H17" s="126"/>
    </row>
    <row r="18" spans="1:8" ht="16.5" thickTop="1" thickBot="1" x14ac:dyDescent="0.3">
      <c r="C18" s="18">
        <f>B5-C17</f>
        <v>0</v>
      </c>
      <c r="E18" s="160"/>
      <c r="F18" s="177"/>
      <c r="G18" s="178"/>
      <c r="H18" s="177"/>
    </row>
    <row r="19" spans="1:8" ht="15.75" thickTop="1" x14ac:dyDescent="0.25"/>
    <row r="20" spans="1:8" x14ac:dyDescent="0.25">
      <c r="A20" s="19"/>
      <c r="B20" s="33"/>
      <c r="F20" s="52"/>
      <c r="G20" s="52"/>
      <c r="H20" s="52"/>
    </row>
    <row r="21" spans="1:8" ht="15.75" thickBot="1" x14ac:dyDescent="0.3">
      <c r="B21" s="42" t="s">
        <v>167</v>
      </c>
      <c r="C21" s="42"/>
      <c r="D21" s="42"/>
      <c r="F21" s="190"/>
    </row>
    <row r="22" spans="1:8" ht="15.75" thickBot="1" x14ac:dyDescent="0.3">
      <c r="E22" s="327" t="s">
        <v>8</v>
      </c>
      <c r="F22" s="328"/>
      <c r="G22" s="328"/>
      <c r="H22" s="329"/>
    </row>
    <row r="23" spans="1:8" x14ac:dyDescent="0.25">
      <c r="A23" s="19" t="s">
        <v>176</v>
      </c>
      <c r="B23" s="29">
        <f>[1]EO.3!$H$41</f>
        <v>11298401.482485076</v>
      </c>
      <c r="C23" t="s">
        <v>9</v>
      </c>
      <c r="E23" s="110"/>
      <c r="F23" s="115" t="s">
        <v>177</v>
      </c>
      <c r="G23" s="115" t="s">
        <v>151</v>
      </c>
      <c r="H23" s="116" t="s">
        <v>152</v>
      </c>
    </row>
    <row r="24" spans="1:8" x14ac:dyDescent="0.25">
      <c r="A24" s="19"/>
      <c r="B24" s="31"/>
      <c r="C24" s="3"/>
      <c r="D24" s="3"/>
      <c r="E24" s="111" t="s">
        <v>0</v>
      </c>
      <c r="F24" s="107">
        <f>[1]EO.4!B5</f>
        <v>12946083609.424</v>
      </c>
      <c r="G24" s="113">
        <f>+F24/$F$29</f>
        <v>0.48010762982965649</v>
      </c>
      <c r="H24" s="22">
        <f>+$B$23*G24</f>
        <v>5424448.7566197868</v>
      </c>
    </row>
    <row r="25" spans="1:8" x14ac:dyDescent="0.25">
      <c r="A25" s="19"/>
      <c r="B25" s="33"/>
      <c r="E25" s="111" t="s">
        <v>4</v>
      </c>
      <c r="F25" s="107">
        <f>[1]EO.4!B6</f>
        <v>3194596149</v>
      </c>
      <c r="G25" s="113">
        <f>+F25/$F$29</f>
        <v>0.11847212111644767</v>
      </c>
      <c r="H25" s="22">
        <f t="shared" ref="H25:H28" si="3">+$B$23*G25</f>
        <v>1338545.588855224</v>
      </c>
    </row>
    <row r="26" spans="1:8" x14ac:dyDescent="0.25">
      <c r="A26" s="19"/>
      <c r="B26" s="33"/>
      <c r="E26" s="111" t="s">
        <v>5</v>
      </c>
      <c r="F26" s="107">
        <f>[1]EO.4!B7</f>
        <v>6842679309</v>
      </c>
      <c r="G26" s="113">
        <f>+F26/$F$29</f>
        <v>0.25376188226816099</v>
      </c>
      <c r="H26" s="22">
        <f t="shared" si="3"/>
        <v>2867103.6268167933</v>
      </c>
    </row>
    <row r="27" spans="1:8" x14ac:dyDescent="0.25">
      <c r="A27" s="19"/>
      <c r="B27" s="33"/>
      <c r="E27" s="111" t="s">
        <v>6</v>
      </c>
      <c r="F27" s="107">
        <f>[1]EO.4!B8</f>
        <v>2915868381</v>
      </c>
      <c r="G27" s="113">
        <f>+F27/$F$29</f>
        <v>0.108135456214579</v>
      </c>
      <c r="H27" s="22">
        <f t="shared" si="3"/>
        <v>1221757.7988039993</v>
      </c>
    </row>
    <row r="28" spans="1:8" ht="15.75" thickBot="1" x14ac:dyDescent="0.3">
      <c r="A28" s="19"/>
      <c r="B28" s="189"/>
      <c r="E28" s="111" t="s">
        <v>7</v>
      </c>
      <c r="F28" s="107">
        <f>[1]EO.4!B9</f>
        <v>1065733750</v>
      </c>
      <c r="G28" s="113">
        <f>+F28/$F$29</f>
        <v>3.9522910571155881E-2</v>
      </c>
      <c r="H28" s="22">
        <f t="shared" si="3"/>
        <v>446545.71138927271</v>
      </c>
    </row>
    <row r="29" spans="1:8" ht="16.5" thickTop="1" thickBot="1" x14ac:dyDescent="0.3">
      <c r="B29" s="52" t="s">
        <v>175</v>
      </c>
      <c r="C29" s="52" t="s">
        <v>147</v>
      </c>
      <c r="D29" s="52"/>
      <c r="E29" s="89"/>
      <c r="F29" s="176">
        <f>SUM(F24:F28)</f>
        <v>26964961198.424</v>
      </c>
      <c r="G29" s="182">
        <f>SUM(G24:G28)</f>
        <v>1</v>
      </c>
      <c r="H29" s="108">
        <f>SUM(H24:H28)</f>
        <v>11298401.482485078</v>
      </c>
    </row>
    <row r="30" spans="1:8" x14ac:dyDescent="0.25">
      <c r="A30" s="19" t="s">
        <v>0</v>
      </c>
      <c r="B30" s="24">
        <f>'[1]PPC.1, PCR.2F, EO.5'!R27</f>
        <v>13123013582.390793</v>
      </c>
      <c r="C30" s="29">
        <f>+H24</f>
        <v>5424448.7566197868</v>
      </c>
      <c r="D30" s="197"/>
      <c r="E30" s="19"/>
      <c r="F30" s="126"/>
      <c r="G30" s="179"/>
      <c r="H30" s="126"/>
    </row>
    <row r="31" spans="1:8" x14ac:dyDescent="0.25">
      <c r="A31" s="19" t="s">
        <v>4</v>
      </c>
      <c r="B31" s="24">
        <f>'[1]PPC.1, PCR.2F, EO.5'!R28</f>
        <v>3189499539.3651609</v>
      </c>
      <c r="C31" s="29">
        <f t="shared" ref="C31:C34" si="4">+H25</f>
        <v>1338545.588855224</v>
      </c>
      <c r="D31" s="197"/>
      <c r="E31" s="19"/>
      <c r="F31" s="126"/>
      <c r="G31" s="126"/>
      <c r="H31" s="126"/>
    </row>
    <row r="32" spans="1:8" x14ac:dyDescent="0.25">
      <c r="A32" s="19" t="s">
        <v>5</v>
      </c>
      <c r="B32" s="24">
        <f>'[1]PPC.1, PCR.2F, EO.5'!R29</f>
        <v>6758129930.8800106</v>
      </c>
      <c r="C32" s="29">
        <f t="shared" si="4"/>
        <v>2867103.6268167933</v>
      </c>
      <c r="D32" s="197"/>
      <c r="E32" s="19"/>
      <c r="F32" s="126"/>
      <c r="G32" s="180"/>
      <c r="H32" s="126"/>
    </row>
    <row r="33" spans="1:8" x14ac:dyDescent="0.25">
      <c r="A33" s="19" t="s">
        <v>6</v>
      </c>
      <c r="B33" s="24">
        <f>'[1]PPC.1, PCR.2F, EO.5'!R30</f>
        <v>2873169676.4508505</v>
      </c>
      <c r="C33" s="29">
        <f t="shared" si="4"/>
        <v>1221757.7988039993</v>
      </c>
      <c r="D33" s="197"/>
      <c r="E33" s="19"/>
      <c r="F33" s="126"/>
      <c r="G33" s="180"/>
      <c r="H33" s="126"/>
    </row>
    <row r="34" spans="1:8" x14ac:dyDescent="0.25">
      <c r="A34" s="19" t="s">
        <v>7</v>
      </c>
      <c r="B34" s="24">
        <f>'[1]PPC.1, PCR.2F, EO.5'!R31</f>
        <v>869932432.58731532</v>
      </c>
      <c r="C34" s="29">
        <f t="shared" si="4"/>
        <v>446545.71138927271</v>
      </c>
      <c r="D34" s="197"/>
      <c r="E34" s="19"/>
      <c r="F34" s="126"/>
      <c r="G34" s="180"/>
      <c r="H34" s="126"/>
    </row>
    <row r="35" spans="1:8" ht="15.75" thickBot="1" x14ac:dyDescent="0.3">
      <c r="A35" s="19" t="s">
        <v>9</v>
      </c>
      <c r="B35" s="25">
        <f>SUM(B30:B34)</f>
        <v>26813745161.674129</v>
      </c>
      <c r="C35" s="21">
        <f>SUM(C30:C34)</f>
        <v>11298401.482485078</v>
      </c>
      <c r="E35" s="19"/>
      <c r="F35" s="126"/>
      <c r="G35" s="180"/>
      <c r="H35" s="126"/>
    </row>
    <row r="36" spans="1:8" ht="16.5" thickTop="1" thickBot="1" x14ac:dyDescent="0.3">
      <c r="C36" s="18">
        <f>B23-C35</f>
        <v>0</v>
      </c>
      <c r="E36" s="160"/>
      <c r="F36" s="177"/>
      <c r="G36" s="178"/>
      <c r="H36" s="177"/>
    </row>
    <row r="37" spans="1:8" ht="15.75" thickTop="1" x14ac:dyDescent="0.25"/>
  </sheetData>
  <mergeCells count="2">
    <mergeCell ref="E4:H4"/>
    <mergeCell ref="E22:H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CB7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BA22" sqref="BA22"/>
    </sheetView>
  </sheetViews>
  <sheetFormatPr defaultColWidth="9.140625" defaultRowHeight="15" x14ac:dyDescent="0.25"/>
  <cols>
    <col min="1" max="1" width="30.7109375" customWidth="1"/>
    <col min="2" max="2" width="17.5703125" customWidth="1"/>
    <col min="3" max="47" width="18" customWidth="1"/>
    <col min="48" max="48" width="16.42578125" customWidth="1"/>
    <col min="49" max="49" width="15.140625" customWidth="1"/>
    <col min="50" max="50" width="16.140625" customWidth="1"/>
    <col min="51" max="51" width="15" bestFit="1" customWidth="1"/>
    <col min="52" max="52" width="16" customWidth="1"/>
    <col min="53" max="53" width="15" bestFit="1" customWidth="1"/>
    <col min="54" max="56" width="16" bestFit="1" customWidth="1"/>
    <col min="57" max="80" width="16" customWidth="1"/>
    <col min="81" max="81" width="16.42578125" customWidth="1"/>
    <col min="82" max="82" width="17.28515625" customWidth="1"/>
    <col min="83" max="83" width="16.85546875" customWidth="1"/>
    <col min="84" max="84" width="13.85546875" bestFit="1" customWidth="1"/>
    <col min="85" max="85" width="10.85546875" bestFit="1" customWidth="1"/>
    <col min="87" max="87" width="12.7109375" bestFit="1" customWidth="1"/>
  </cols>
  <sheetData>
    <row r="1" spans="1:57" x14ac:dyDescent="0.25">
      <c r="A1" t="s">
        <v>157</v>
      </c>
    </row>
    <row r="2" spans="1:57" x14ac:dyDescent="0.25">
      <c r="A2" s="190"/>
      <c r="B2" s="125" t="s">
        <v>136</v>
      </c>
      <c r="C2" s="125"/>
      <c r="D2" s="125"/>
      <c r="E2" s="125"/>
      <c r="F2" s="125"/>
      <c r="G2" s="125"/>
      <c r="H2" s="125"/>
      <c r="I2" s="2"/>
      <c r="J2" s="2" t="s">
        <v>26</v>
      </c>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BB2" s="2"/>
    </row>
    <row r="3" spans="1:57" x14ac:dyDescent="0.25">
      <c r="B3" s="52" t="s">
        <v>161</v>
      </c>
      <c r="C3" s="52" t="s">
        <v>63</v>
      </c>
      <c r="D3" s="52" t="s">
        <v>137</v>
      </c>
      <c r="E3" s="52" t="s">
        <v>90</v>
      </c>
      <c r="F3" s="52" t="s">
        <v>64</v>
      </c>
      <c r="G3" s="52" t="s">
        <v>138</v>
      </c>
      <c r="I3" s="2"/>
      <c r="J3" s="2" t="s">
        <v>141</v>
      </c>
      <c r="P3" s="249"/>
    </row>
    <row r="4" spans="1:57" x14ac:dyDescent="0.25">
      <c r="A4" t="s">
        <v>0</v>
      </c>
      <c r="B4" s="21">
        <f>+N65</f>
        <v>-363071.12653968332</v>
      </c>
      <c r="C4" s="21">
        <f>SUM(B29:AX29)</f>
        <v>17297409.006923974</v>
      </c>
      <c r="D4" s="21">
        <f>SUM(B15:AX15)</f>
        <v>17549768.43111996</v>
      </c>
      <c r="E4" s="21">
        <f>B4+D4-C4</f>
        <v>-110711.70234369859</v>
      </c>
      <c r="F4" s="21">
        <f>SUM(B55:AX55)</f>
        <v>-43865.827557391109</v>
      </c>
      <c r="G4" s="26">
        <f>E4+F4</f>
        <v>-154577.5299010897</v>
      </c>
      <c r="I4" s="2"/>
      <c r="J4" s="2" t="s">
        <v>142</v>
      </c>
      <c r="P4" s="249"/>
    </row>
    <row r="5" spans="1:57" x14ac:dyDescent="0.25">
      <c r="A5" t="s">
        <v>4</v>
      </c>
      <c r="B5" s="21">
        <f t="shared" ref="B5:B8" si="0">+N66</f>
        <v>-117439.07923907816</v>
      </c>
      <c r="C5" s="21">
        <f>SUM(B30:AX30)</f>
        <v>4283849.354851827</v>
      </c>
      <c r="D5" s="21">
        <f>SUM(B16:AX16)</f>
        <v>4418428.619791192</v>
      </c>
      <c r="E5" s="21">
        <f>B5+D5-C5</f>
        <v>17140.185700287111</v>
      </c>
      <c r="F5" s="21">
        <f>SUM(B56:AX56)</f>
        <v>-6385.1119306623195</v>
      </c>
      <c r="G5" s="26">
        <f>E5+F5</f>
        <v>10755.073769624792</v>
      </c>
      <c r="I5" s="2"/>
      <c r="J5" s="2" t="s">
        <v>143</v>
      </c>
      <c r="P5" s="249"/>
    </row>
    <row r="6" spans="1:57" x14ac:dyDescent="0.25">
      <c r="A6" t="s">
        <v>5</v>
      </c>
      <c r="B6" s="21">
        <f t="shared" si="0"/>
        <v>54252.690343894596</v>
      </c>
      <c r="C6" s="21">
        <f>SUM(B31:AX31)</f>
        <v>9609421.7226709872</v>
      </c>
      <c r="D6" s="21">
        <f>SUM(B17:AX17)</f>
        <v>9700312.8199784439</v>
      </c>
      <c r="E6" s="21">
        <f>B6+D6-C6</f>
        <v>145143.78765135072</v>
      </c>
      <c r="F6" s="21">
        <f>SUM(B57:AX57)</f>
        <v>5481.8431482957567</v>
      </c>
      <c r="G6" s="26">
        <f>E6+F6</f>
        <v>150625.63079964649</v>
      </c>
      <c r="I6" s="2"/>
      <c r="J6" s="2" t="s">
        <v>106</v>
      </c>
      <c r="P6" s="249"/>
      <c r="Z6" s="31"/>
    </row>
    <row r="7" spans="1:57" x14ac:dyDescent="0.25">
      <c r="A7" t="s">
        <v>6</v>
      </c>
      <c r="B7" s="21">
        <f t="shared" si="0"/>
        <v>73241.184886944175</v>
      </c>
      <c r="C7" s="21">
        <f>SUM(B32:AX32)</f>
        <v>4146139.000316631</v>
      </c>
      <c r="D7" s="21">
        <f>SUM(B18:AX18)</f>
        <v>4123556.5904143699</v>
      </c>
      <c r="E7" s="21">
        <f>B7+D7-C7</f>
        <v>50658.77498468291</v>
      </c>
      <c r="F7" s="21">
        <f>SUM(B58:AX58)</f>
        <v>1909.8619955219701</v>
      </c>
      <c r="G7" s="26">
        <f>E7+F7</f>
        <v>52568.636980204879</v>
      </c>
      <c r="I7" s="2"/>
      <c r="J7" s="2" t="s">
        <v>144</v>
      </c>
      <c r="P7" s="249"/>
    </row>
    <row r="8" spans="1:57" ht="15.75" thickBot="1" x14ac:dyDescent="0.3">
      <c r="A8" t="s">
        <v>7</v>
      </c>
      <c r="B8" s="21">
        <f t="shared" si="0"/>
        <v>200908.2229629503</v>
      </c>
      <c r="C8" s="21">
        <f>SUM(B33:AX33)</f>
        <v>1794487.1562043794</v>
      </c>
      <c r="D8" s="21">
        <f>SUM(B19:AX19)</f>
        <v>1638892.9991583736</v>
      </c>
      <c r="E8" s="21">
        <f>B8+D8-C8</f>
        <v>45314.065916944528</v>
      </c>
      <c r="F8" s="21">
        <f>SUM(B59:AX59)</f>
        <v>17544.568855782036</v>
      </c>
      <c r="G8" s="26">
        <f>E8+F8</f>
        <v>62858.634772726567</v>
      </c>
      <c r="I8" s="2"/>
      <c r="J8" s="2" t="s">
        <v>81</v>
      </c>
    </row>
    <row r="9" spans="1:57" ht="16.5" thickTop="1" thickBot="1" x14ac:dyDescent="0.3">
      <c r="B9" s="54">
        <f t="shared" ref="B9:G9" si="1">SUM(B4:B8)</f>
        <v>-152108.1075849724</v>
      </c>
      <c r="C9" s="54">
        <f t="shared" si="1"/>
        <v>37131306.240967803</v>
      </c>
      <c r="D9" s="54">
        <f t="shared" si="1"/>
        <v>37430959.460462339</v>
      </c>
      <c r="E9" s="54">
        <f>SUM(E4:E8)</f>
        <v>147545.11190956668</v>
      </c>
      <c r="F9" s="54">
        <f>SUM(F4:F8)</f>
        <v>-25314.665488453666</v>
      </c>
      <c r="G9" s="54">
        <f t="shared" si="1"/>
        <v>122230.44642111301</v>
      </c>
      <c r="I9" s="2"/>
      <c r="J9" s="2" t="s">
        <v>95</v>
      </c>
    </row>
    <row r="10" spans="1:57" ht="16.5" thickTop="1" thickBot="1" x14ac:dyDescent="0.3">
      <c r="E10" s="23" t="s">
        <v>25</v>
      </c>
      <c r="F10" s="18">
        <f>F9-SUM(B38:AX38)</f>
        <v>1.0944140049105044E-3</v>
      </c>
      <c r="I10" s="2"/>
      <c r="J10" s="2" t="s">
        <v>145</v>
      </c>
      <c r="AX10" s="23"/>
      <c r="AY10" s="158"/>
      <c r="BB10" s="2"/>
    </row>
    <row r="11" spans="1:57" ht="15.75" thickTop="1" x14ac:dyDescent="0.25">
      <c r="B11" s="31"/>
      <c r="AY11" s="3"/>
      <c r="BA11" s="2"/>
    </row>
    <row r="12" spans="1:57" ht="15.75" thickBo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1"/>
      <c r="AW12" s="31"/>
    </row>
    <row r="13" spans="1:57" ht="15.75" thickBot="1" x14ac:dyDescent="0.3">
      <c r="B13" s="110"/>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330" t="s">
        <v>66</v>
      </c>
      <c r="AW13" s="331"/>
      <c r="AX13" s="332"/>
    </row>
    <row r="14" spans="1:57" x14ac:dyDescent="0.25">
      <c r="A14" t="s">
        <v>139</v>
      </c>
      <c r="B14" s="58">
        <v>44197</v>
      </c>
      <c r="C14" s="59">
        <v>44228</v>
      </c>
      <c r="D14" s="59">
        <v>44256</v>
      </c>
      <c r="E14" s="59">
        <v>44287</v>
      </c>
      <c r="F14" s="59">
        <v>44317</v>
      </c>
      <c r="G14" s="59">
        <v>44348</v>
      </c>
      <c r="H14" s="59">
        <v>44378</v>
      </c>
      <c r="I14" s="59">
        <v>44409</v>
      </c>
      <c r="J14" s="59">
        <v>44440</v>
      </c>
      <c r="K14" s="59">
        <v>44470</v>
      </c>
      <c r="L14" s="59">
        <v>44501</v>
      </c>
      <c r="M14" s="59">
        <v>44531</v>
      </c>
      <c r="N14" s="59">
        <v>44562</v>
      </c>
      <c r="O14" s="59">
        <v>44593</v>
      </c>
      <c r="P14" s="59">
        <v>44621</v>
      </c>
      <c r="Q14" s="59">
        <v>44652</v>
      </c>
      <c r="R14" s="59">
        <v>44682</v>
      </c>
      <c r="S14" s="59">
        <v>44713</v>
      </c>
      <c r="T14" s="59">
        <v>44743</v>
      </c>
      <c r="U14" s="59">
        <v>44774</v>
      </c>
      <c r="V14" s="59">
        <v>44805</v>
      </c>
      <c r="W14" s="59">
        <v>44835</v>
      </c>
      <c r="X14" s="59">
        <v>44866</v>
      </c>
      <c r="Y14" s="59">
        <v>44896</v>
      </c>
      <c r="Z14" s="59">
        <v>44927</v>
      </c>
      <c r="AA14" s="59">
        <v>44958</v>
      </c>
      <c r="AB14" s="59">
        <v>44986</v>
      </c>
      <c r="AC14" s="59">
        <v>45017</v>
      </c>
      <c r="AD14" s="59">
        <v>45047</v>
      </c>
      <c r="AE14" s="59">
        <v>45078</v>
      </c>
      <c r="AF14" s="59">
        <v>45108</v>
      </c>
      <c r="AG14" s="59">
        <v>45139</v>
      </c>
      <c r="AH14" s="59">
        <v>45170</v>
      </c>
      <c r="AI14" s="59">
        <v>45200</v>
      </c>
      <c r="AJ14" s="59">
        <v>45231</v>
      </c>
      <c r="AK14" s="59">
        <v>45261</v>
      </c>
      <c r="AL14" s="59">
        <v>45292</v>
      </c>
      <c r="AM14" s="59">
        <v>45323</v>
      </c>
      <c r="AN14" s="59">
        <v>45352</v>
      </c>
      <c r="AO14" s="59">
        <v>45383</v>
      </c>
      <c r="AP14" s="59">
        <v>45413</v>
      </c>
      <c r="AQ14" s="59">
        <v>45444</v>
      </c>
      <c r="AR14" s="59">
        <v>45474</v>
      </c>
      <c r="AS14" s="59">
        <v>45505</v>
      </c>
      <c r="AT14" s="59">
        <v>45536</v>
      </c>
      <c r="AU14" s="59">
        <v>45566</v>
      </c>
      <c r="AV14" s="58">
        <f>EDATE(AU14,1)</f>
        <v>45597</v>
      </c>
      <c r="AW14" s="59">
        <f>EDATE(AV14,1)</f>
        <v>45627</v>
      </c>
      <c r="AX14" s="60">
        <f>EDATE(AW14,1)</f>
        <v>45658</v>
      </c>
      <c r="AY14" s="1"/>
      <c r="AZ14" s="1"/>
      <c r="BA14" s="1"/>
      <c r="BB14" s="1"/>
      <c r="BC14" s="1"/>
      <c r="BD14" s="1"/>
      <c r="BE14" s="1"/>
    </row>
    <row r="15" spans="1:57" x14ac:dyDescent="0.25">
      <c r="A15" t="s">
        <v>0</v>
      </c>
      <c r="B15" s="185">
        <v>0</v>
      </c>
      <c r="C15" s="62">
        <v>241015.78129744003</v>
      </c>
      <c r="D15" s="62">
        <v>241015.78129744003</v>
      </c>
      <c r="E15" s="62">
        <v>241015.78129744003</v>
      </c>
      <c r="F15" s="62">
        <v>241015.78129744003</v>
      </c>
      <c r="G15" s="62">
        <v>241015.78129744003</v>
      </c>
      <c r="H15" s="62">
        <v>241015.78129744003</v>
      </c>
      <c r="I15" s="62">
        <v>241015.78129744003</v>
      </c>
      <c r="J15" s="62">
        <v>241015.78129744003</v>
      </c>
      <c r="K15" s="62">
        <v>241015.78129744003</v>
      </c>
      <c r="L15" s="62">
        <v>241015.78129744003</v>
      </c>
      <c r="M15" s="62">
        <v>241015.78129744003</v>
      </c>
      <c r="N15" s="62">
        <v>241015.78129744003</v>
      </c>
      <c r="O15" s="62">
        <v>386290.78691202495</v>
      </c>
      <c r="P15" s="62">
        <v>386290.78691202495</v>
      </c>
      <c r="Q15" s="62">
        <v>386290.78691202495</v>
      </c>
      <c r="R15" s="62">
        <v>386290.78691202495</v>
      </c>
      <c r="S15" s="62">
        <v>386290.78691202495</v>
      </c>
      <c r="T15" s="62">
        <v>386290.78691202495</v>
      </c>
      <c r="U15" s="62">
        <v>386290.78691202495</v>
      </c>
      <c r="V15" s="62">
        <v>386290.78691202495</v>
      </c>
      <c r="W15" s="62">
        <v>386290.78691202495</v>
      </c>
      <c r="X15" s="62">
        <v>386290.78691202495</v>
      </c>
      <c r="Y15" s="62">
        <v>386290.78691202495</v>
      </c>
      <c r="Z15" s="62">
        <v>386290.78691202495</v>
      </c>
      <c r="AA15" s="62">
        <v>468682.42858043453</v>
      </c>
      <c r="AB15" s="62">
        <v>468682.42858043453</v>
      </c>
      <c r="AC15" s="62">
        <v>468682.42858043453</v>
      </c>
      <c r="AD15" s="62">
        <v>468682.42858043453</v>
      </c>
      <c r="AE15" s="62">
        <v>468682.42858043453</v>
      </c>
      <c r="AF15" s="62">
        <v>468682.42858043453</v>
      </c>
      <c r="AG15" s="62">
        <v>468682.42858043453</v>
      </c>
      <c r="AH15" s="62">
        <v>468682.42858043453</v>
      </c>
      <c r="AI15" s="62">
        <v>468682.42858043453</v>
      </c>
      <c r="AJ15" s="62">
        <f>+'[1]EOR.1F, EOR.1'!$K$34</f>
        <v>468682.42858043453</v>
      </c>
      <c r="AK15" s="62">
        <f>+'[1]EOR.1F, EOR.1'!$K$34</f>
        <v>468682.42858043453</v>
      </c>
      <c r="AL15" s="62">
        <f>+'[1]EOR.1F, EOR.1'!$K$34</f>
        <v>468682.42858043453</v>
      </c>
      <c r="AM15" s="62">
        <f>'[1]EOR.1F, EOR.1'!$K$14</f>
        <v>366491.70580342977</v>
      </c>
      <c r="AN15" s="62">
        <f>'[1]EOR.1F, EOR.1'!$K$14</f>
        <v>366491.70580342977</v>
      </c>
      <c r="AO15" s="62">
        <f>'[1]EOR.1F, EOR.1'!$K$14</f>
        <v>366491.70580342977</v>
      </c>
      <c r="AP15" s="62">
        <f>'[1]EOR.1F, EOR.1'!$K$14</f>
        <v>366491.70580342977</v>
      </c>
      <c r="AQ15" s="62">
        <f>'[1]EOR.1F, EOR.1'!$K$14</f>
        <v>366491.70580342977</v>
      </c>
      <c r="AR15" s="62">
        <f>'[1]EOR.1F, EOR.1'!$K$14</f>
        <v>366491.70580342977</v>
      </c>
      <c r="AS15" s="62">
        <f>'[1]EOR.1F, EOR.1'!$K$14</f>
        <v>366491.70580342977</v>
      </c>
      <c r="AT15" s="62">
        <f>'[1]EOR.1F, EOR.1'!$K$14</f>
        <v>366491.70580342977</v>
      </c>
      <c r="AU15" s="62">
        <f>'[1]EOR.1F, EOR.1'!$K$14</f>
        <v>366491.70580342977</v>
      </c>
      <c r="AV15" s="93">
        <f>'[1]EOR.1F, EOR.1'!$K$14</f>
        <v>366491.70580342977</v>
      </c>
      <c r="AW15" s="94">
        <f>'[1]EOR.1F, EOR.1'!$K$14</f>
        <v>366491.70580342977</v>
      </c>
      <c r="AX15" s="95">
        <f>'[1]EOR.1F, EOR.1'!$K$14</f>
        <v>366491.70580342977</v>
      </c>
    </row>
    <row r="16" spans="1:57" x14ac:dyDescent="0.25">
      <c r="A16" t="s">
        <v>4</v>
      </c>
      <c r="B16" s="185">
        <v>0</v>
      </c>
      <c r="C16" s="62">
        <v>60257.948421472975</v>
      </c>
      <c r="D16" s="62">
        <v>60257.948421472975</v>
      </c>
      <c r="E16" s="62">
        <v>60257.948421472975</v>
      </c>
      <c r="F16" s="62">
        <v>60257.948421472975</v>
      </c>
      <c r="G16" s="62">
        <v>60257.948421472975</v>
      </c>
      <c r="H16" s="62">
        <v>60257.948421472975</v>
      </c>
      <c r="I16" s="62">
        <v>60257.948421472975</v>
      </c>
      <c r="J16" s="62">
        <v>60257.948421472975</v>
      </c>
      <c r="K16" s="62">
        <v>60257.948421472975</v>
      </c>
      <c r="L16" s="62">
        <v>60257.948421472975</v>
      </c>
      <c r="M16" s="62">
        <v>60257.948421472975</v>
      </c>
      <c r="N16" s="62">
        <v>60257.948421472975</v>
      </c>
      <c r="O16" s="62">
        <v>87380.697687584703</v>
      </c>
      <c r="P16" s="62">
        <v>87380.697687584703</v>
      </c>
      <c r="Q16" s="62">
        <v>87380.697687584703</v>
      </c>
      <c r="R16" s="62">
        <v>87380.697687584703</v>
      </c>
      <c r="S16" s="62">
        <v>87380.697687584703</v>
      </c>
      <c r="T16" s="62">
        <v>87380.697687584703</v>
      </c>
      <c r="U16" s="62">
        <v>87380.697687584703</v>
      </c>
      <c r="V16" s="62">
        <v>87380.697687584703</v>
      </c>
      <c r="W16" s="62">
        <v>87380.697687584703</v>
      </c>
      <c r="X16" s="62">
        <v>87380.697687584703</v>
      </c>
      <c r="Y16" s="62">
        <v>87380.697687584703</v>
      </c>
      <c r="Z16" s="62">
        <v>87380.697687584703</v>
      </c>
      <c r="AA16" s="62">
        <v>114518.53969547611</v>
      </c>
      <c r="AB16" s="62">
        <v>114518.53969547611</v>
      </c>
      <c r="AC16" s="62">
        <v>114518.53969547611</v>
      </c>
      <c r="AD16" s="62">
        <v>114518.53969547611</v>
      </c>
      <c r="AE16" s="62">
        <v>114518.53969547611</v>
      </c>
      <c r="AF16" s="62">
        <v>114518.53969547611</v>
      </c>
      <c r="AG16" s="62">
        <v>114518.53969547611</v>
      </c>
      <c r="AH16" s="62">
        <v>114518.53969547611</v>
      </c>
      <c r="AI16" s="62">
        <v>114518.53969547611</v>
      </c>
      <c r="AJ16" s="62">
        <f>+'[1]EOR.1F, EOR.1'!$K$35</f>
        <v>114518.53969547611</v>
      </c>
      <c r="AK16" s="62">
        <f>+'[1]EOR.1F, EOR.1'!$K$35</f>
        <v>114518.53969547611</v>
      </c>
      <c r="AL16" s="62">
        <f>+'[1]EOR.1F, EOR.1'!$K$35</f>
        <v>114518.53969547611</v>
      </c>
      <c r="AM16" s="62">
        <f>'[1]EOR.1F, EOR.1'!$K$15</f>
        <v>106045.1991780656</v>
      </c>
      <c r="AN16" s="62">
        <f>'[1]EOR.1F, EOR.1'!$K$15</f>
        <v>106045.1991780656</v>
      </c>
      <c r="AO16" s="62">
        <f>'[1]EOR.1F, EOR.1'!$K$15</f>
        <v>106045.1991780656</v>
      </c>
      <c r="AP16" s="62">
        <f>'[1]EOR.1F, EOR.1'!$K$15</f>
        <v>106045.1991780656</v>
      </c>
      <c r="AQ16" s="62">
        <f>'[1]EOR.1F, EOR.1'!$K$15</f>
        <v>106045.1991780656</v>
      </c>
      <c r="AR16" s="62">
        <f>'[1]EOR.1F, EOR.1'!$K$15</f>
        <v>106045.1991780656</v>
      </c>
      <c r="AS16" s="62">
        <f>'[1]EOR.1F, EOR.1'!$K$15</f>
        <v>106045.1991780656</v>
      </c>
      <c r="AT16" s="62">
        <f>'[1]EOR.1F, EOR.1'!$K$15</f>
        <v>106045.1991780656</v>
      </c>
      <c r="AU16" s="62">
        <f>'[1]EOR.1F, EOR.1'!$K$15</f>
        <v>106045.1991780656</v>
      </c>
      <c r="AV16" s="93">
        <f>'[1]EOR.1F, EOR.1'!$K$15</f>
        <v>106045.1991780656</v>
      </c>
      <c r="AW16" s="94">
        <f>'[1]EOR.1F, EOR.1'!$K$15</f>
        <v>106045.1991780656</v>
      </c>
      <c r="AX16" s="95">
        <f>'[1]EOR.1F, EOR.1'!$K$15</f>
        <v>106045.1991780656</v>
      </c>
    </row>
    <row r="17" spans="1:51" x14ac:dyDescent="0.25">
      <c r="A17" t="s">
        <v>5</v>
      </c>
      <c r="B17" s="185">
        <v>0</v>
      </c>
      <c r="C17" s="62">
        <v>136707.26308755999</v>
      </c>
      <c r="D17" s="62">
        <v>136707.26308755999</v>
      </c>
      <c r="E17" s="62">
        <v>136707.26308755999</v>
      </c>
      <c r="F17" s="62">
        <v>136707.26308755999</v>
      </c>
      <c r="G17" s="62">
        <v>136707.26308755999</v>
      </c>
      <c r="H17" s="62">
        <v>136707.26308755999</v>
      </c>
      <c r="I17" s="62">
        <v>136707.26308755999</v>
      </c>
      <c r="J17" s="62">
        <v>136707.26308755999</v>
      </c>
      <c r="K17" s="62">
        <v>136707.26308755999</v>
      </c>
      <c r="L17" s="62">
        <v>136707.26308755999</v>
      </c>
      <c r="M17" s="62">
        <v>136707.26308755999</v>
      </c>
      <c r="N17" s="62">
        <v>136707.26308755999</v>
      </c>
      <c r="O17" s="62">
        <v>195608.19998186617</v>
      </c>
      <c r="P17" s="62">
        <v>195608.19998186617</v>
      </c>
      <c r="Q17" s="62">
        <v>195608.19998186617</v>
      </c>
      <c r="R17" s="62">
        <v>195608.19998186617</v>
      </c>
      <c r="S17" s="62">
        <v>195608.19998186617</v>
      </c>
      <c r="T17" s="62">
        <v>195608.19998186617</v>
      </c>
      <c r="U17" s="62">
        <v>195608.19998186617</v>
      </c>
      <c r="V17" s="62">
        <v>195608.19998186617</v>
      </c>
      <c r="W17" s="62">
        <v>195608.19998186617</v>
      </c>
      <c r="X17" s="62">
        <v>195608.19998186617</v>
      </c>
      <c r="Y17" s="62">
        <v>195608.19998186617</v>
      </c>
      <c r="Z17" s="62">
        <v>195608.19998186617</v>
      </c>
      <c r="AA17" s="62">
        <v>248899.9565739058</v>
      </c>
      <c r="AB17" s="62">
        <v>248899.9565739058</v>
      </c>
      <c r="AC17" s="62">
        <v>248899.9565739058</v>
      </c>
      <c r="AD17" s="62">
        <v>248899.9565739058</v>
      </c>
      <c r="AE17" s="62">
        <v>248899.9565739058</v>
      </c>
      <c r="AF17" s="62">
        <v>248899.9565739058</v>
      </c>
      <c r="AG17" s="62">
        <v>248899.9565739058</v>
      </c>
      <c r="AH17" s="62">
        <v>248899.9565739058</v>
      </c>
      <c r="AI17" s="62">
        <v>248899.9565739058</v>
      </c>
      <c r="AJ17" s="62">
        <f>+'[1]EOR.1F, EOR.1'!$K$36</f>
        <v>248899.9565739058</v>
      </c>
      <c r="AK17" s="62">
        <f>+'[1]EOR.1F, EOR.1'!$K$36</f>
        <v>248899.9565739058</v>
      </c>
      <c r="AL17" s="62">
        <f>+'[1]EOR.1F, EOR.1'!$K$36</f>
        <v>248899.9565739058</v>
      </c>
      <c r="AM17" s="62">
        <f>'[1]EOR.1F, EOR.1'!$K$16</f>
        <v>227143.98202153886</v>
      </c>
      <c r="AN17" s="62">
        <f>'[1]EOR.1F, EOR.1'!$K$16</f>
        <v>227143.98202153886</v>
      </c>
      <c r="AO17" s="62">
        <f>'[1]EOR.1F, EOR.1'!$K$16</f>
        <v>227143.98202153886</v>
      </c>
      <c r="AP17" s="62">
        <f>'[1]EOR.1F, EOR.1'!$K$16</f>
        <v>227143.98202153886</v>
      </c>
      <c r="AQ17" s="62">
        <f>'[1]EOR.1F, EOR.1'!$K$16</f>
        <v>227143.98202153886</v>
      </c>
      <c r="AR17" s="62">
        <f>'[1]EOR.1F, EOR.1'!$K$16</f>
        <v>227143.98202153886</v>
      </c>
      <c r="AS17" s="62">
        <f>'[1]EOR.1F, EOR.1'!$K$16</f>
        <v>227143.98202153886</v>
      </c>
      <c r="AT17" s="62">
        <f>'[1]EOR.1F, EOR.1'!$K$16</f>
        <v>227143.98202153886</v>
      </c>
      <c r="AU17" s="62">
        <f>'[1]EOR.1F, EOR.1'!$K$16</f>
        <v>227143.98202153886</v>
      </c>
      <c r="AV17" s="93">
        <f>'[1]EOR.1F, EOR.1'!$K$16</f>
        <v>227143.98202153886</v>
      </c>
      <c r="AW17" s="94">
        <f>'[1]EOR.1F, EOR.1'!$K$16</f>
        <v>227143.98202153886</v>
      </c>
      <c r="AX17" s="95">
        <f>'[1]EOR.1F, EOR.1'!$K$16</f>
        <v>227143.98202153886</v>
      </c>
    </row>
    <row r="18" spans="1:51" x14ac:dyDescent="0.25">
      <c r="A18" t="s">
        <v>6</v>
      </c>
      <c r="B18" s="185">
        <v>0</v>
      </c>
      <c r="C18" s="62">
        <v>57061.112488556311</v>
      </c>
      <c r="D18" s="62">
        <v>57061.112488556311</v>
      </c>
      <c r="E18" s="62">
        <v>57061.112488556311</v>
      </c>
      <c r="F18" s="62">
        <v>57061.112488556311</v>
      </c>
      <c r="G18" s="62">
        <v>57061.112488556311</v>
      </c>
      <c r="H18" s="62">
        <v>57061.112488556311</v>
      </c>
      <c r="I18" s="62">
        <v>57061.112488556311</v>
      </c>
      <c r="J18" s="62">
        <v>57061.112488556311</v>
      </c>
      <c r="K18" s="62">
        <v>57061.112488556311</v>
      </c>
      <c r="L18" s="62">
        <v>57061.112488556311</v>
      </c>
      <c r="M18" s="62">
        <v>57061.112488556311</v>
      </c>
      <c r="N18" s="62">
        <v>57061.112488556311</v>
      </c>
      <c r="O18" s="62">
        <v>84471.384932331363</v>
      </c>
      <c r="P18" s="62">
        <v>84471.384932331363</v>
      </c>
      <c r="Q18" s="62">
        <v>84471.384932331363</v>
      </c>
      <c r="R18" s="62">
        <v>84471.384932331363</v>
      </c>
      <c r="S18" s="62">
        <v>84471.384932331363</v>
      </c>
      <c r="T18" s="62">
        <v>84471.384932331363</v>
      </c>
      <c r="U18" s="62">
        <v>84471.384932331363</v>
      </c>
      <c r="V18" s="62">
        <v>84471.384932331363</v>
      </c>
      <c r="W18" s="62">
        <v>84471.384932331363</v>
      </c>
      <c r="X18" s="62">
        <v>84471.384932331363</v>
      </c>
      <c r="Y18" s="62">
        <v>84471.384932331363</v>
      </c>
      <c r="Z18" s="62">
        <v>84471.384932331363</v>
      </c>
      <c r="AA18" s="62">
        <v>105304.43813358348</v>
      </c>
      <c r="AB18" s="62">
        <v>105304.43813358348</v>
      </c>
      <c r="AC18" s="62">
        <v>105304.43813358348</v>
      </c>
      <c r="AD18" s="62">
        <v>105304.43813358348</v>
      </c>
      <c r="AE18" s="62">
        <v>105304.43813358348</v>
      </c>
      <c r="AF18" s="62">
        <v>105304.43813358348</v>
      </c>
      <c r="AG18" s="62">
        <v>105304.43813358348</v>
      </c>
      <c r="AH18" s="62">
        <v>105304.43813358348</v>
      </c>
      <c r="AI18" s="62">
        <v>105304.43813358348</v>
      </c>
      <c r="AJ18" s="62">
        <f>+'[1]EOR.1F, EOR.1'!$K$37</f>
        <v>105304.43813358348</v>
      </c>
      <c r="AK18" s="62">
        <f>+'[1]EOR.1F, EOR.1'!$K$37</f>
        <v>105304.43813358348</v>
      </c>
      <c r="AL18" s="62">
        <f>+'[1]EOR.1F, EOR.1'!$K$37</f>
        <v>105304.43813358348</v>
      </c>
      <c r="AM18" s="62">
        <f>'[1]EOR.1F, EOR.1'!$K$17</f>
        <v>96792.780313393101</v>
      </c>
      <c r="AN18" s="62">
        <f>'[1]EOR.1F, EOR.1'!$K$17</f>
        <v>96792.780313393101</v>
      </c>
      <c r="AO18" s="62">
        <f>'[1]EOR.1F, EOR.1'!$K$17</f>
        <v>96792.780313393101</v>
      </c>
      <c r="AP18" s="62">
        <f>'[1]EOR.1F, EOR.1'!$K$17</f>
        <v>96792.780313393101</v>
      </c>
      <c r="AQ18" s="62">
        <f>'[1]EOR.1F, EOR.1'!$K$17</f>
        <v>96792.780313393101</v>
      </c>
      <c r="AR18" s="62">
        <f>'[1]EOR.1F, EOR.1'!$K$17</f>
        <v>96792.780313393101</v>
      </c>
      <c r="AS18" s="62">
        <f>'[1]EOR.1F, EOR.1'!$K$17</f>
        <v>96792.780313393101</v>
      </c>
      <c r="AT18" s="62">
        <f>'[1]EOR.1F, EOR.1'!$K$17</f>
        <v>96792.780313393101</v>
      </c>
      <c r="AU18" s="62">
        <f>'[1]EOR.1F, EOR.1'!$K$17</f>
        <v>96792.780313393101</v>
      </c>
      <c r="AV18" s="93">
        <f>'[1]EOR.1F, EOR.1'!$K$17</f>
        <v>96792.780313393101</v>
      </c>
      <c r="AW18" s="94">
        <f>'[1]EOR.1F, EOR.1'!$K$17</f>
        <v>96792.780313393101</v>
      </c>
      <c r="AX18" s="95">
        <f>'[1]EOR.1F, EOR.1'!$K$17</f>
        <v>96792.780313393101</v>
      </c>
    </row>
    <row r="19" spans="1:51" x14ac:dyDescent="0.25">
      <c r="A19" t="s">
        <v>7</v>
      </c>
      <c r="B19" s="185">
        <v>0</v>
      </c>
      <c r="C19" s="62">
        <v>24906.284299744875</v>
      </c>
      <c r="D19" s="62">
        <v>24906.284299744875</v>
      </c>
      <c r="E19" s="62">
        <v>24906.284299744875</v>
      </c>
      <c r="F19" s="62">
        <v>24906.284299744875</v>
      </c>
      <c r="G19" s="62">
        <v>24906.284299744875</v>
      </c>
      <c r="H19" s="62">
        <v>24906.284299744875</v>
      </c>
      <c r="I19" s="62">
        <v>24906.284299744875</v>
      </c>
      <c r="J19" s="62">
        <v>24906.284299744875</v>
      </c>
      <c r="K19" s="62">
        <v>24906.284299744875</v>
      </c>
      <c r="L19" s="62">
        <v>24906.284299744875</v>
      </c>
      <c r="M19" s="62">
        <v>24906.284299744875</v>
      </c>
      <c r="N19" s="62">
        <v>24906.284299744875</v>
      </c>
      <c r="O19" s="62">
        <v>34738.843953678122</v>
      </c>
      <c r="P19" s="62">
        <v>34738.843953678122</v>
      </c>
      <c r="Q19" s="62">
        <v>34738.843953678122</v>
      </c>
      <c r="R19" s="62">
        <v>34738.843953678122</v>
      </c>
      <c r="S19" s="62">
        <v>34738.843953678122</v>
      </c>
      <c r="T19" s="62">
        <v>34738.843953678122</v>
      </c>
      <c r="U19" s="62">
        <v>34738.843953678122</v>
      </c>
      <c r="V19" s="62">
        <v>34738.843953678122</v>
      </c>
      <c r="W19" s="62">
        <v>34738.843953678122</v>
      </c>
      <c r="X19" s="62">
        <v>34738.843953678122</v>
      </c>
      <c r="Y19" s="62">
        <v>34738.843953678122</v>
      </c>
      <c r="Z19" s="62">
        <v>34738.843953678122</v>
      </c>
      <c r="AA19" s="62">
        <v>41552.063016860156</v>
      </c>
      <c r="AB19" s="62">
        <v>41552.063016860156</v>
      </c>
      <c r="AC19" s="62">
        <v>41552.063016860156</v>
      </c>
      <c r="AD19" s="62">
        <v>41552.063016860156</v>
      </c>
      <c r="AE19" s="62">
        <v>41552.063016860156</v>
      </c>
      <c r="AF19" s="62">
        <v>41552.063016860156</v>
      </c>
      <c r="AG19" s="62">
        <v>41552.063016860156</v>
      </c>
      <c r="AH19" s="62">
        <v>41552.063016860156</v>
      </c>
      <c r="AI19" s="62">
        <v>41552.063016860156</v>
      </c>
      <c r="AJ19" s="62">
        <f>+'[1]EOR.1F, EOR.1'!$K$38</f>
        <v>41552.063016860156</v>
      </c>
      <c r="AK19" s="62">
        <f>+'[1]EOR.1F, EOR.1'!$K$38</f>
        <v>41552.063016860156</v>
      </c>
      <c r="AL19" s="62">
        <f>+'[1]EOR.1F, EOR.1'!$K$38</f>
        <v>41552.063016860156</v>
      </c>
      <c r="AM19" s="62">
        <f>'[1]EOR.1F, EOR.1'!$K$18</f>
        <v>35377.225326247884</v>
      </c>
      <c r="AN19" s="62">
        <f>'[1]EOR.1F, EOR.1'!$K$18</f>
        <v>35377.225326247884</v>
      </c>
      <c r="AO19" s="62">
        <f>'[1]EOR.1F, EOR.1'!$K$18</f>
        <v>35377.225326247884</v>
      </c>
      <c r="AP19" s="62">
        <f>'[1]EOR.1F, EOR.1'!$K$18</f>
        <v>35377.225326247884</v>
      </c>
      <c r="AQ19" s="62">
        <f>'[1]EOR.1F, EOR.1'!$K$18</f>
        <v>35377.225326247884</v>
      </c>
      <c r="AR19" s="62">
        <f>'[1]EOR.1F, EOR.1'!$K$18</f>
        <v>35377.225326247884</v>
      </c>
      <c r="AS19" s="62">
        <f>'[1]EOR.1F, EOR.1'!$K$18</f>
        <v>35377.225326247884</v>
      </c>
      <c r="AT19" s="62">
        <f>'[1]EOR.1F, EOR.1'!$K$18</f>
        <v>35377.225326247884</v>
      </c>
      <c r="AU19" s="62">
        <f>'[1]EOR.1F, EOR.1'!$K$18</f>
        <v>35377.225326247884</v>
      </c>
      <c r="AV19" s="93">
        <f>'[1]EOR.1F, EOR.1'!$K$18</f>
        <v>35377.225326247884</v>
      </c>
      <c r="AW19" s="94">
        <f>'[1]EOR.1F, EOR.1'!$K$18</f>
        <v>35377.225326247884</v>
      </c>
      <c r="AX19" s="95">
        <f>'[1]EOR.1F, EOR.1'!$K$18</f>
        <v>35377.225326247884</v>
      </c>
    </row>
    <row r="20" spans="1:51" x14ac:dyDescent="0.25">
      <c r="B20" s="65"/>
      <c r="AV20" s="65"/>
      <c r="AX20" s="67"/>
    </row>
    <row r="21" spans="1:51" x14ac:dyDescent="0.25">
      <c r="A21" t="s">
        <v>140</v>
      </c>
      <c r="B21" s="65"/>
      <c r="AV21" s="65"/>
      <c r="AX21" s="67"/>
      <c r="AY21" t="s">
        <v>105</v>
      </c>
    </row>
    <row r="22" spans="1:51" x14ac:dyDescent="0.25">
      <c r="A22" t="s">
        <v>0</v>
      </c>
      <c r="B22" s="185">
        <v>0</v>
      </c>
      <c r="C22" s="62">
        <v>157696.34999999998</v>
      </c>
      <c r="D22" s="62">
        <v>262118.75000000003</v>
      </c>
      <c r="E22" s="62">
        <v>176918.09999999998</v>
      </c>
      <c r="F22" s="62">
        <v>166217.88</v>
      </c>
      <c r="G22" s="62">
        <v>218023.10000000006</v>
      </c>
      <c r="H22" s="62">
        <v>287988.33</v>
      </c>
      <c r="I22" s="62">
        <v>293829.03999999998</v>
      </c>
      <c r="J22" s="62">
        <v>288623.95</v>
      </c>
      <c r="K22" s="62">
        <v>199870.21</v>
      </c>
      <c r="L22" s="62">
        <v>187290.08000000002</v>
      </c>
      <c r="M22" s="62">
        <v>234342.37999999998</v>
      </c>
      <c r="N22" s="62">
        <v>302905.40999999997</v>
      </c>
      <c r="O22" s="62">
        <v>971398.06</v>
      </c>
      <c r="P22" s="62">
        <v>390125.46</v>
      </c>
      <c r="Q22" s="62">
        <v>298029.42</v>
      </c>
      <c r="R22" s="62">
        <v>278820.68</v>
      </c>
      <c r="S22" s="62">
        <v>354413.77999999997</v>
      </c>
      <c r="T22" s="62">
        <v>487506.99999999988</v>
      </c>
      <c r="U22" s="62">
        <v>464335.1700000001</v>
      </c>
      <c r="V22" s="62">
        <v>386724.81000000011</v>
      </c>
      <c r="W22" s="62">
        <v>278400.09000000014</v>
      </c>
      <c r="X22" s="62">
        <v>263508.02000000008</v>
      </c>
      <c r="Y22" s="62">
        <v>402852.68</v>
      </c>
      <c r="Z22" s="62">
        <v>483613.06</v>
      </c>
      <c r="AA22" s="62">
        <v>434562.44</v>
      </c>
      <c r="AB22" s="62">
        <v>384970.77000000008</v>
      </c>
      <c r="AC22" s="62">
        <v>331576.8</v>
      </c>
      <c r="AD22" s="62">
        <v>283481</v>
      </c>
      <c r="AE22" s="62">
        <v>366609.50000000012</v>
      </c>
      <c r="AF22" s="62">
        <v>479730.21</v>
      </c>
      <c r="AG22" s="62">
        <v>494468.84000000037</v>
      </c>
      <c r="AH22" s="62">
        <v>457365.85000000033</v>
      </c>
      <c r="AI22" s="62">
        <v>331610.39000000025</v>
      </c>
      <c r="AJ22" s="62">
        <f>-'[1]EOR.2 (M3)'!AI5</f>
        <v>289918.6999999999</v>
      </c>
      <c r="AK22" s="62">
        <f>-'[1]EOR.2 (M3)'!AJ5</f>
        <v>403824.4200000001</v>
      </c>
      <c r="AL22" s="62">
        <f>-'[1]EOR.2 (M3)'!AK5</f>
        <v>528599.26000000036</v>
      </c>
      <c r="AM22" s="62">
        <f>-'[1]EOR.2 (M3)'!AL5</f>
        <v>473866.94000000035</v>
      </c>
      <c r="AN22" s="62">
        <f>-'[1]EOR.2 (M3)'!AM5</f>
        <v>298136.36999999965</v>
      </c>
      <c r="AO22" s="62">
        <f>-'[1]EOR.2 (M3)'!AN5</f>
        <v>273020.14000000007</v>
      </c>
      <c r="AP22" s="62">
        <f>-'[1]EOR.2 (M3)'!AO5</f>
        <v>247634.80000000002</v>
      </c>
      <c r="AQ22" s="62">
        <f>-'[1]EOR.2 (M3)'!AP5</f>
        <v>337889.81999999983</v>
      </c>
      <c r="AR22" s="62">
        <f>-'[1]EOR.2 (M3)'!AQ5</f>
        <v>451516.41000000015</v>
      </c>
      <c r="AS22" s="62">
        <f>-'[1]EOR.2 (M3)'!AR5</f>
        <v>411517.37999999966</v>
      </c>
      <c r="AT22" s="62">
        <f>-'[1]EOR.2 (M3)'!AS5</f>
        <v>390791.12</v>
      </c>
      <c r="AU22" s="62">
        <f>-'[1]EOR.2 (M3)'!AT5</f>
        <v>285414.12000000005</v>
      </c>
      <c r="AV22" s="250">
        <f>'PCR (M3)'!BU28*$AY$22+AV36</f>
        <v>310780.49602239835</v>
      </c>
      <c r="AW22" s="21">
        <f>'PCR (M3)'!BV28*$AY$22+AW36</f>
        <v>392570.68610656331</v>
      </c>
      <c r="AX22" s="241">
        <f>'PCR (M3)'!BW28*$AY$22+AX36</f>
        <v>461951.30114529346</v>
      </c>
      <c r="AY22" s="70">
        <v>3.3700000000000001E-4</v>
      </c>
    </row>
    <row r="23" spans="1:51" x14ac:dyDescent="0.25">
      <c r="A23" t="s">
        <v>4</v>
      </c>
      <c r="B23" s="185">
        <v>0</v>
      </c>
      <c r="C23" s="62">
        <v>34382.359999999993</v>
      </c>
      <c r="D23" s="62">
        <v>65187.54</v>
      </c>
      <c r="E23" s="62">
        <v>51850.529999999984</v>
      </c>
      <c r="F23" s="62">
        <v>50709.489999999983</v>
      </c>
      <c r="G23" s="62">
        <v>60482.549999999988</v>
      </c>
      <c r="H23" s="62">
        <v>71580.460000000006</v>
      </c>
      <c r="I23" s="62">
        <v>71618.059999999983</v>
      </c>
      <c r="J23" s="62">
        <v>72365.91</v>
      </c>
      <c r="K23" s="62">
        <v>60365.950000000004</v>
      </c>
      <c r="L23" s="62">
        <v>53967.649999999994</v>
      </c>
      <c r="M23" s="62">
        <v>61496.84</v>
      </c>
      <c r="N23" s="62">
        <v>72615.059999999983</v>
      </c>
      <c r="O23" s="62">
        <v>240199.46000000002</v>
      </c>
      <c r="P23" s="62">
        <v>77955.22</v>
      </c>
      <c r="Q23" s="62">
        <v>69048.09</v>
      </c>
      <c r="R23" s="62">
        <v>66642.47</v>
      </c>
      <c r="S23" s="62">
        <v>77325.340000000026</v>
      </c>
      <c r="T23" s="62">
        <v>92407.98000000001</v>
      </c>
      <c r="U23" s="62">
        <v>91024.860000000015</v>
      </c>
      <c r="V23" s="62">
        <v>83345.549999999988</v>
      </c>
      <c r="W23" s="62">
        <v>68631.539999999979</v>
      </c>
      <c r="X23" s="62">
        <v>65433.930000000015</v>
      </c>
      <c r="Y23" s="62">
        <v>81497.649999999994</v>
      </c>
      <c r="Z23" s="62">
        <v>93355.260000000009</v>
      </c>
      <c r="AA23" s="62">
        <v>94687.479999999981</v>
      </c>
      <c r="AB23" s="62">
        <v>100549.34</v>
      </c>
      <c r="AC23" s="62">
        <v>92546.979999999981</v>
      </c>
      <c r="AD23" s="62">
        <v>85404.320000000022</v>
      </c>
      <c r="AE23" s="62">
        <v>102702.93000000001</v>
      </c>
      <c r="AF23" s="62">
        <v>119129.89000000001</v>
      </c>
      <c r="AG23" s="62">
        <v>121679.18999999999</v>
      </c>
      <c r="AH23" s="62">
        <v>117633.95999999992</v>
      </c>
      <c r="AI23" s="62">
        <v>99769.890000000101</v>
      </c>
      <c r="AJ23" s="62">
        <f>-'[1]EOR.2 (M3)'!AI6</f>
        <v>91719.4</v>
      </c>
      <c r="AK23" s="62">
        <f>-'[1]EOR.2 (M3)'!AJ6</f>
        <v>105466.46999999999</v>
      </c>
      <c r="AL23" s="62">
        <f>-'[1]EOR.2 (M3)'!AK6</f>
        <v>127220.65999999987</v>
      </c>
      <c r="AM23" s="62">
        <f>-'[1]EOR.2 (M3)'!AL6</f>
        <v>118040.32000000011</v>
      </c>
      <c r="AN23" s="62">
        <f>-'[1]EOR.2 (M3)'!AM6</f>
        <v>93155.410000000105</v>
      </c>
      <c r="AO23" s="62">
        <f>-'[1]EOR.2 (M3)'!AN6</f>
        <v>90429.430000000109</v>
      </c>
      <c r="AP23" s="62">
        <f>-'[1]EOR.2 (M3)'!AO6</f>
        <v>86140.210000000094</v>
      </c>
      <c r="AQ23" s="62">
        <f>-'[1]EOR.2 (M3)'!AP6</f>
        <v>105251.46999999997</v>
      </c>
      <c r="AR23" s="62">
        <f>-'[1]EOR.2 (M3)'!AQ6</f>
        <v>125834.89000000001</v>
      </c>
      <c r="AS23" s="62">
        <f>-'[1]EOR.2 (M3)'!AR6</f>
        <v>118108.13000000014</v>
      </c>
      <c r="AT23" s="62">
        <f>-'[1]EOR.2 (M3)'!AS6</f>
        <v>114984.3899999999</v>
      </c>
      <c r="AU23" s="62">
        <f>-'[1]EOR.2 (M3)'!AT6</f>
        <v>97011.459999999977</v>
      </c>
      <c r="AV23" s="210">
        <f>'PCR (M3)'!BU29*$AY$23</f>
        <v>91069.744020316517</v>
      </c>
      <c r="AW23" s="21">
        <f>'PCR (M3)'!BV29*$AY$23</f>
        <v>109011.92851978083</v>
      </c>
      <c r="AX23" s="241">
        <f>'PCR (M3)'!BW29*$AY$23</f>
        <v>122606.2899768463</v>
      </c>
      <c r="AY23" s="70">
        <v>3.9500000000000001E-4</v>
      </c>
    </row>
    <row r="24" spans="1:51" x14ac:dyDescent="0.25">
      <c r="A24" t="s">
        <v>5</v>
      </c>
      <c r="B24" s="185">
        <v>0</v>
      </c>
      <c r="C24" s="62">
        <v>61993.280000000013</v>
      </c>
      <c r="D24" s="62">
        <v>132324.62</v>
      </c>
      <c r="E24" s="62">
        <v>117883.68000000004</v>
      </c>
      <c r="F24" s="62">
        <v>120070.09999999999</v>
      </c>
      <c r="G24" s="62">
        <v>133462.75999999998</v>
      </c>
      <c r="H24" s="62">
        <v>156252.48999999996</v>
      </c>
      <c r="I24" s="62">
        <v>154890.56999999998</v>
      </c>
      <c r="J24" s="62">
        <v>157865.05000000002</v>
      </c>
      <c r="K24" s="62">
        <v>138763.51000000004</v>
      </c>
      <c r="L24" s="62">
        <v>123294.13000000002</v>
      </c>
      <c r="M24" s="62">
        <v>134755.04</v>
      </c>
      <c r="N24" s="62">
        <v>144055.51999999999</v>
      </c>
      <c r="O24" s="62">
        <v>500176.30000000005</v>
      </c>
      <c r="P24" s="62">
        <v>193544.31</v>
      </c>
      <c r="Q24" s="62">
        <v>175699.06999999998</v>
      </c>
      <c r="R24" s="62">
        <v>184492.13</v>
      </c>
      <c r="S24" s="62">
        <v>206518.16</v>
      </c>
      <c r="T24" s="62">
        <v>229045.56000000003</v>
      </c>
      <c r="U24" s="62">
        <v>230300.69999999998</v>
      </c>
      <c r="V24" s="62">
        <v>219984.12</v>
      </c>
      <c r="W24" s="62">
        <v>189248.49</v>
      </c>
      <c r="X24" s="62">
        <v>185453.96</v>
      </c>
      <c r="Y24" s="62">
        <v>205947.68</v>
      </c>
      <c r="Z24" s="62">
        <v>212976.61999999997</v>
      </c>
      <c r="AA24" s="62">
        <v>203364.90999999997</v>
      </c>
      <c r="AB24" s="62">
        <v>213179.72999999989</v>
      </c>
      <c r="AC24" s="62">
        <v>204016.37999999998</v>
      </c>
      <c r="AD24" s="62">
        <v>202437.63000000003</v>
      </c>
      <c r="AE24" s="62">
        <v>228842.82</v>
      </c>
      <c r="AF24" s="62">
        <v>246392.38</v>
      </c>
      <c r="AG24" s="62">
        <v>255317.37000000005</v>
      </c>
      <c r="AH24" s="62">
        <v>255270.45</v>
      </c>
      <c r="AI24" s="62">
        <v>224692.11</v>
      </c>
      <c r="AJ24" s="62">
        <f>-'[1]EOR.2 (M3)'!AI7</f>
        <v>207118.64</v>
      </c>
      <c r="AK24" s="62">
        <f>-'[1]EOR.2 (M3)'!AJ7</f>
        <v>221798.39999999991</v>
      </c>
      <c r="AL24" s="62">
        <f>-'[1]EOR.2 (M3)'!AK7</f>
        <v>243385.30999999985</v>
      </c>
      <c r="AM24" s="62">
        <f>-'[1]EOR.2 (M3)'!AL7</f>
        <v>221790.97999999995</v>
      </c>
      <c r="AN24" s="62">
        <f>-'[1]EOR.2 (M3)'!AM7</f>
        <v>207579.39000000004</v>
      </c>
      <c r="AO24" s="62">
        <f>-'[1]EOR.2 (M3)'!AN7</f>
        <v>207197.52</v>
      </c>
      <c r="AP24" s="62">
        <f>-'[1]EOR.2 (M3)'!AO7</f>
        <v>208313.58999999994</v>
      </c>
      <c r="AQ24" s="62">
        <f>-'[1]EOR.2 (M3)'!AP7</f>
        <v>235930.21000000002</v>
      </c>
      <c r="AR24" s="62">
        <f>-'[1]EOR.2 (M3)'!AQ7</f>
        <v>266427.14999999991</v>
      </c>
      <c r="AS24" s="62">
        <f>-'[1]EOR.2 (M3)'!AR7</f>
        <v>250028.2</v>
      </c>
      <c r="AT24" s="62">
        <f>-'[1]EOR.2 (M3)'!AS7</f>
        <v>250151.02000000011</v>
      </c>
      <c r="AU24" s="62">
        <f>-'[1]EOR.2 (M3)'!AT7</f>
        <v>223120.15999999997</v>
      </c>
      <c r="AV24" s="210">
        <f>'PCR (M3)'!BU30*$AY$24</f>
        <v>211932.39550624564</v>
      </c>
      <c r="AW24" s="21">
        <f>'PCR (M3)'!BV30*$AY$24</f>
        <v>233221.4150797413</v>
      </c>
      <c r="AX24" s="241">
        <f>'PCR (M3)'!BW30*$AY$24</f>
        <v>245076.40027559514</v>
      </c>
      <c r="AY24" s="70">
        <v>4.2099999999999999E-4</v>
      </c>
    </row>
    <row r="25" spans="1:51" x14ac:dyDescent="0.25">
      <c r="A25" t="s">
        <v>6</v>
      </c>
      <c r="B25" s="185">
        <v>0</v>
      </c>
      <c r="C25" s="62">
        <v>22772.02</v>
      </c>
      <c r="D25" s="62">
        <v>49753.889999999992</v>
      </c>
      <c r="E25" s="62">
        <v>50050.459999999985</v>
      </c>
      <c r="F25" s="62">
        <v>51917.840000000018</v>
      </c>
      <c r="G25" s="62">
        <v>49875.689999999995</v>
      </c>
      <c r="H25" s="62">
        <v>66772.61</v>
      </c>
      <c r="I25" s="62">
        <v>61305.869999999995</v>
      </c>
      <c r="J25" s="62">
        <v>62084.26</v>
      </c>
      <c r="K25" s="62">
        <v>53608.65</v>
      </c>
      <c r="L25" s="62">
        <v>46762.649999999994</v>
      </c>
      <c r="M25" s="62">
        <v>61465.96</v>
      </c>
      <c r="N25" s="62">
        <v>59358.80000000001</v>
      </c>
      <c r="O25" s="62">
        <v>214471.97000000003</v>
      </c>
      <c r="P25" s="62">
        <v>90397.930000000022</v>
      </c>
      <c r="Q25" s="62">
        <v>70095.929999999993</v>
      </c>
      <c r="R25" s="62">
        <v>88817.24</v>
      </c>
      <c r="S25" s="62">
        <v>101024.78000000001</v>
      </c>
      <c r="T25" s="62">
        <v>105129.26999999997</v>
      </c>
      <c r="U25" s="62">
        <v>104285.51</v>
      </c>
      <c r="V25" s="62">
        <v>101638.22</v>
      </c>
      <c r="W25" s="62">
        <v>90067.37</v>
      </c>
      <c r="X25" s="62">
        <v>90955.369999999981</v>
      </c>
      <c r="Y25" s="62">
        <v>94413.890000000014</v>
      </c>
      <c r="Z25" s="62">
        <v>89883.389999999985</v>
      </c>
      <c r="AA25" s="62">
        <v>89177.030000000028</v>
      </c>
      <c r="AB25" s="62">
        <v>90711.22</v>
      </c>
      <c r="AC25" s="62">
        <v>93041.010000000009</v>
      </c>
      <c r="AD25" s="62">
        <v>92971.03</v>
      </c>
      <c r="AE25" s="62">
        <v>97214.94</v>
      </c>
      <c r="AF25" s="62">
        <v>99696.049999999988</v>
      </c>
      <c r="AG25" s="62">
        <v>112792.19</v>
      </c>
      <c r="AH25" s="62">
        <v>107782.51999999997</v>
      </c>
      <c r="AI25" s="62">
        <v>93577.839999999982</v>
      </c>
      <c r="AJ25" s="62">
        <f>-'[1]EOR.2 (M3)'!AI8</f>
        <v>94242.790000000008</v>
      </c>
      <c r="AK25" s="62">
        <f>-'[1]EOR.2 (M3)'!AJ8</f>
        <v>92658.32</v>
      </c>
      <c r="AL25" s="62">
        <f>-'[1]EOR.2 (M3)'!AK8</f>
        <v>97887.490000000034</v>
      </c>
      <c r="AM25" s="62">
        <f>-'[1]EOR.2 (M3)'!AL8</f>
        <v>94614.37</v>
      </c>
      <c r="AN25" s="62">
        <f>-'[1]EOR.2 (M3)'!AM8</f>
        <v>92222.27</v>
      </c>
      <c r="AO25" s="62">
        <f>-'[1]EOR.2 (M3)'!AN8</f>
        <v>88449.540000000023</v>
      </c>
      <c r="AP25" s="62">
        <f>-'[1]EOR.2 (M3)'!AO8</f>
        <v>92740.140000000029</v>
      </c>
      <c r="AQ25" s="62">
        <f>-'[1]EOR.2 (M3)'!AP8</f>
        <v>101109.7</v>
      </c>
      <c r="AR25" s="62">
        <f>-'[1]EOR.2 (M3)'!AQ8</f>
        <v>108579.32000000005</v>
      </c>
      <c r="AS25" s="62">
        <f>-'[1]EOR.2 (M3)'!AR8</f>
        <v>102611.09999999999</v>
      </c>
      <c r="AT25" s="62">
        <f>-'[1]EOR.2 (M3)'!AS8</f>
        <v>100683</v>
      </c>
      <c r="AU25" s="62">
        <f>-'[1]EOR.2 (M3)'!AT8</f>
        <v>98811.169999999955</v>
      </c>
      <c r="AV25" s="210">
        <f>'PCR (M3)'!BU31*$AY$25</f>
        <v>94117.311449945861</v>
      </c>
      <c r="AW25" s="21">
        <f>'PCR (M3)'!BV31*$AY$25</f>
        <v>99511.224688650531</v>
      </c>
      <c r="AX25" s="241">
        <f>'PCR (M3)'!BW31*$AY$25</f>
        <v>103812.86751706559</v>
      </c>
      <c r="AY25" s="70">
        <v>4.26E-4</v>
      </c>
    </row>
    <row r="26" spans="1:51" x14ac:dyDescent="0.25">
      <c r="A26" t="s">
        <v>7</v>
      </c>
      <c r="B26" s="185">
        <v>0</v>
      </c>
      <c r="C26" s="62">
        <v>8260.7199999999993</v>
      </c>
      <c r="D26" s="62">
        <v>12852.73</v>
      </c>
      <c r="E26" s="62">
        <v>21099.699999999997</v>
      </c>
      <c r="F26" s="62">
        <v>21436.389999999996</v>
      </c>
      <c r="G26" s="62">
        <v>20688.54</v>
      </c>
      <c r="H26" s="62">
        <v>26402.519999999997</v>
      </c>
      <c r="I26" s="62">
        <v>25134.159999999996</v>
      </c>
      <c r="J26" s="62">
        <v>27177.62</v>
      </c>
      <c r="K26" s="62">
        <v>24910.239999999994</v>
      </c>
      <c r="L26" s="62">
        <v>16537.5</v>
      </c>
      <c r="M26" s="62">
        <v>23186.94</v>
      </c>
      <c r="N26" s="62">
        <v>21604.960000000003</v>
      </c>
      <c r="O26" s="62">
        <v>111481.37000000002</v>
      </c>
      <c r="P26" s="62">
        <v>43645.109999999993</v>
      </c>
      <c r="Q26" s="62">
        <v>-50755.6</v>
      </c>
      <c r="R26" s="62">
        <v>36959.53</v>
      </c>
      <c r="S26" s="62">
        <v>45054.05</v>
      </c>
      <c r="T26" s="62">
        <v>51687.740000000013</v>
      </c>
      <c r="U26" s="62">
        <v>51107.55</v>
      </c>
      <c r="V26" s="62">
        <v>53280.58</v>
      </c>
      <c r="W26" s="62">
        <v>45772.969999999994</v>
      </c>
      <c r="X26" s="62">
        <v>45720.429999999993</v>
      </c>
      <c r="Y26" s="62">
        <v>44884.01</v>
      </c>
      <c r="Z26" s="62">
        <v>37890.01</v>
      </c>
      <c r="AA26" s="62">
        <v>37186.780000000006</v>
      </c>
      <c r="AB26" s="62">
        <v>38556.54</v>
      </c>
      <c r="AC26" s="62">
        <v>38666.46</v>
      </c>
      <c r="AD26" s="62">
        <v>40445.33</v>
      </c>
      <c r="AE26" s="62">
        <v>48647.78</v>
      </c>
      <c r="AF26" s="62">
        <v>45564.100000000006</v>
      </c>
      <c r="AG26" s="62">
        <v>52239.98000000001</v>
      </c>
      <c r="AH26" s="62">
        <v>56974.090000000004</v>
      </c>
      <c r="AI26" s="62">
        <v>57454.81</v>
      </c>
      <c r="AJ26" s="62">
        <f>-'[1]EOR.2 (M3)'!AI9</f>
        <v>51223.240000000005</v>
      </c>
      <c r="AK26" s="62">
        <f>-'[1]EOR.2 (M3)'!AJ9</f>
        <v>57672.029999999992</v>
      </c>
      <c r="AL26" s="62">
        <f>-'[1]EOR.2 (M3)'!AK9</f>
        <v>50533.69999999999</v>
      </c>
      <c r="AM26" s="62">
        <f>-'[1]EOR.2 (M3)'!AL9</f>
        <v>37615.89</v>
      </c>
      <c r="AN26" s="62">
        <f>-'[1]EOR.2 (M3)'!AM9</f>
        <v>34189.75</v>
      </c>
      <c r="AO26" s="62">
        <f>-'[1]EOR.2 (M3)'!AN9</f>
        <v>33125.15</v>
      </c>
      <c r="AP26" s="62">
        <f>-'[1]EOR.2 (M3)'!AO9</f>
        <v>40304.490000000005</v>
      </c>
      <c r="AQ26" s="62">
        <f>-'[1]EOR.2 (M3)'!AP9</f>
        <v>40866.759999999995</v>
      </c>
      <c r="AR26" s="62">
        <f>-'[1]EOR.2 (M3)'!AQ9</f>
        <v>47164.060000000005</v>
      </c>
      <c r="AS26" s="62">
        <f>-'[1]EOR.2 (M3)'!AR9</f>
        <v>46473.07</v>
      </c>
      <c r="AT26" s="62">
        <f>-'[1]EOR.2 (M3)'!AS9</f>
        <v>40603.939999999995</v>
      </c>
      <c r="AU26" s="62">
        <f>-'[1]EOR.2 (M3)'!AT9</f>
        <v>40556.429999999993</v>
      </c>
      <c r="AV26" s="210">
        <f>'PCR (M3)'!BU32*$AY$26</f>
        <v>39247.87649302002</v>
      </c>
      <c r="AW26" s="21">
        <f>'PCR (M3)'!BV32*$AY$26</f>
        <v>38805.665684051259</v>
      </c>
      <c r="AX26" s="241">
        <f>'PCR (M3)'!BW32*$AY$26</f>
        <v>38658.618482288344</v>
      </c>
      <c r="AY26" s="70">
        <v>5.7899999999999998E-4</v>
      </c>
    </row>
    <row r="27" spans="1:51" x14ac:dyDescent="0.2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66"/>
      <c r="AX27" s="67"/>
    </row>
    <row r="28" spans="1:51" x14ac:dyDescent="0.25">
      <c r="A28" t="s">
        <v>100</v>
      </c>
      <c r="B28" s="65"/>
      <c r="AV28" s="65"/>
      <c r="AX28" s="67"/>
    </row>
    <row r="29" spans="1:51" x14ac:dyDescent="0.25">
      <c r="A29" t="s">
        <v>0</v>
      </c>
      <c r="B29" s="210">
        <v>0</v>
      </c>
      <c r="C29" s="206">
        <f>+(C22-C36)+((C36*'PCR (M3)'!AB28)/SUM('PCR (M3)'!AB28:AB32))</f>
        <v>160226.20913103136</v>
      </c>
      <c r="D29" s="206">
        <f>+(D22-D36)+((D36*'PCR (M3)'!AC28)/SUM('PCR (M3)'!AC28:AC32))</f>
        <v>266689.59410930384</v>
      </c>
      <c r="E29" s="206">
        <f>+(E22-E36)+((E36*'PCR (M3)'!AD28)/SUM('PCR (M3)'!AD28:AD32))</f>
        <v>180392.6844764947</v>
      </c>
      <c r="F29" s="206">
        <f>+(F22-F36)+((F36*'PCR (M3)'!AE28)/SUM('PCR (M3)'!AE28:AE32))</f>
        <v>169368.15907594661</v>
      </c>
      <c r="G29" s="206">
        <f>+(G22-G36)+((G36*'PCR (M3)'!AF28)/SUM('PCR (M3)'!AF28:AF32))</f>
        <v>221301.421768225</v>
      </c>
      <c r="H29" s="206">
        <f>+(H22-H36)+((H36*'PCR (M3)'!AG28)/SUM('PCR (M3)'!AG28:AG32))</f>
        <v>292132.20362459257</v>
      </c>
      <c r="I29" s="206">
        <f>+(I22-I36)+((I36*'PCR (M3)'!AH28)/SUM('PCR (M3)'!AH28:AH32))</f>
        <v>297952.44091320893</v>
      </c>
      <c r="J29" s="206">
        <f>+(J22-J36)+((J36*'PCR (M3)'!AI28)/SUM('PCR (M3)'!AI28:AI32))</f>
        <v>292795.29300274886</v>
      </c>
      <c r="K29" s="206">
        <f>+(K22-K36)+((K36*'PCR (M3)'!AJ28)/SUM('PCR (M3)'!AJ28:AJ32))</f>
        <v>203147.7989032513</v>
      </c>
      <c r="L29" s="206">
        <f>+(L22-L36)+((L36*'PCR (M3)'!AK28)/SUM('PCR (M3)'!AK28:AK32))</f>
        <v>191193.41672248224</v>
      </c>
      <c r="M29" s="206">
        <f>+(M22-M36)+((M36*'PCR (M3)'!AL28)/SUM('PCR (M3)'!AL28:AL32))</f>
        <v>239663.01588420552</v>
      </c>
      <c r="N29" s="206">
        <f>+(N22-N36)+((N36*'PCR (M3)'!AM28)/SUM('PCR (M3)'!AM28:AM32))</f>
        <v>309425.78781111876</v>
      </c>
      <c r="O29" s="206">
        <f>+(O22-O36)+((O36*'PCR (M3)'!AN28)/SUM('PCR (M3)'!AN28:AN32))</f>
        <v>994127.82749669568</v>
      </c>
      <c r="P29" s="206">
        <f>+(P22-P36)+((P36*'PCR (M3)'!AO28)/SUM('PCR (M3)'!AO28:AO32))</f>
        <v>399138.45370659913</v>
      </c>
      <c r="Q29" s="206">
        <f>+(Q22-Q36)+((Q36*'PCR (M3)'!AP28)/SUM('PCR (M3)'!AP28:AP32))</f>
        <v>305029.68732026225</v>
      </c>
      <c r="R29" s="206">
        <f>+(R22-R36)+((R36*'PCR (M3)'!AQ28)/SUM('PCR (M3)'!AQ28:AQ32))</f>
        <v>284026.23248041508</v>
      </c>
      <c r="S29" s="206">
        <f>+(S22-S36)+((S36*'PCR (M3)'!AR28)/SUM('PCR (M3)'!AR28:AR32))</f>
        <v>359931.27802498243</v>
      </c>
      <c r="T29" s="206">
        <f>+(T22-T36)+((T36*'PCR (M3)'!AS28)/SUM('PCR (M3)'!AS28:AS32))</f>
        <v>494291.21261405293</v>
      </c>
      <c r="U29" s="206">
        <f>+(U22-U36)+((U36*'PCR (M3)'!AT28)/SUM('PCR (M3)'!AT28:AT32))</f>
        <v>471196.62510552246</v>
      </c>
      <c r="V29" s="206">
        <f>+(V22-V36)+((V36*'PCR (M3)'!AU28)/SUM('PCR (M3)'!AU28:AU32))</f>
        <v>393132.51792568876</v>
      </c>
      <c r="W29" s="206">
        <f>+(W22-W36)+((W36*'PCR (M3)'!AV28)/SUM('PCR (M3)'!AV28:AV32))</f>
        <v>283854.0943363987</v>
      </c>
      <c r="X29" s="206">
        <f>+(X22-X36)+((X36*'PCR (M3)'!AW28)/SUM('PCR (M3)'!AW28:AW32))</f>
        <v>269312.56573422113</v>
      </c>
      <c r="Y29" s="206">
        <f>+(Y22-Y36)+((Y36*'PCR (M3)'!AX28)/SUM('PCR (M3)'!AX28:AX32))</f>
        <v>411593.15358449001</v>
      </c>
      <c r="Z29" s="206">
        <f>+(Z22-Z36)+((Z36*'PCR (M3)'!AY28)/SUM('PCR (M3)'!AY28:AY32))</f>
        <v>492837.63862434181</v>
      </c>
      <c r="AA29" s="206">
        <f>+(AA22-AA36)+((AA36*'PCR (M3)'!AZ28)/SUM('PCR (M3)'!AZ28:AZ32))</f>
        <v>443457.03145130374</v>
      </c>
      <c r="AB29" s="206">
        <f>+(AB22-AB36)+((AB36*'PCR (M3)'!BA28)/SUM('PCR (M3)'!BA28:BA32))</f>
        <v>393539.09026594501</v>
      </c>
      <c r="AC29" s="206">
        <f>+(AC22-AC36)+((AC36*'PCR (M3)'!BB28)/SUM('PCR (M3)'!BB28:BB32))</f>
        <v>339312.49726079294</v>
      </c>
      <c r="AD29" s="206">
        <f>+(AD22-AD36)+((AD36*'PCR (M3)'!BC28)/SUM('PCR (M3)'!BC28:BC32))</f>
        <v>289927.60515949118</v>
      </c>
      <c r="AE29" s="206">
        <f>+(AE22-AE36)+((AE36*'PCR (M3)'!BD28)/SUM('PCR (M3)'!BD28:BD32))</f>
        <v>373808.22886016063</v>
      </c>
      <c r="AF29" s="206">
        <f>+(AF22-AF36)+((AF36*'PCR (M3)'!BE28)/SUM('PCR (M3)'!BE28:BE32))</f>
        <v>488143.73978877102</v>
      </c>
      <c r="AG29" s="206">
        <f>+(AG22-AG36)+((AG36*'PCR (M3)'!BF28)/SUM('PCR (M3)'!BF28:BF32))</f>
        <v>503482.62535048707</v>
      </c>
      <c r="AH29" s="206">
        <f>+(AH22-AH36)+((AH36*'PCR (M3)'!BG28)/SUM('PCR (M3)'!BG28:BG32))</f>
        <v>466103.97040686681</v>
      </c>
      <c r="AI29" s="206">
        <f>+(AI22-AI36)+((AI36*'PCR (M3)'!BH28)/SUM('PCR (M3)'!BH28:BH32))</f>
        <v>339099.90906274668</v>
      </c>
      <c r="AJ29" s="206">
        <f>+(AJ22-AJ36)+((AJ36*'PCR (M3)'!BI28)/SUM('PCR (M3)'!BI28:BI32))</f>
        <v>297188.65890620049</v>
      </c>
      <c r="AK29" s="206">
        <f>+(AK22-AK36)+((AK36*'PCR (M3)'!BJ28)/SUM('PCR (M3)'!BJ28:BJ32))</f>
        <v>413311.09393634938</v>
      </c>
      <c r="AL29" s="206">
        <f>+(AL22-AL36)+((AL36*'PCR (M3)'!BK28)/SUM('PCR (M3)'!BK28:BK32))</f>
        <v>539901.2249394306</v>
      </c>
      <c r="AM29" s="206">
        <f>+(AM22-AM36)+((AM36*'PCR (M3)'!BL28)/SUM('PCR (M3)'!BL28:BL32))</f>
        <v>484428.49530587211</v>
      </c>
      <c r="AN29" s="206">
        <f>+(AN22-AN36)+((AN36*'PCR (M3)'!BM28)/SUM('PCR (M3)'!BM28:BM32))</f>
        <v>305759.21265514055</v>
      </c>
      <c r="AO29" s="206">
        <f>+(AO22-AO36)+((AO36*'PCR (M3)'!BN28)/SUM('PCR (M3)'!BN28:BN32))</f>
        <v>280002.49073264137</v>
      </c>
      <c r="AP29" s="206">
        <f>+(AP22-AP36)+((AP36*'PCR (M3)'!BO28)/SUM('PCR (M3)'!BO28:BO32))</f>
        <v>253711.4548195739</v>
      </c>
      <c r="AQ29" s="206">
        <f>+(AQ22-AQ36)+((AQ36*'PCR (M3)'!BP28)/SUM('PCR (M3)'!BP28:BP32))</f>
        <v>344781.64697990514</v>
      </c>
      <c r="AR29" s="206">
        <f>+(AR22-AR36)+((AR36*'PCR (M3)'!BQ28)/SUM('PCR (M3)'!BQ28:BQ32))</f>
        <v>459968.81526109285</v>
      </c>
      <c r="AS29" s="206">
        <f>+(AS22-AS36)+((AS36*'PCR (M3)'!BR28)/SUM('PCR (M3)'!BR28:BR32))</f>
        <v>419372.81903461751</v>
      </c>
      <c r="AT29" s="206">
        <f>+(AT22-AT36)+((AT36*'PCR (M3)'!BS28)/SUM('PCR (M3)'!BS28:BS32))</f>
        <v>398308.84815701941</v>
      </c>
      <c r="AU29" s="206">
        <f>+(AU22-AU36)+((AU36*'PCR (M3)'!BT28)/SUM('PCR (M3)'!BT28:BT32))</f>
        <v>291715.65943461866</v>
      </c>
      <c r="AV29" s="232">
        <f>+(AV22-AV36)+((AV36*'PCR (M3)'!BU28)/SUM('PCR (M3)'!BU28:BU32))</f>
        <v>317644.87806109479</v>
      </c>
      <c r="AW29" s="206">
        <f>+(AW22-AW36)+((AW36*'PCR (M3)'!BV28)/SUM('PCR (M3)'!BV28:BV32))</f>
        <v>400680.98344902432</v>
      </c>
      <c r="AX29" s="209">
        <f>+(AX22-AX36)+((AX36*'PCR (M3)'!BW28)/SUM('PCR (M3)'!BW28:BW32))</f>
        <v>470998.71526855009</v>
      </c>
    </row>
    <row r="30" spans="1:51" x14ac:dyDescent="0.25">
      <c r="A30" t="s">
        <v>4</v>
      </c>
      <c r="B30" s="210">
        <v>0</v>
      </c>
      <c r="C30" s="206">
        <f>+C23+((C36*'PCR (M3)'!AB29)/SUM('PCR (M3)'!AB28:AB32))</f>
        <v>33770.813675455756</v>
      </c>
      <c r="D30" s="206">
        <f>+D23+((D36*'PCR (M3)'!AC29)/SUM('PCR (M3)'!AC28:AC32))</f>
        <v>64060.305335847814</v>
      </c>
      <c r="E30" s="206">
        <f>+E23+((E36*'PCR (M3)'!AD29)/SUM('PCR (M3)'!AD28:AD32))</f>
        <v>51112.88223674969</v>
      </c>
      <c r="F30" s="206">
        <f>+F23+((F36*'PCR (M3)'!AE29)/SUM('PCR (M3)'!AE28:AE32))</f>
        <v>50069.677500560814</v>
      </c>
      <c r="G30" s="206">
        <f>+G23+((G36*'PCR (M3)'!AF29)/SUM('PCR (M3)'!AF28:AF32))</f>
        <v>59747.816071353562</v>
      </c>
      <c r="H30" s="206">
        <f>+H23+((H36*'PCR (M3)'!AG29)/SUM('PCR (M3)'!AG28:AG32))</f>
        <v>70671.956193371996</v>
      </c>
      <c r="I30" s="206">
        <f>+I23+((I36*'PCR (M3)'!AH29)/SUM('PCR (M3)'!AH28:AH32))</f>
        <v>70690.427479049366</v>
      </c>
      <c r="J30" s="206">
        <f>+J23+((J36*'PCR (M3)'!AI29)/SUM('PCR (M3)'!AI28:AI32))</f>
        <v>71437.427866198152</v>
      </c>
      <c r="K30" s="206">
        <f>+K23+((K36*'PCR (M3)'!AJ29)/SUM('PCR (M3)'!AJ28:AJ32))</f>
        <v>59665.843375388213</v>
      </c>
      <c r="L30" s="206">
        <f>+L23+((L36*'PCR (M3)'!AK29)/SUM('PCR (M3)'!AK28:AK32))</f>
        <v>53106.477274847057</v>
      </c>
      <c r="M30" s="206">
        <f>+M23+((M36*'PCR (M3)'!AL29)/SUM('PCR (M3)'!AL28:AL32))</f>
        <v>60364.254937952632</v>
      </c>
      <c r="N30" s="206">
        <f>+N23+((N36*'PCR (M3)'!AM29)/SUM('PCR (M3)'!AM28:AM32))</f>
        <v>71051.825159393047</v>
      </c>
      <c r="O30" s="206">
        <f>+O23+((O36*'PCR (M3)'!AN29)/SUM('PCR (M3)'!AN28:AN32))</f>
        <v>234519.72321815527</v>
      </c>
      <c r="P30" s="206">
        <f>+P23+((P36*'PCR (M3)'!AO29)/SUM('PCR (M3)'!AO28:AO32))</f>
        <v>75809.848154096166</v>
      </c>
      <c r="Q30" s="206">
        <f>+Q23+((Q36*'PCR (M3)'!AP29)/SUM('PCR (M3)'!AP28:AP32))</f>
        <v>67508.592160432818</v>
      </c>
      <c r="R30" s="206">
        <f>+R23+((R36*'PCR (M3)'!AQ29)/SUM('PCR (M3)'!AQ28:AQ32))</f>
        <v>65518.417074567413</v>
      </c>
      <c r="S30" s="206">
        <f>+S23+((S36*'PCR (M3)'!AR29)/SUM('PCR (M3)'!AR28:AR32))</f>
        <v>76105.026855407603</v>
      </c>
      <c r="T30" s="206">
        <f>+T23+((T36*'PCR (M3)'!AS29)/SUM('PCR (M3)'!AS28:AS32))</f>
        <v>90815.279182289174</v>
      </c>
      <c r="U30" s="206">
        <f>+U23+((U36*'PCR (M3)'!AT29)/SUM('PCR (M3)'!AT28:AT32))</f>
        <v>89439.010558452996</v>
      </c>
      <c r="V30" s="206">
        <f>+V23+((V36*'PCR (M3)'!AU29)/SUM('PCR (M3)'!AU28:AU32))</f>
        <v>81920.333747872501</v>
      </c>
      <c r="W30" s="206">
        <f>+W23+((W36*'PCR (M3)'!AV29)/SUM('PCR (M3)'!AV28:AV32))</f>
        <v>67467.071794130185</v>
      </c>
      <c r="X30" s="206">
        <f>+X23+((X36*'PCR (M3)'!AW29)/SUM('PCR (M3)'!AW28:AW32))</f>
        <v>64227.170018943361</v>
      </c>
      <c r="Y30" s="206">
        <f>+Y23+((Y36*'PCR (M3)'!AX29)/SUM('PCR (M3)'!AX28:AX32))</f>
        <v>79458.499079976173</v>
      </c>
      <c r="Z30" s="206">
        <f>+Z23+((Z36*'PCR (M3)'!AY29)/SUM('PCR (M3)'!AY28:AY32))</f>
        <v>90992.698542081067</v>
      </c>
      <c r="AA30" s="206">
        <f>+AA23+((AA36*'PCR (M3)'!AZ29)/SUM('PCR (M3)'!AZ28:AZ32))</f>
        <v>92477.965729713003</v>
      </c>
      <c r="AB30" s="206">
        <f>+AB23+((AB36*'PCR (M3)'!BA29)/SUM('PCR (M3)'!BA28:BA32))</f>
        <v>98498.116090111362</v>
      </c>
      <c r="AC30" s="206">
        <f>+AC23+((AC36*'PCR (M3)'!BB29)/SUM('PCR (M3)'!BB28:BB32))</f>
        <v>90796.97645403046</v>
      </c>
      <c r="AD30" s="206">
        <f>+AD23+((AD36*'PCR (M3)'!BC29)/SUM('PCR (M3)'!BC28:BC32))</f>
        <v>84033.832273106455</v>
      </c>
      <c r="AE30" s="206">
        <f>+AE23+((AE36*'PCR (M3)'!BD29)/SUM('PCR (M3)'!BD28:BD32))</f>
        <v>101080.73458893961</v>
      </c>
      <c r="AF30" s="206">
        <f>+AF23+((AF36*'PCR (M3)'!BE29)/SUM('PCR (M3)'!BE28:BE32))</f>
        <v>117078.29862476606</v>
      </c>
      <c r="AG30" s="206">
        <f>+AG23+((AG36*'PCR (M3)'!BF29)/SUM('PCR (M3)'!BF28:BF32))</f>
        <v>119551.27312342697</v>
      </c>
      <c r="AH30" s="206">
        <f>+AH23+((AH36*'PCR (M3)'!BG29)/SUM('PCR (M3)'!BG28:BG32))</f>
        <v>115608.98630317902</v>
      </c>
      <c r="AI30" s="206">
        <f>+AI23+((AI36*'PCR (M3)'!BH29)/SUM('PCR (M3)'!BH28:BH32))</f>
        <v>98109.007749408309</v>
      </c>
      <c r="AJ30" s="206">
        <f>+AJ23+((AJ36*'PCR (M3)'!BI29)/SUM('PCR (M3)'!BI28:BI32))</f>
        <v>90128.356131847511</v>
      </c>
      <c r="AK30" s="206">
        <f>+AK23+((AK36*'PCR (M3)'!BJ29)/SUM('PCR (M3)'!BJ28:BJ32))</f>
        <v>103254.54065901798</v>
      </c>
      <c r="AL30" s="206">
        <f>+AL23+((AL36*'PCR (M3)'!BK29)/SUM('PCR (M3)'!BK28:BK32))</f>
        <v>124326.23843509307</v>
      </c>
      <c r="AM30" s="206">
        <f>+AM23+((AM36*'PCR (M3)'!BL29)/SUM('PCR (M3)'!BL28:BL32))</f>
        <v>115289.21298948029</v>
      </c>
      <c r="AN30" s="206">
        <f>+AN23+((AN36*'PCR (M3)'!BM29)/SUM('PCR (M3)'!BM28:BM32))</f>
        <v>91365.28485450297</v>
      </c>
      <c r="AO30" s="206">
        <f>+AO23+((AO36*'PCR (M3)'!BN29)/SUM('PCR (M3)'!BN28:BN32))</f>
        <v>88807.392148631014</v>
      </c>
      <c r="AP30" s="206">
        <f>+AP23+((AP36*'PCR (M3)'!BO29)/SUM('PCR (M3)'!BO28:BO32))</f>
        <v>84814.739572591498</v>
      </c>
      <c r="AQ30" s="206">
        <f>+AQ23+((AQ36*'PCR (M3)'!BP29)/SUM('PCR (M3)'!BP28:BP32))</f>
        <v>103632.60935937258</v>
      </c>
      <c r="AR30" s="206">
        <f>+AR23+((AR36*'PCR (M3)'!BQ29)/SUM('PCR (M3)'!BQ28:BQ32))</f>
        <v>123743.30956638265</v>
      </c>
      <c r="AS30" s="206">
        <f>+AS23+((AS36*'PCR (M3)'!BR29)/SUM('PCR (M3)'!BR28:BR32))</f>
        <v>116172.80465353224</v>
      </c>
      <c r="AT30" s="206">
        <f>+AT23+((AT36*'PCR (M3)'!BS29)/SUM('PCR (M3)'!BS28:BS32))</f>
        <v>113147.40815685455</v>
      </c>
      <c r="AU30" s="206">
        <f>+AU23+((AU36*'PCR (M3)'!BT29)/SUM('PCR (M3)'!BT28:BT32))</f>
        <v>95574.669561754257</v>
      </c>
      <c r="AV30" s="232">
        <f>+AV23+((AV36*'PCR (M3)'!BU29)/SUM('PCR (M3)'!BU28:BU32))</f>
        <v>89522.210748201149</v>
      </c>
      <c r="AW30" s="206">
        <f>+AW23+((AW36*'PCR (M3)'!BV29)/SUM('PCR (M3)'!BV28:BV32))</f>
        <v>107032.14459323295</v>
      </c>
      <c r="AX30" s="209">
        <f>+AX23+((AX36*'PCR (M3)'!BW29)/SUM('PCR (M3)'!BW28:BW32))</f>
        <v>120271.86499207762</v>
      </c>
    </row>
    <row r="31" spans="1:51" x14ac:dyDescent="0.25">
      <c r="A31" t="s">
        <v>5</v>
      </c>
      <c r="B31" s="210">
        <v>0</v>
      </c>
      <c r="C31" s="206">
        <f>+C24+((C36*'PCR (M3)'!AB30)/SUM('PCR (M3)'!AB28:AB32))</f>
        <v>60813.384259280174</v>
      </c>
      <c r="D31" s="206">
        <f>+D24+((D36*'PCR (M3)'!AC30)/SUM('PCR (M3)'!AC28:AC32))</f>
        <v>130015.25334081674</v>
      </c>
      <c r="E31" s="206">
        <f>+E24+((E36*'PCR (M3)'!AD30)/SUM('PCR (M3)'!AD28:AD32))</f>
        <v>116195.01795554129</v>
      </c>
      <c r="F31" s="206">
        <f>+F24+((F36*'PCR (M3)'!AE30)/SUM('PCR (M3)'!AE28:AE32))</f>
        <v>118540.74227361585</v>
      </c>
      <c r="G31" s="206">
        <f>+G24+((G36*'PCR (M3)'!AF30)/SUM('PCR (M3)'!AF28:AF32))</f>
        <v>131833.22703362652</v>
      </c>
      <c r="H31" s="206">
        <f>+H24+((H36*'PCR (M3)'!AG30)/SUM('PCR (M3)'!AG28:AG32))</f>
        <v>154256.14505500838</v>
      </c>
      <c r="I31" s="206">
        <f>+I24+((I36*'PCR (M3)'!AH30)/SUM('PCR (M3)'!AH28:AH32))</f>
        <v>152869.93746720301</v>
      </c>
      <c r="J31" s="206">
        <f>+J24+((J36*'PCR (M3)'!AI30)/SUM('PCR (M3)'!AI28:AI32))</f>
        <v>155824.30133141129</v>
      </c>
      <c r="K31" s="206">
        <f>+K24+((K36*'PCR (M3)'!AJ30)/SUM('PCR (M3)'!AJ28:AJ32))</f>
        <v>137141.80472304314</v>
      </c>
      <c r="L31" s="206">
        <f>+L24+((L36*'PCR (M3)'!AK30)/SUM('PCR (M3)'!AK28:AK32))</f>
        <v>121312.61711797112</v>
      </c>
      <c r="M31" s="206">
        <f>+M24+((M36*'PCR (M3)'!AL30)/SUM('PCR (M3)'!AL28:AL32))</f>
        <v>132258.2814239724</v>
      </c>
      <c r="N31" s="206">
        <f>+N24+((N36*'PCR (M3)'!AM30)/SUM('PCR (M3)'!AM28:AM32))</f>
        <v>140928.87753962615</v>
      </c>
      <c r="O31" s="206">
        <f>+O24+((O36*'PCR (M3)'!AN30)/SUM('PCR (M3)'!AN28:AN32))</f>
        <v>489192.03970835207</v>
      </c>
      <c r="P31" s="206">
        <f>+P24+((P36*'PCR (M3)'!AO30)/SUM('PCR (M3)'!AO28:AO32))</f>
        <v>189155.33120630635</v>
      </c>
      <c r="Q31" s="206">
        <f>+Q24+((Q36*'PCR (M3)'!AP30)/SUM('PCR (M3)'!AP28:AP32))</f>
        <v>172323.03532224926</v>
      </c>
      <c r="R31" s="206">
        <f>+R24+((R36*'PCR (M3)'!AQ30)/SUM('PCR (M3)'!AQ28:AQ32))</f>
        <v>181902.75972910927</v>
      </c>
      <c r="S31" s="206">
        <f>+S24+((S36*'PCR (M3)'!AR30)/SUM('PCR (M3)'!AR28:AR32))</f>
        <v>203803.41780704333</v>
      </c>
      <c r="T31" s="206">
        <f>+T24+((T36*'PCR (M3)'!AS30)/SUM('PCR (M3)'!AS28:AS32))</f>
        <v>225727.00724228862</v>
      </c>
      <c r="U31" s="206">
        <f>+U24+((U36*'PCR (M3)'!AT30)/SUM('PCR (M3)'!AT28:AT32))</f>
        <v>226950.25166138777</v>
      </c>
      <c r="V31" s="206">
        <f>+V24+((V36*'PCR (M3)'!AU30)/SUM('PCR (M3)'!AU28:AU32))</f>
        <v>216840.39536781848</v>
      </c>
      <c r="W31" s="206">
        <f>+W24+((W36*'PCR (M3)'!AV30)/SUM('PCR (M3)'!AV28:AV32))</f>
        <v>186565.64591375092</v>
      </c>
      <c r="X31" s="206">
        <f>+X24+((X36*'PCR (M3)'!AW30)/SUM('PCR (M3)'!AW28:AW32))</f>
        <v>182614.70134227458</v>
      </c>
      <c r="Y31" s="206">
        <f>+Y24+((Y36*'PCR (M3)'!AX30)/SUM('PCR (M3)'!AX28:AX32))</f>
        <v>201685.11450888778</v>
      </c>
      <c r="Z31" s="206">
        <f>+Z24+((Z36*'PCR (M3)'!AY30)/SUM('PCR (M3)'!AY28:AY32))</f>
        <v>208437.27287322088</v>
      </c>
      <c r="AA31" s="206">
        <f>+AA24+((AA36*'PCR (M3)'!AZ30)/SUM('PCR (M3)'!AZ28:AZ32))</f>
        <v>199060.61332427923</v>
      </c>
      <c r="AB31" s="206">
        <f>+AB24+((AB36*'PCR (M3)'!BA30)/SUM('PCR (M3)'!BA28:BA32))</f>
        <v>208906.64809153476</v>
      </c>
      <c r="AC31" s="206">
        <f>+AC24+((AC36*'PCR (M3)'!BB30)/SUM('PCR (M3)'!BB28:BB32))</f>
        <v>200226.8546145666</v>
      </c>
      <c r="AD31" s="206">
        <f>+AD24+((AD36*'PCR (M3)'!BC30)/SUM('PCR (M3)'!BC28:BC32))</f>
        <v>199242.85376984495</v>
      </c>
      <c r="AE31" s="206">
        <f>+AE24+((AE36*'PCR (M3)'!BD30)/SUM('PCR (M3)'!BD28:BD32))</f>
        <v>225292.23233672237</v>
      </c>
      <c r="AF31" s="206">
        <f>+AF24+((AF36*'PCR (M3)'!BE30)/SUM('PCR (M3)'!BE28:BE32))</f>
        <v>242222.29077123219</v>
      </c>
      <c r="AG31" s="206">
        <f>+AG24+((AG36*'PCR (M3)'!BF30)/SUM('PCR (M3)'!BF28:BF32))</f>
        <v>250930.34301752597</v>
      </c>
      <c r="AH31" s="206">
        <f>+AH24+((AH36*'PCR (M3)'!BG30)/SUM('PCR (M3)'!BG28:BG32))</f>
        <v>250991.70778167545</v>
      </c>
      <c r="AI31" s="206">
        <f>+AI24+((AI36*'PCR (M3)'!BH30)/SUM('PCR (M3)'!BH28:BH32))</f>
        <v>221018.12683037994</v>
      </c>
      <c r="AJ31" s="206">
        <f>+AJ24+((AJ36*'PCR (M3)'!BI30)/SUM('PCR (M3)'!BI28:BI32))</f>
        <v>203602.12351061223</v>
      </c>
      <c r="AK31" s="206">
        <f>+AK24+((AK36*'PCR (M3)'!BJ30)/SUM('PCR (M3)'!BJ28:BJ32))</f>
        <v>217223.14309000966</v>
      </c>
      <c r="AL31" s="206">
        <f>+AL24+((AL36*'PCR (M3)'!BK30)/SUM('PCR (M3)'!BK28:BK32))</f>
        <v>237945.98350017209</v>
      </c>
      <c r="AM31" s="206">
        <f>+AM24+((AM36*'PCR (M3)'!BL30)/SUM('PCR (M3)'!BL28:BL32))</f>
        <v>216804.78749367138</v>
      </c>
      <c r="AN31" s="206">
        <f>+AN24+((AN36*'PCR (M3)'!BM30)/SUM('PCR (M3)'!BM28:BM32))</f>
        <v>203837.41898091874</v>
      </c>
      <c r="AO31" s="206">
        <f>+AO24+((AO36*'PCR (M3)'!BN30)/SUM('PCR (M3)'!BN28:BN32))</f>
        <v>203712.39466886807</v>
      </c>
      <c r="AP31" s="206">
        <f>+AP24+((AP36*'PCR (M3)'!BO30)/SUM('PCR (M3)'!BO28:BO32))</f>
        <v>205307.63152014042</v>
      </c>
      <c r="AQ31" s="206">
        <f>+AQ24+((AQ36*'PCR (M3)'!BP30)/SUM('PCR (M3)'!BP28:BP32))</f>
        <v>232527.02755758719</v>
      </c>
      <c r="AR31" s="206">
        <f>+AR24+((AR36*'PCR (M3)'!BQ30)/SUM('PCR (M3)'!BQ28:BQ32))</f>
        <v>262273.62866074702</v>
      </c>
      <c r="AS31" s="206">
        <f>+AS24+((AS36*'PCR (M3)'!BR30)/SUM('PCR (M3)'!BR28:BR32))</f>
        <v>246185.7116743708</v>
      </c>
      <c r="AT31" s="206">
        <f>+AT24+((AT36*'PCR (M3)'!BS30)/SUM('PCR (M3)'!BS28:BS32))</f>
        <v>246403.22822582995</v>
      </c>
      <c r="AU31" s="206">
        <f>+AU24+((AU36*'PCR (M3)'!BT30)/SUM('PCR (M3)'!BT28:BT32))</f>
        <v>220021.19626648733</v>
      </c>
      <c r="AV31" s="232">
        <f>+AV24+((AV36*'PCR (M3)'!BU30)/SUM('PCR (M3)'!BU28:BU32))</f>
        <v>208553.47304221653</v>
      </c>
      <c r="AW31" s="206">
        <f>+AW24+((AW36*'PCR (M3)'!BV30)/SUM('PCR (M3)'!BV28:BV32))</f>
        <v>229247.42117076539</v>
      </c>
      <c r="AX31" s="209">
        <f>+AX24+((AX36*'PCR (M3)'!BW30)/SUM('PCR (M3)'!BW28:BW32))</f>
        <v>240698.32056702653</v>
      </c>
    </row>
    <row r="32" spans="1:51" x14ac:dyDescent="0.25">
      <c r="A32" t="s">
        <v>6</v>
      </c>
      <c r="B32" s="210">
        <v>0</v>
      </c>
      <c r="C32" s="206">
        <f>+C25+((C36*'PCR (M3)'!AB31)/SUM('PCR (M3)'!AB28:AB32))</f>
        <v>22259.921004727381</v>
      </c>
      <c r="D32" s="206">
        <f>+D25+((D36*'PCR (M3)'!AC31)/SUM('PCR (M3)'!AC28:AC32))</f>
        <v>48835.449630860479</v>
      </c>
      <c r="E32" s="206">
        <f>+E25+((E36*'PCR (M3)'!AD31)/SUM('PCR (M3)'!AD28:AD32))</f>
        <v>49299.853246252293</v>
      </c>
      <c r="F32" s="206">
        <f>+F25+((F36*'PCR (M3)'!AE31)/SUM('PCR (M3)'!AE28:AE32))</f>
        <v>51229.605118219784</v>
      </c>
      <c r="G32" s="206">
        <f>+G25+((G36*'PCR (M3)'!AF31)/SUM('PCR (M3)'!AF28:AF32))</f>
        <v>49230.130769850351</v>
      </c>
      <c r="H32" s="206">
        <f>+H25+((H36*'PCR (M3)'!AG31)/SUM('PCR (M3)'!AG28:AG32))</f>
        <v>65880.414146704788</v>
      </c>
      <c r="I32" s="206">
        <f>+I25+((I36*'PCR (M3)'!AH31)/SUM('PCR (M3)'!AH28:AH32))</f>
        <v>60468.317751335417</v>
      </c>
      <c r="J32" s="206">
        <f>+J25+((J36*'PCR (M3)'!AI31)/SUM('PCR (M3)'!AI28:AI32))</f>
        <v>61243.837905985201</v>
      </c>
      <c r="K32" s="206">
        <f>+K25+((K36*'PCR (M3)'!AJ31)/SUM('PCR (M3)'!AJ28:AJ32))</f>
        <v>52952.581681673801</v>
      </c>
      <c r="L32" s="206">
        <f>+L25+((L36*'PCR (M3)'!AK31)/SUM('PCR (M3)'!AK28:AK32))</f>
        <v>45975.629942782449</v>
      </c>
      <c r="M32" s="206">
        <f>+M25+((M36*'PCR (M3)'!AL31)/SUM('PCR (M3)'!AL28:AL32))</f>
        <v>60273.362730747511</v>
      </c>
      <c r="N32" s="206">
        <f>+N25+((N36*'PCR (M3)'!AM31)/SUM('PCR (M3)'!AM28:AM32))</f>
        <v>58010.691644254861</v>
      </c>
      <c r="O32" s="206">
        <f>+O25+((O36*'PCR (M3)'!AN31)/SUM('PCR (M3)'!AN28:AN32))</f>
        <v>210008.34960294465</v>
      </c>
      <c r="P32" s="206">
        <f>+P25+((P36*'PCR (M3)'!AO31)/SUM('PCR (M3)'!AO28:AO32))</f>
        <v>88585.041879975077</v>
      </c>
      <c r="Q32" s="206">
        <f>+Q25+((Q36*'PCR (M3)'!AP31)/SUM('PCR (M3)'!AP28:AP32))</f>
        <v>68582.643260317942</v>
      </c>
      <c r="R32" s="206">
        <f>+R25+((R36*'PCR (M3)'!AQ31)/SUM('PCR (M3)'!AQ28:AQ32))</f>
        <v>87683.155766242475</v>
      </c>
      <c r="S32" s="206">
        <f>+S25+((S36*'PCR (M3)'!AR31)/SUM('PCR (M3)'!AR28:AR32))</f>
        <v>99849.480235517025</v>
      </c>
      <c r="T32" s="206">
        <f>+T25+((T36*'PCR (M3)'!AS31)/SUM('PCR (M3)'!AS28:AS32))</f>
        <v>103765.14974308507</v>
      </c>
      <c r="U32" s="206">
        <f>+U25+((U36*'PCR (M3)'!AT31)/SUM('PCR (M3)'!AT28:AT32))</f>
        <v>102872.77019167259</v>
      </c>
      <c r="V32" s="206">
        <f>+V25+((V36*'PCR (M3)'!AU31)/SUM('PCR (M3)'!AU28:AU32))</f>
        <v>100323.13994661867</v>
      </c>
      <c r="W32" s="206">
        <f>+W25+((W36*'PCR (M3)'!AV31)/SUM('PCR (M3)'!AV28:AV32))</f>
        <v>88907.782352418595</v>
      </c>
      <c r="X32" s="206">
        <f>+X25+((X36*'PCR (M3)'!AW31)/SUM('PCR (M3)'!AW28:AW32))</f>
        <v>89682.337210031721</v>
      </c>
      <c r="Y32" s="206">
        <f>+Y25+((Y36*'PCR (M3)'!AX31)/SUM('PCR (M3)'!AX28:AX32))</f>
        <v>92619.33413744584</v>
      </c>
      <c r="Z32" s="206">
        <f>+Z25+((Z36*'PCR (M3)'!AY31)/SUM('PCR (M3)'!AY28:AY32))</f>
        <v>88141.382451084355</v>
      </c>
      <c r="AA32" s="206">
        <f>+AA25+((AA36*'PCR (M3)'!AZ31)/SUM('PCR (M3)'!AZ28:AZ32))</f>
        <v>87396.590559459495</v>
      </c>
      <c r="AB32" s="206">
        <f>+AB25+((AB36*'PCR (M3)'!BA31)/SUM('PCR (M3)'!BA28:BA32))</f>
        <v>89004.37626951687</v>
      </c>
      <c r="AC32" s="206">
        <f>+AC25+((AC36*'PCR (M3)'!BB31)/SUM('PCR (M3)'!BB28:BB32))</f>
        <v>91344.685263317981</v>
      </c>
      <c r="AD32" s="206">
        <f>+AD25+((AD36*'PCR (M3)'!BC31)/SUM('PCR (M3)'!BC28:BC32))</f>
        <v>91533.191026272703</v>
      </c>
      <c r="AE32" s="206">
        <f>+AE25+((AE36*'PCR (M3)'!BD31)/SUM('PCR (M3)'!BD28:BD32))</f>
        <v>95714.038909939147</v>
      </c>
      <c r="AF32" s="206">
        <f>+AF25+((AF36*'PCR (M3)'!BE31)/SUM('PCR (M3)'!BE28:BE32))</f>
        <v>98040.637236986935</v>
      </c>
      <c r="AG32" s="206">
        <f>+AG25+((AG36*'PCR (M3)'!BF31)/SUM('PCR (M3)'!BF28:BF32))</f>
        <v>110917.66750031023</v>
      </c>
      <c r="AH32" s="206">
        <f>+AH25+((AH36*'PCR (M3)'!BG31)/SUM('PCR (M3)'!BG28:BG32))</f>
        <v>106011.78062614535</v>
      </c>
      <c r="AI32" s="206">
        <f>+AI25+((AI36*'PCR (M3)'!BH31)/SUM('PCR (M3)'!BH28:BH32))</f>
        <v>92076.682885050104</v>
      </c>
      <c r="AJ32" s="206">
        <f>+AJ25+((AJ36*'PCR (M3)'!BI31)/SUM('PCR (M3)'!BI28:BI32))</f>
        <v>92687.491937798826</v>
      </c>
      <c r="AK32" s="206">
        <f>+AK25+((AK36*'PCR (M3)'!BJ31)/SUM('PCR (M3)'!BJ28:BJ32))</f>
        <v>90785.38076839385</v>
      </c>
      <c r="AL32" s="206">
        <f>+AL25+((AL36*'PCR (M3)'!BK31)/SUM('PCR (M3)'!BK28:BK32))</f>
        <v>95725.59736137146</v>
      </c>
      <c r="AM32" s="206">
        <f>+AM25+((AM36*'PCR (M3)'!BL31)/SUM('PCR (M3)'!BL28:BL32))</f>
        <v>92518.713995448299</v>
      </c>
      <c r="AN32" s="206">
        <f>+AN25+((AN36*'PCR (M3)'!BM31)/SUM('PCR (M3)'!BM28:BM32))</f>
        <v>90579.493135615441</v>
      </c>
      <c r="AO32" s="206">
        <f>+AO25+((AO36*'PCR (M3)'!BN31)/SUM('PCR (M3)'!BN28:BN32))</f>
        <v>86979.433511892974</v>
      </c>
      <c r="AP32" s="206">
        <f>+AP25+((AP36*'PCR (M3)'!BO31)/SUM('PCR (M3)'!BO28:BO32))</f>
        <v>91417.752952613606</v>
      </c>
      <c r="AQ32" s="206">
        <f>+AQ25+((AQ36*'PCR (M3)'!BP31)/SUM('PCR (M3)'!BP28:BP32))</f>
        <v>99668.497428278526</v>
      </c>
      <c r="AR32" s="206">
        <f>+AR25+((AR36*'PCR (M3)'!BQ31)/SUM('PCR (M3)'!BQ28:BQ32))</f>
        <v>106906.60278865919</v>
      </c>
      <c r="AS32" s="206">
        <f>+AS25+((AS36*'PCR (M3)'!BR31)/SUM('PCR (M3)'!BR28:BR32))</f>
        <v>101052.75445833035</v>
      </c>
      <c r="AT32" s="206">
        <f>+AT25+((AT36*'PCR (M3)'!BS31)/SUM('PCR (M3)'!BS28:BS32))</f>
        <v>99192.347731261805</v>
      </c>
      <c r="AU32" s="206">
        <f>+AU25+((AU36*'PCR (M3)'!BT31)/SUM('PCR (M3)'!BT28:BT32))</f>
        <v>97454.94396701669</v>
      </c>
      <c r="AV32" s="232">
        <f>+AV25+((AV36*'PCR (M3)'!BU31)/SUM('PCR (M3)'!BU28:BU32))</f>
        <v>92634.37381037559</v>
      </c>
      <c r="AW32" s="206">
        <f>+AW25+((AW36*'PCR (M3)'!BV31)/SUM('PCR (M3)'!BV28:BV32))</f>
        <v>97835.49741223357</v>
      </c>
      <c r="AX32" s="209">
        <f>+AX25+((AX36*'PCR (M3)'!BW31)/SUM('PCR (M3)'!BW28:BW32))</f>
        <v>101980.10642959461</v>
      </c>
    </row>
    <row r="33" spans="1:51" x14ac:dyDescent="0.25">
      <c r="A33" t="s">
        <v>7</v>
      </c>
      <c r="B33" s="210">
        <v>0</v>
      </c>
      <c r="C33" s="206">
        <f>+C26+((C36*'PCR (M3)'!AB32)/SUM('PCR (M3)'!AB28:AB32))</f>
        <v>8034.4019295053076</v>
      </c>
      <c r="D33" s="206">
        <f>+D26+((D36*'PCR (M3)'!AC32)/SUM('PCR (M3)'!AC28:AC32))</f>
        <v>12636.92758317112</v>
      </c>
      <c r="E33" s="206">
        <f>+E26+((E36*'PCR (M3)'!AD32)/SUM('PCR (M3)'!AD28:AD32))</f>
        <v>20802.032084961989</v>
      </c>
      <c r="F33" s="206">
        <f>+F26+((F36*'PCR (M3)'!AE32)/SUM('PCR (M3)'!AE28:AE32))</f>
        <v>21143.516031656949</v>
      </c>
      <c r="G33" s="206">
        <f>+G26+((G36*'PCR (M3)'!AF32)/SUM('PCR (M3)'!AF28:AF32))</f>
        <v>20420.044356944582</v>
      </c>
      <c r="H33" s="206">
        <f>+H26+((H36*'PCR (M3)'!AG32)/SUM('PCR (M3)'!AG28:AG32))</f>
        <v>26055.690980322244</v>
      </c>
      <c r="I33" s="206">
        <f>+I26+((I36*'PCR (M3)'!AH32)/SUM('PCR (M3)'!AH28:AH32))</f>
        <v>24796.576389203179</v>
      </c>
      <c r="J33" s="206">
        <f>+J26+((J36*'PCR (M3)'!AI32)/SUM('PCR (M3)'!AI28:AI32))</f>
        <v>26815.929893656532</v>
      </c>
      <c r="K33" s="206">
        <f>+K26+((K36*'PCR (M3)'!AJ32)/SUM('PCR (M3)'!AJ28:AJ32))</f>
        <v>24610.531316643588</v>
      </c>
      <c r="L33" s="206">
        <f>+L26+((L36*'PCR (M3)'!AK32)/SUM('PCR (M3)'!AK28:AK32))</f>
        <v>16263.86894191715</v>
      </c>
      <c r="M33" s="206">
        <f>+M26+((M36*'PCR (M3)'!AL32)/SUM('PCR (M3)'!AL28:AL32))</f>
        <v>22688.245023121915</v>
      </c>
      <c r="N33" s="206">
        <f>+N26+((N36*'PCR (M3)'!AM32)/SUM('PCR (M3)'!AM28:AM32))</f>
        <v>21122.567845607111</v>
      </c>
      <c r="O33" s="206">
        <f>+O26+((O36*'PCR (M3)'!AN32)/SUM('PCR (M3)'!AN28:AN32))</f>
        <v>109879.21997385254</v>
      </c>
      <c r="P33" s="206">
        <f>+P26+((P36*'PCR (M3)'!AO32)/SUM('PCR (M3)'!AO28:AO32))</f>
        <v>42979.355053023304</v>
      </c>
      <c r="Q33" s="206">
        <f>+Q26+((Q36*'PCR (M3)'!AP32)/SUM('PCR (M3)'!AP28:AP32))</f>
        <v>-51327.048063262358</v>
      </c>
      <c r="R33" s="206">
        <f>+R26+((R36*'PCR (M3)'!AQ32)/SUM('PCR (M3)'!AQ28:AQ32))</f>
        <v>36601.484949665763</v>
      </c>
      <c r="S33" s="206">
        <f>+S26+((S36*'PCR (M3)'!AR32)/SUM('PCR (M3)'!AR28:AR32))</f>
        <v>44646.907077049669</v>
      </c>
      <c r="T33" s="206">
        <f>+T26+((T36*'PCR (M3)'!AS32)/SUM('PCR (M3)'!AS28:AS32))</f>
        <v>51178.901218284132</v>
      </c>
      <c r="U33" s="206">
        <f>+U26+((U36*'PCR (M3)'!AT32)/SUM('PCR (M3)'!AT28:AT32))</f>
        <v>50595.132482964284</v>
      </c>
      <c r="V33" s="206">
        <f>+V26+((V36*'PCR (M3)'!AU32)/SUM('PCR (M3)'!AU28:AU32))</f>
        <v>52756.893012001688</v>
      </c>
      <c r="W33" s="206">
        <f>+W26+((W36*'PCR (M3)'!AV32)/SUM('PCR (M3)'!AV28:AV32))</f>
        <v>45325.865603301696</v>
      </c>
      <c r="X33" s="206">
        <f>+X26+((X36*'PCR (M3)'!AW32)/SUM('PCR (M3)'!AW28:AW32))</f>
        <v>45234.93569452926</v>
      </c>
      <c r="Y33" s="206">
        <f>+Y26+((Y36*'PCR (M3)'!AX32)/SUM('PCR (M3)'!AX28:AX32))</f>
        <v>44239.808689200159</v>
      </c>
      <c r="Z33" s="206">
        <f>+Z26+((Z36*'PCR (M3)'!AY32)/SUM('PCR (M3)'!AY28:AY32))</f>
        <v>37309.347509271814</v>
      </c>
      <c r="AA33" s="206">
        <f>+AA26+((AA36*'PCR (M3)'!AZ32)/SUM('PCR (M3)'!AZ28:AZ32))</f>
        <v>36586.438935244529</v>
      </c>
      <c r="AB33" s="206">
        <f>+AB26+((AB36*'PCR (M3)'!BA32)/SUM('PCR (M3)'!BA28:BA32))</f>
        <v>38019.369282891981</v>
      </c>
      <c r="AC33" s="206">
        <f>+AC26+((AC36*'PCR (M3)'!BB32)/SUM('PCR (M3)'!BB28:BB32))</f>
        <v>38166.616407291964</v>
      </c>
      <c r="AD33" s="206">
        <f>+AD26+((AD36*'PCR (M3)'!BC32)/SUM('PCR (M3)'!BC28:BC32))</f>
        <v>40001.827771284799</v>
      </c>
      <c r="AE33" s="206">
        <f>+AE26+((AE36*'PCR (M3)'!BD32)/SUM('PCR (M3)'!BD28:BD32))</f>
        <v>48122.735304238333</v>
      </c>
      <c r="AF33" s="206">
        <f>+AF26+((AF36*'PCR (M3)'!BE32)/SUM('PCR (M3)'!BE28:BE32))</f>
        <v>45027.663578243824</v>
      </c>
      <c r="AG33" s="206">
        <f>+AG26+((AG36*'PCR (M3)'!BF32)/SUM('PCR (M3)'!BF28:BF32))</f>
        <v>51615.661008250223</v>
      </c>
      <c r="AH33" s="206">
        <f>+AH26+((AH36*'PCR (M3)'!BG32)/SUM('PCR (M3)'!BG28:BG32))</f>
        <v>56310.424882133659</v>
      </c>
      <c r="AI33" s="206">
        <f>+AI26+((AI36*'PCR (M3)'!BH32)/SUM('PCR (M3)'!BH28:BH32))</f>
        <v>56801.313472415219</v>
      </c>
      <c r="AJ33" s="206">
        <f>+AJ26+((AJ36*'PCR (M3)'!BI32)/SUM('PCR (M3)'!BI28:BI32))</f>
        <v>50616.139513540846</v>
      </c>
      <c r="AK33" s="206">
        <f>+AK26+((AK36*'PCR (M3)'!BJ32)/SUM('PCR (M3)'!BJ28:BJ32))</f>
        <v>56845.481546229115</v>
      </c>
      <c r="AL33" s="206">
        <f>+AL26+((AL36*'PCR (M3)'!BK32)/SUM('PCR (M3)'!BK28:BK32))</f>
        <v>49727.375763932825</v>
      </c>
      <c r="AM33" s="206">
        <f>+AM26+((AM36*'PCR (M3)'!BL32)/SUM('PCR (M3)'!BL28:BL32))</f>
        <v>36887.290215528323</v>
      </c>
      <c r="AN33" s="206">
        <f>+AN26+((AN36*'PCR (M3)'!BM32)/SUM('PCR (M3)'!BM28:BM32))</f>
        <v>33741.78037382209</v>
      </c>
      <c r="AO33" s="206">
        <f>+AO26+((AO36*'PCR (M3)'!BN32)/SUM('PCR (M3)'!BN28:BN32))</f>
        <v>32720.068937966746</v>
      </c>
      <c r="AP33" s="206">
        <f>+AP26+((AP36*'PCR (M3)'!BO32)/SUM('PCR (M3)'!BO28:BO32))</f>
        <v>39881.651135080647</v>
      </c>
      <c r="AQ33" s="206">
        <f>+AQ26+((AQ36*'PCR (M3)'!BP32)/SUM('PCR (M3)'!BP28:BP32))</f>
        <v>40438.178674856383</v>
      </c>
      <c r="AR33" s="206">
        <f>+AR26+((AR36*'PCR (M3)'!BQ32)/SUM('PCR (M3)'!BQ28:BQ32))</f>
        <v>46629.473723118368</v>
      </c>
      <c r="AS33" s="206">
        <f>+AS26+((AS36*'PCR (M3)'!BR32)/SUM('PCR (M3)'!BR28:BR32))</f>
        <v>45953.790179148826</v>
      </c>
      <c r="AT33" s="206">
        <f>+AT26+((AT36*'PCR (M3)'!BS32)/SUM('PCR (M3)'!BS28:BS32))</f>
        <v>40161.637729034272</v>
      </c>
      <c r="AU33" s="206">
        <f>+AU26+((AU36*'PCR (M3)'!BT32)/SUM('PCR (M3)'!BT28:BT32))</f>
        <v>40146.870770123038</v>
      </c>
      <c r="AV33" s="232">
        <f>+AV26+((AV36*'PCR (M3)'!BU32)/SUM('PCR (M3)'!BU28:BU32))</f>
        <v>38792.887830038337</v>
      </c>
      <c r="AW33" s="206">
        <f>+AW26+((AW36*'PCR (M3)'!BV32)/SUM('PCR (M3)'!BV28:BV32))</f>
        <v>38324.873453531036</v>
      </c>
      <c r="AX33" s="209">
        <f>+AX26+((AX36*'PCR (M3)'!BW32)/SUM('PCR (M3)'!BW28:BW32))</f>
        <v>38156.470139840021</v>
      </c>
    </row>
    <row r="34" spans="1:51" x14ac:dyDescent="0.2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66"/>
      <c r="AX34" s="67"/>
    </row>
    <row r="35" spans="1:51" x14ac:dyDescent="0.25">
      <c r="A35" t="s">
        <v>104</v>
      </c>
      <c r="B35" s="65"/>
      <c r="AV35" s="65"/>
      <c r="AX35" s="67"/>
    </row>
    <row r="36" spans="1:51" x14ac:dyDescent="0.25">
      <c r="A36" t="str">
        <f>A22</f>
        <v>RES</v>
      </c>
      <c r="B36" s="185">
        <v>0</v>
      </c>
      <c r="C36" s="62">
        <v>-5565.7500000000009</v>
      </c>
      <c r="D36" s="62">
        <v>-9639.51</v>
      </c>
      <c r="E36" s="62">
        <v>-6282.49</v>
      </c>
      <c r="F36" s="62">
        <v>-5489.66</v>
      </c>
      <c r="G36" s="62">
        <v>-6226.6900000000005</v>
      </c>
      <c r="H36" s="62">
        <v>-8189.2199999999993</v>
      </c>
      <c r="I36" s="62">
        <v>-8343.18</v>
      </c>
      <c r="J36" s="62">
        <v>-8278.98</v>
      </c>
      <c r="K36" s="62">
        <v>-5850.67</v>
      </c>
      <c r="L36" s="62">
        <v>-6321.0300000000007</v>
      </c>
      <c r="M36" s="62">
        <v>-8128.06</v>
      </c>
      <c r="N36" s="62">
        <v>-9996.869999999999</v>
      </c>
      <c r="O36" s="62">
        <v>-34921.86</v>
      </c>
      <c r="P36" s="62">
        <v>-14075.109999999997</v>
      </c>
      <c r="Q36" s="62">
        <v>-10847.039999999999</v>
      </c>
      <c r="R36" s="62">
        <v>-9159.5800000000017</v>
      </c>
      <c r="S36" s="62">
        <v>-10480.329999999998</v>
      </c>
      <c r="T36" s="62">
        <v>-14215.879999999997</v>
      </c>
      <c r="U36" s="62">
        <v>-14083.44</v>
      </c>
      <c r="V36" s="62">
        <v>-12311.810000000001</v>
      </c>
      <c r="W36" s="62">
        <v>-9689.2699999999986</v>
      </c>
      <c r="X36" s="62">
        <v>-10179.5</v>
      </c>
      <c r="Y36" s="62">
        <v>-16592.18</v>
      </c>
      <c r="Z36" s="62">
        <v>-20253.050000000003</v>
      </c>
      <c r="AA36" s="62">
        <v>-18951.45</v>
      </c>
      <c r="AB36" s="62">
        <v>-17181.809999999998</v>
      </c>
      <c r="AC36" s="62">
        <v>-14616.369999999999</v>
      </c>
      <c r="AD36" s="62">
        <v>-11418.09</v>
      </c>
      <c r="AE36" s="62">
        <v>-13505.99</v>
      </c>
      <c r="AF36" s="62">
        <v>-17411.559999999998</v>
      </c>
      <c r="AG36" s="62">
        <v>-18437.21</v>
      </c>
      <c r="AH36" s="62">
        <v>-17236.96</v>
      </c>
      <c r="AI36" s="62">
        <v>-13524.73</v>
      </c>
      <c r="AJ36" s="62">
        <f>'[1]EOR.3 (M3)'!AI7</f>
        <v>-12786.539999999997</v>
      </c>
      <c r="AK36" s="62">
        <f>'[1]EOR.3 (M3)'!AJ7</f>
        <v>-18799.95</v>
      </c>
      <c r="AL36" s="62">
        <f>'[1]EOR.3 (M3)'!AK7</f>
        <v>-24523.609999999997</v>
      </c>
      <c r="AM36" s="62">
        <f>'[1]EOR.3 (M3)'!AL7</f>
        <v>-23134.709999999995</v>
      </c>
      <c r="AN36" s="62">
        <f>'[1]EOR.3 (M3)'!AM7</f>
        <v>-14651.699999999999</v>
      </c>
      <c r="AO36" s="62">
        <f>'[1]EOR.3 (M3)'!AN7</f>
        <v>-12992.95</v>
      </c>
      <c r="AP36" s="62">
        <f>'[1]EOR.3 (M3)'!AO7</f>
        <v>-10735.099999999997</v>
      </c>
      <c r="AQ36" s="62">
        <f>'[1]EOR.3 (M3)'!AP7</f>
        <v>-13219.770000000002</v>
      </c>
      <c r="AR36" s="62">
        <f>'[1]EOR.3 (M3)'!AQ7</f>
        <v>-17587.940000000002</v>
      </c>
      <c r="AS36" s="62">
        <f>'[1]EOR.3 (M3)'!AR7</f>
        <v>-16064.160000000002</v>
      </c>
      <c r="AT36" s="62">
        <f>'[1]EOR.3 (M3)'!AS7</f>
        <v>-15114.570000000002</v>
      </c>
      <c r="AU36" s="62">
        <f>'[1]EOR.3 (M3)'!AT7</f>
        <v>-11453.330000000002</v>
      </c>
      <c r="AV36" s="210">
        <f>-('PCR (M3)'!BU28*$AY$22*PPC!$B$14)</f>
        <v>-13319.620062851642</v>
      </c>
      <c r="AW36" s="235">
        <f>-('PCR (M3)'!BV28*$AY$22*PPC!$B$14)</f>
        <v>-16825.033918394809</v>
      </c>
      <c r="AX36" s="241">
        <f>-('PCR (M3)'!BW28*$AY$22*PPC!$B$14)</f>
        <v>-19798.590637270288</v>
      </c>
      <c r="AY36" s="137"/>
    </row>
    <row r="37" spans="1:51" x14ac:dyDescent="0.2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71"/>
      <c r="AW37" s="3"/>
      <c r="AX37" s="67"/>
    </row>
    <row r="38" spans="1:51" ht="15.75" thickBot="1" x14ac:dyDescent="0.3">
      <c r="A38" t="s">
        <v>87</v>
      </c>
      <c r="B38" s="262">
        <v>0</v>
      </c>
      <c r="C38" s="263">
        <v>45.45</v>
      </c>
      <c r="D38" s="263">
        <v>41.42</v>
      </c>
      <c r="E38" s="263">
        <v>62.81</v>
      </c>
      <c r="F38" s="263">
        <v>83.06</v>
      </c>
      <c r="G38" s="263">
        <v>80.989999999999995</v>
      </c>
      <c r="H38" s="263">
        <v>45.7</v>
      </c>
      <c r="I38" s="263">
        <v>52.33</v>
      </c>
      <c r="J38" s="263">
        <v>35.119999999999997</v>
      </c>
      <c r="K38" s="263">
        <v>32.57</v>
      </c>
      <c r="L38" s="263">
        <v>45.03</v>
      </c>
      <c r="M38" s="263">
        <v>77.58</v>
      </c>
      <c r="N38" s="263">
        <v>54.1</v>
      </c>
      <c r="O38" s="263">
        <v>-277.20999999999998</v>
      </c>
      <c r="P38" s="263">
        <v>-649.20000000000005</v>
      </c>
      <c r="Q38" s="263">
        <v>-453.37</v>
      </c>
      <c r="R38" s="263">
        <v>-612.41</v>
      </c>
      <c r="S38" s="263">
        <v>-953.77</v>
      </c>
      <c r="T38" s="263">
        <v>-1625.66</v>
      </c>
      <c r="U38" s="263">
        <v>-2356.16</v>
      </c>
      <c r="V38" s="263">
        <v>-2750.62</v>
      </c>
      <c r="W38" s="263">
        <v>-3030.35</v>
      </c>
      <c r="X38" s="263">
        <v>-3262.92</v>
      </c>
      <c r="Y38" s="263">
        <v>-3686.02</v>
      </c>
      <c r="Z38" s="263">
        <v>-4506.8</v>
      </c>
      <c r="AA38" s="263">
        <v>-3940.36</v>
      </c>
      <c r="AB38" s="263">
        <v>-3443.93</v>
      </c>
      <c r="AC38" s="263">
        <v>-2679.61</v>
      </c>
      <c r="AD38" s="263">
        <v>-1514.11</v>
      </c>
      <c r="AE38" s="263">
        <v>-933.61</v>
      </c>
      <c r="AF38" s="263">
        <v>-998.53</v>
      </c>
      <c r="AG38" s="263">
        <v>-1282.1099999999999</v>
      </c>
      <c r="AH38" s="263">
        <v>-1365.55</v>
      </c>
      <c r="AI38" s="263">
        <v>-577.30999999999995</v>
      </c>
      <c r="AJ38" s="263">
        <f>-'[1]EOR.4 (M3)'!$W$40</f>
        <v>549.30999999999995</v>
      </c>
      <c r="AK38" s="263">
        <f>-'[1]EOR.4 (M3)'!$W$41</f>
        <v>1001.73</v>
      </c>
      <c r="AL38" s="263">
        <f>-'[1]EOR.4 (M3)'!$W$42</f>
        <v>667.89</v>
      </c>
      <c r="AM38" s="263">
        <f>-'[1]EOR.4 (M3)'!$W$43</f>
        <v>159.56</v>
      </c>
      <c r="AN38" s="263">
        <f>-'[1]EOR.4 (M3)'!$W$44</f>
        <v>643.9</v>
      </c>
      <c r="AO38" s="263">
        <f>-'[1]EOR.4 (M3)'!$W$45</f>
        <v>1295.32</v>
      </c>
      <c r="AP38" s="263">
        <f>-'[1]EOR.4 (M3)'!$W$46</f>
        <v>2015.84</v>
      </c>
      <c r="AQ38" s="263">
        <f>-'[1]EOR.4 (M3)'!$W$47</f>
        <v>2098.2199999999998</v>
      </c>
      <c r="AR38" s="263">
        <f>-'[1]EOR.4 (M3)'!$W$48</f>
        <v>1338.92</v>
      </c>
      <c r="AS38" s="263">
        <f>-'[1]EOR.4 (M3)'!$W$49</f>
        <v>891.71</v>
      </c>
      <c r="AT38" s="263">
        <f>-'[1]EOR.4 (M3)'!$W$50</f>
        <v>565.23</v>
      </c>
      <c r="AU38" s="263">
        <f>-'[1]EOR.4 (M3)'!$W$51</f>
        <v>886.66</v>
      </c>
      <c r="AV38" s="150">
        <f>'[2]MEEIA 3 calcs'!BV89</f>
        <v>1239.0588150233805</v>
      </c>
      <c r="AW38" s="151">
        <f>'[2]MEEIA 3 calcs'!BW89</f>
        <v>1074.2399405796796</v>
      </c>
      <c r="AX38" s="103">
        <f>'[2]MEEIA 3 calcs'!BX89</f>
        <v>501.19466152927174</v>
      </c>
    </row>
    <row r="39" spans="1:51" x14ac:dyDescent="0.25">
      <c r="B39" s="18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148"/>
      <c r="AW39" s="104"/>
      <c r="AX39" s="149"/>
    </row>
    <row r="40" spans="1:51" x14ac:dyDescent="0.25">
      <c r="A40" t="s">
        <v>68</v>
      </c>
      <c r="B40" s="65"/>
      <c r="AV40" s="65"/>
      <c r="AX40" s="67"/>
    </row>
    <row r="41" spans="1:51" x14ac:dyDescent="0.25">
      <c r="A41" t="s">
        <v>0</v>
      </c>
      <c r="B41" s="210">
        <f t="shared" ref="B41:K45" si="2">B15-B29</f>
        <v>0</v>
      </c>
      <c r="C41" s="21">
        <f t="shared" si="2"/>
        <v>80789.572166408674</v>
      </c>
      <c r="D41" s="21">
        <f t="shared" si="2"/>
        <v>-25673.812811863812</v>
      </c>
      <c r="E41" s="21">
        <f t="shared" si="2"/>
        <v>60623.096820945328</v>
      </c>
      <c r="F41" s="21">
        <f t="shared" si="2"/>
        <v>71647.622221493424</v>
      </c>
      <c r="G41" s="21">
        <f t="shared" si="2"/>
        <v>19714.359529215028</v>
      </c>
      <c r="H41" s="21">
        <f t="shared" si="2"/>
        <v>-51116.422327152541</v>
      </c>
      <c r="I41" s="21">
        <f t="shared" si="2"/>
        <v>-56936.659615768905</v>
      </c>
      <c r="J41" s="21">
        <f t="shared" si="2"/>
        <v>-51779.511705308832</v>
      </c>
      <c r="K41" s="21">
        <f t="shared" si="2"/>
        <v>37867.98239418873</v>
      </c>
      <c r="L41" s="21">
        <f t="shared" ref="L41:V41" si="3">L15-L29</f>
        <v>49822.364574957784</v>
      </c>
      <c r="M41" s="21">
        <f t="shared" si="3"/>
        <v>1352.7654132345051</v>
      </c>
      <c r="N41" s="21">
        <f t="shared" si="3"/>
        <v>-68410.006513678731</v>
      </c>
      <c r="O41" s="21">
        <f t="shared" si="3"/>
        <v>-607837.04058467073</v>
      </c>
      <c r="P41" s="21">
        <f t="shared" si="3"/>
        <v>-12847.666794574179</v>
      </c>
      <c r="Q41" s="21">
        <f t="shared" si="3"/>
        <v>81261.099591762701</v>
      </c>
      <c r="R41" s="21">
        <f t="shared" si="3"/>
        <v>102264.55443160987</v>
      </c>
      <c r="S41" s="21">
        <f t="shared" si="3"/>
        <v>26359.508887042524</v>
      </c>
      <c r="T41" s="21">
        <f t="shared" si="3"/>
        <v>-108000.42570202798</v>
      </c>
      <c r="U41" s="21">
        <f t="shared" si="3"/>
        <v>-84905.838193497504</v>
      </c>
      <c r="V41" s="21">
        <f t="shared" si="3"/>
        <v>-6841.7310136638116</v>
      </c>
      <c r="W41" s="21">
        <f>W15-W29</f>
        <v>102436.69257562625</v>
      </c>
      <c r="X41" s="21">
        <f>X15-X29</f>
        <v>116978.22117780382</v>
      </c>
      <c r="Y41" s="21">
        <f t="shared" ref="Y41:AI41" si="4">Y15-Y29</f>
        <v>-25302.366672465054</v>
      </c>
      <c r="Z41" s="21">
        <f t="shared" si="4"/>
        <v>-106546.85171231686</v>
      </c>
      <c r="AA41" s="21">
        <f t="shared" si="4"/>
        <v>25225.397129130783</v>
      </c>
      <c r="AB41" s="21">
        <f t="shared" si="4"/>
        <v>75143.33831448952</v>
      </c>
      <c r="AC41" s="21">
        <f t="shared" si="4"/>
        <v>129369.93131964159</v>
      </c>
      <c r="AD41" s="21">
        <f t="shared" si="4"/>
        <v>178754.82342094334</v>
      </c>
      <c r="AE41" s="21">
        <f t="shared" si="4"/>
        <v>94874.1997202739</v>
      </c>
      <c r="AF41" s="21">
        <f t="shared" si="4"/>
        <v>-19461.311208336498</v>
      </c>
      <c r="AG41" s="21">
        <f t="shared" si="4"/>
        <v>-34800.196770052542</v>
      </c>
      <c r="AH41" s="21">
        <f t="shared" si="4"/>
        <v>2578.4581735677202</v>
      </c>
      <c r="AI41" s="21">
        <f t="shared" si="4"/>
        <v>129582.51951768785</v>
      </c>
      <c r="AJ41" s="21">
        <f t="shared" ref="AJ41:AU41" si="5">AJ15-AJ29</f>
        <v>171493.76967423403</v>
      </c>
      <c r="AK41" s="21">
        <f t="shared" si="5"/>
        <v>55371.334644085146</v>
      </c>
      <c r="AL41" s="21">
        <f t="shared" si="5"/>
        <v>-71218.796358996071</v>
      </c>
      <c r="AM41" s="21">
        <f t="shared" si="5"/>
        <v>-117936.78950244235</v>
      </c>
      <c r="AN41" s="21">
        <f t="shared" si="5"/>
        <v>60732.493148289213</v>
      </c>
      <c r="AO41" s="21">
        <f t="shared" si="5"/>
        <v>86489.215070788399</v>
      </c>
      <c r="AP41" s="21">
        <f t="shared" si="5"/>
        <v>112780.25098385586</v>
      </c>
      <c r="AQ41" s="21">
        <f t="shared" si="5"/>
        <v>21710.058823524625</v>
      </c>
      <c r="AR41" s="21">
        <f t="shared" si="5"/>
        <v>-93477.109457663086</v>
      </c>
      <c r="AS41" s="21">
        <f t="shared" si="5"/>
        <v>-52881.113231187745</v>
      </c>
      <c r="AT41" s="21">
        <f t="shared" si="5"/>
        <v>-31817.142353589647</v>
      </c>
      <c r="AU41" s="21">
        <f t="shared" si="5"/>
        <v>74776.046368811105</v>
      </c>
      <c r="AV41" s="72">
        <f>AV15-AV29</f>
        <v>48846.827742334979</v>
      </c>
      <c r="AW41" s="21">
        <f t="shared" ref="AW41:AX41" si="6">AW15-AW29</f>
        <v>-34189.277645594557</v>
      </c>
      <c r="AX41" s="75">
        <f t="shared" si="6"/>
        <v>-104507.00946512033</v>
      </c>
    </row>
    <row r="42" spans="1:51" x14ac:dyDescent="0.25">
      <c r="A42" t="s">
        <v>4</v>
      </c>
      <c r="B42" s="210">
        <f t="shared" si="2"/>
        <v>0</v>
      </c>
      <c r="C42" s="21">
        <f t="shared" si="2"/>
        <v>26487.134746017218</v>
      </c>
      <c r="D42" s="21">
        <f t="shared" si="2"/>
        <v>-3802.3569143748391</v>
      </c>
      <c r="E42" s="21">
        <f t="shared" si="2"/>
        <v>9145.0661847232841</v>
      </c>
      <c r="F42" s="21">
        <f t="shared" si="2"/>
        <v>10188.27092091216</v>
      </c>
      <c r="G42" s="21">
        <f t="shared" si="2"/>
        <v>510.13235011941288</v>
      </c>
      <c r="H42" s="21">
        <f t="shared" si="2"/>
        <v>-10414.007771899021</v>
      </c>
      <c r="I42" s="21">
        <f t="shared" si="2"/>
        <v>-10432.479057576391</v>
      </c>
      <c r="J42" s="21">
        <f t="shared" si="2"/>
        <v>-11179.479444725177</v>
      </c>
      <c r="K42" s="21">
        <f t="shared" si="2"/>
        <v>592.10504608476185</v>
      </c>
      <c r="L42" s="21">
        <f t="shared" ref="L42:W42" si="7">L16-L30</f>
        <v>7151.4711466259178</v>
      </c>
      <c r="M42" s="21">
        <f t="shared" si="7"/>
        <v>-106.30651647965715</v>
      </c>
      <c r="N42" s="21">
        <f t="shared" si="7"/>
        <v>-10793.876737920073</v>
      </c>
      <c r="O42" s="21">
        <f t="shared" si="7"/>
        <v>-147139.02553057057</v>
      </c>
      <c r="P42" s="21">
        <f t="shared" si="7"/>
        <v>11570.849533488537</v>
      </c>
      <c r="Q42" s="21">
        <f t="shared" si="7"/>
        <v>19872.105527151885</v>
      </c>
      <c r="R42" s="21">
        <f t="shared" si="7"/>
        <v>21862.28061301729</v>
      </c>
      <c r="S42" s="21">
        <f t="shared" si="7"/>
        <v>11275.6708321771</v>
      </c>
      <c r="T42" s="21">
        <f t="shared" si="7"/>
        <v>-3434.581494704471</v>
      </c>
      <c r="U42" s="21">
        <f t="shared" si="7"/>
        <v>-2058.3128708682925</v>
      </c>
      <c r="V42" s="21">
        <f t="shared" si="7"/>
        <v>5460.3639397122024</v>
      </c>
      <c r="W42" s="21">
        <f t="shared" si="7"/>
        <v>19913.625893454519</v>
      </c>
      <c r="X42" s="21">
        <f t="shared" ref="X42:AI42" si="8">X16-X30</f>
        <v>23153.527668641342</v>
      </c>
      <c r="Y42" s="21">
        <f t="shared" si="8"/>
        <v>7922.1986076085304</v>
      </c>
      <c r="Z42" s="21">
        <f t="shared" si="8"/>
        <v>-3612.0008544963639</v>
      </c>
      <c r="AA42" s="21">
        <f t="shared" si="8"/>
        <v>22040.573965763106</v>
      </c>
      <c r="AB42" s="21">
        <f t="shared" si="8"/>
        <v>16020.423605364747</v>
      </c>
      <c r="AC42" s="21">
        <f t="shared" si="8"/>
        <v>23721.563241445649</v>
      </c>
      <c r="AD42" s="21">
        <f t="shared" si="8"/>
        <v>30484.707422369655</v>
      </c>
      <c r="AE42" s="21">
        <f t="shared" si="8"/>
        <v>13437.8051065365</v>
      </c>
      <c r="AF42" s="21">
        <f t="shared" si="8"/>
        <v>-2559.7589292899502</v>
      </c>
      <c r="AG42" s="21">
        <f t="shared" si="8"/>
        <v>-5032.733427950865</v>
      </c>
      <c r="AH42" s="21">
        <f t="shared" si="8"/>
        <v>-1090.4466077029065</v>
      </c>
      <c r="AI42" s="21">
        <f t="shared" si="8"/>
        <v>16409.5319460678</v>
      </c>
      <c r="AJ42" s="21">
        <f t="shared" ref="AJ42:AU42" si="9">AJ16-AJ30</f>
        <v>24390.183563628598</v>
      </c>
      <c r="AK42" s="21">
        <f t="shared" si="9"/>
        <v>11263.999036458132</v>
      </c>
      <c r="AL42" s="21">
        <f t="shared" si="9"/>
        <v>-9807.698739616957</v>
      </c>
      <c r="AM42" s="21">
        <f t="shared" si="9"/>
        <v>-9244.0138114146976</v>
      </c>
      <c r="AN42" s="21">
        <f t="shared" si="9"/>
        <v>14679.914323562625</v>
      </c>
      <c r="AO42" s="21">
        <f t="shared" si="9"/>
        <v>17237.807029434582</v>
      </c>
      <c r="AP42" s="21">
        <f t="shared" si="9"/>
        <v>21230.459605474098</v>
      </c>
      <c r="AQ42" s="21">
        <f t="shared" si="9"/>
        <v>2412.5898186930135</v>
      </c>
      <c r="AR42" s="21">
        <f t="shared" si="9"/>
        <v>-17698.110388317058</v>
      </c>
      <c r="AS42" s="21">
        <f t="shared" si="9"/>
        <v>-10127.60547546664</v>
      </c>
      <c r="AT42" s="21">
        <f t="shared" si="9"/>
        <v>-7102.2089787889563</v>
      </c>
      <c r="AU42" s="21">
        <f t="shared" si="9"/>
        <v>10470.529616311338</v>
      </c>
      <c r="AV42" s="72">
        <f>AV16-AV30</f>
        <v>16522.988429864447</v>
      </c>
      <c r="AW42" s="21">
        <f t="shared" ref="AV42:AX45" si="10">AW16-AW30</f>
        <v>-986.94541516735626</v>
      </c>
      <c r="AX42" s="75">
        <f t="shared" si="10"/>
        <v>-14226.665814012027</v>
      </c>
    </row>
    <row r="43" spans="1:51" x14ac:dyDescent="0.25">
      <c r="A43" t="s">
        <v>5</v>
      </c>
      <c r="B43" s="210">
        <f t="shared" si="2"/>
        <v>0</v>
      </c>
      <c r="C43" s="21">
        <f t="shared" si="2"/>
        <v>75893.87882827982</v>
      </c>
      <c r="D43" s="21">
        <f t="shared" si="2"/>
        <v>6692.0097467432497</v>
      </c>
      <c r="E43" s="21">
        <f t="shared" si="2"/>
        <v>20512.245132018696</v>
      </c>
      <c r="F43" s="21">
        <f t="shared" si="2"/>
        <v>18166.520813944138</v>
      </c>
      <c r="G43" s="21">
        <f t="shared" si="2"/>
        <v>4874.0360539334652</v>
      </c>
      <c r="H43" s="21">
        <f t="shared" si="2"/>
        <v>-17548.881967448397</v>
      </c>
      <c r="I43" s="21">
        <f t="shared" si="2"/>
        <v>-16162.674379643024</v>
      </c>
      <c r="J43" s="21">
        <f t="shared" si="2"/>
        <v>-19117.038243851304</v>
      </c>
      <c r="K43" s="21">
        <f t="shared" si="2"/>
        <v>-434.5416354831541</v>
      </c>
      <c r="L43" s="21">
        <f t="shared" ref="L43:W43" si="11">L17-L31</f>
        <v>15394.645969588862</v>
      </c>
      <c r="M43" s="21">
        <f t="shared" si="11"/>
        <v>4448.9816635875904</v>
      </c>
      <c r="N43" s="21">
        <f t="shared" si="11"/>
        <v>-4221.6144520661619</v>
      </c>
      <c r="O43" s="21">
        <f t="shared" si="11"/>
        <v>-293583.83972648589</v>
      </c>
      <c r="P43" s="21">
        <f t="shared" si="11"/>
        <v>6452.8687755598221</v>
      </c>
      <c r="Q43" s="21">
        <f t="shared" si="11"/>
        <v>23285.164659616916</v>
      </c>
      <c r="R43" s="21">
        <f t="shared" si="11"/>
        <v>13705.440252756904</v>
      </c>
      <c r="S43" s="21">
        <f t="shared" si="11"/>
        <v>-8195.2178251771547</v>
      </c>
      <c r="T43" s="21">
        <f t="shared" si="11"/>
        <v>-30118.807260422444</v>
      </c>
      <c r="U43" s="21">
        <f t="shared" si="11"/>
        <v>-31342.051679521595</v>
      </c>
      <c r="V43" s="21">
        <f t="shared" si="11"/>
        <v>-21232.195385952306</v>
      </c>
      <c r="W43" s="21">
        <f t="shared" si="11"/>
        <v>9042.5540681152488</v>
      </c>
      <c r="X43" s="21">
        <f t="shared" ref="X43:AI43" si="12">X17-X31</f>
        <v>12993.498639591591</v>
      </c>
      <c r="Y43" s="21">
        <f t="shared" si="12"/>
        <v>-6076.9145270216104</v>
      </c>
      <c r="Z43" s="21">
        <f t="shared" si="12"/>
        <v>-12829.072891354706</v>
      </c>
      <c r="AA43" s="21">
        <f t="shared" si="12"/>
        <v>49839.343249626574</v>
      </c>
      <c r="AB43" s="21">
        <f t="shared" si="12"/>
        <v>39993.308482371038</v>
      </c>
      <c r="AC43" s="21">
        <f t="shared" si="12"/>
        <v>48673.101959339197</v>
      </c>
      <c r="AD43" s="21">
        <f t="shared" si="12"/>
        <v>49657.102804060851</v>
      </c>
      <c r="AE43" s="21">
        <f t="shared" si="12"/>
        <v>23607.724237183429</v>
      </c>
      <c r="AF43" s="21">
        <f t="shared" si="12"/>
        <v>6677.6658026736113</v>
      </c>
      <c r="AG43" s="21">
        <f t="shared" si="12"/>
        <v>-2030.3864436201693</v>
      </c>
      <c r="AH43" s="21">
        <f t="shared" si="12"/>
        <v>-2091.7512077696447</v>
      </c>
      <c r="AI43" s="21">
        <f t="shared" si="12"/>
        <v>27881.829743525857</v>
      </c>
      <c r="AJ43" s="21">
        <f t="shared" ref="AJ43:AU43" si="13">AJ17-AJ31</f>
        <v>45297.833063293569</v>
      </c>
      <c r="AK43" s="21">
        <f t="shared" si="13"/>
        <v>31676.813483896141</v>
      </c>
      <c r="AL43" s="21">
        <f t="shared" si="13"/>
        <v>10953.973073733709</v>
      </c>
      <c r="AM43" s="21">
        <f t="shared" si="13"/>
        <v>10339.194527867483</v>
      </c>
      <c r="AN43" s="21">
        <f t="shared" si="13"/>
        <v>23306.563040620124</v>
      </c>
      <c r="AO43" s="21">
        <f t="shared" si="13"/>
        <v>23431.587352670787</v>
      </c>
      <c r="AP43" s="21">
        <f t="shared" si="13"/>
        <v>21836.35050139844</v>
      </c>
      <c r="AQ43" s="21">
        <f t="shared" si="13"/>
        <v>-5383.045536048332</v>
      </c>
      <c r="AR43" s="21">
        <f t="shared" si="13"/>
        <v>-35129.646639208164</v>
      </c>
      <c r="AS43" s="21">
        <f t="shared" si="13"/>
        <v>-19041.729652831942</v>
      </c>
      <c r="AT43" s="21">
        <f t="shared" si="13"/>
        <v>-19259.246204291092</v>
      </c>
      <c r="AU43" s="21">
        <f t="shared" si="13"/>
        <v>7122.7857550515328</v>
      </c>
      <c r="AV43" s="72">
        <f t="shared" si="10"/>
        <v>18590.508979322331</v>
      </c>
      <c r="AW43" s="21">
        <f t="shared" si="10"/>
        <v>-2103.4391492265277</v>
      </c>
      <c r="AX43" s="75">
        <f t="shared" si="10"/>
        <v>-13554.33854548767</v>
      </c>
    </row>
    <row r="44" spans="1:51" x14ac:dyDescent="0.25">
      <c r="A44" t="s">
        <v>6</v>
      </c>
      <c r="B44" s="210">
        <f t="shared" si="2"/>
        <v>0</v>
      </c>
      <c r="C44" s="21">
        <f t="shared" si="2"/>
        <v>34801.19148382893</v>
      </c>
      <c r="D44" s="21">
        <f t="shared" si="2"/>
        <v>8225.6628576958319</v>
      </c>
      <c r="E44" s="21">
        <f t="shared" si="2"/>
        <v>7761.2592423040187</v>
      </c>
      <c r="F44" s="21">
        <f t="shared" si="2"/>
        <v>5831.5073703365269</v>
      </c>
      <c r="G44" s="21">
        <f t="shared" si="2"/>
        <v>7830.9817187059598</v>
      </c>
      <c r="H44" s="21">
        <f t="shared" si="2"/>
        <v>-8819.3016581484771</v>
      </c>
      <c r="I44" s="21">
        <f t="shared" si="2"/>
        <v>-3407.2052627791054</v>
      </c>
      <c r="J44" s="21">
        <f t="shared" si="2"/>
        <v>-4182.7254174288901</v>
      </c>
      <c r="K44" s="21">
        <f t="shared" si="2"/>
        <v>4108.5308068825107</v>
      </c>
      <c r="L44" s="21">
        <f t="shared" ref="L44:W44" si="14">L18-L32</f>
        <v>11085.482545773863</v>
      </c>
      <c r="M44" s="21">
        <f t="shared" si="14"/>
        <v>-3212.2502421911995</v>
      </c>
      <c r="N44" s="21">
        <f t="shared" si="14"/>
        <v>-949.57915569854958</v>
      </c>
      <c r="O44" s="21">
        <f t="shared" si="14"/>
        <v>-125536.96467061329</v>
      </c>
      <c r="P44" s="21">
        <f t="shared" si="14"/>
        <v>-4113.6569476437144</v>
      </c>
      <c r="Q44" s="21">
        <f t="shared" si="14"/>
        <v>15888.741672013421</v>
      </c>
      <c r="R44" s="21">
        <f t="shared" si="14"/>
        <v>-3211.7708339111123</v>
      </c>
      <c r="S44" s="21">
        <f t="shared" si="14"/>
        <v>-15378.095303185662</v>
      </c>
      <c r="T44" s="21">
        <f t="shared" si="14"/>
        <v>-19293.76481075371</v>
      </c>
      <c r="U44" s="21">
        <f t="shared" si="14"/>
        <v>-18401.38525934123</v>
      </c>
      <c r="V44" s="21">
        <f t="shared" si="14"/>
        <v>-15851.755014287308</v>
      </c>
      <c r="W44" s="21">
        <f t="shared" si="14"/>
        <v>-4436.3974200872326</v>
      </c>
      <c r="X44" s="21">
        <f t="shared" ref="X44:AI44" si="15">X18-X32</f>
        <v>-5210.9522777003585</v>
      </c>
      <c r="Y44" s="21">
        <f t="shared" si="15"/>
        <v>-8147.9492051144771</v>
      </c>
      <c r="Z44" s="21">
        <f t="shared" si="15"/>
        <v>-3669.9975187529926</v>
      </c>
      <c r="AA44" s="21">
        <f t="shared" si="15"/>
        <v>17907.847574123982</v>
      </c>
      <c r="AB44" s="21">
        <f t="shared" si="15"/>
        <v>16300.061864066607</v>
      </c>
      <c r="AC44" s="21">
        <f t="shared" si="15"/>
        <v>13959.752870265496</v>
      </c>
      <c r="AD44" s="21">
        <f t="shared" si="15"/>
        <v>13771.247107310774</v>
      </c>
      <c r="AE44" s="21">
        <f t="shared" si="15"/>
        <v>9590.39922364433</v>
      </c>
      <c r="AF44" s="21">
        <f t="shared" si="15"/>
        <v>7263.8008965965419</v>
      </c>
      <c r="AG44" s="21">
        <f t="shared" si="15"/>
        <v>-5613.2293667267513</v>
      </c>
      <c r="AH44" s="21">
        <f t="shared" si="15"/>
        <v>-707.34249256187468</v>
      </c>
      <c r="AI44" s="21">
        <f t="shared" si="15"/>
        <v>13227.755248533373</v>
      </c>
      <c r="AJ44" s="21">
        <f t="shared" ref="AJ44:AU44" si="16">AJ18-AJ32</f>
        <v>12616.946195784651</v>
      </c>
      <c r="AK44" s="21">
        <f t="shared" si="16"/>
        <v>14519.057365189627</v>
      </c>
      <c r="AL44" s="21">
        <f t="shared" si="16"/>
        <v>9578.8407722120173</v>
      </c>
      <c r="AM44" s="21">
        <f t="shared" si="16"/>
        <v>4274.066317944802</v>
      </c>
      <c r="AN44" s="21">
        <f t="shared" si="16"/>
        <v>6213.28717777766</v>
      </c>
      <c r="AO44" s="21">
        <f t="shared" si="16"/>
        <v>9813.3468015001272</v>
      </c>
      <c r="AP44" s="21">
        <f t="shared" si="16"/>
        <v>5375.0273607794952</v>
      </c>
      <c r="AQ44" s="21">
        <f t="shared" si="16"/>
        <v>-2875.717114885425</v>
      </c>
      <c r="AR44" s="21">
        <f t="shared" si="16"/>
        <v>-10113.82247526609</v>
      </c>
      <c r="AS44" s="21">
        <f t="shared" si="16"/>
        <v>-4259.9741449372523</v>
      </c>
      <c r="AT44" s="21">
        <f t="shared" si="16"/>
        <v>-2399.5674178687041</v>
      </c>
      <c r="AU44" s="21">
        <f t="shared" si="16"/>
        <v>-662.1636536235892</v>
      </c>
      <c r="AV44" s="72">
        <f t="shared" si="10"/>
        <v>4158.4065030175116</v>
      </c>
      <c r="AW44" s="21">
        <f t="shared" si="10"/>
        <v>-1042.7170988404687</v>
      </c>
      <c r="AX44" s="75">
        <f t="shared" si="10"/>
        <v>-5187.3261162015115</v>
      </c>
    </row>
    <row r="45" spans="1:51" x14ac:dyDescent="0.25">
      <c r="A45" t="s">
        <v>7</v>
      </c>
      <c r="B45" s="210">
        <f t="shared" si="2"/>
        <v>0</v>
      </c>
      <c r="C45" s="21">
        <f t="shared" si="2"/>
        <v>16871.882370239568</v>
      </c>
      <c r="D45" s="21">
        <f t="shared" si="2"/>
        <v>12269.356716573755</v>
      </c>
      <c r="E45" s="21">
        <f t="shared" si="2"/>
        <v>4104.2522147828859</v>
      </c>
      <c r="F45" s="21">
        <f t="shared" si="2"/>
        <v>3762.7682680879261</v>
      </c>
      <c r="G45" s="21">
        <f t="shared" si="2"/>
        <v>4486.2399428002936</v>
      </c>
      <c r="H45" s="21">
        <f t="shared" si="2"/>
        <v>-1149.4066805773691</v>
      </c>
      <c r="I45" s="21">
        <f t="shared" si="2"/>
        <v>109.70791054169604</v>
      </c>
      <c r="J45" s="21">
        <f t="shared" si="2"/>
        <v>-1909.6455939116568</v>
      </c>
      <c r="K45" s="21">
        <f t="shared" si="2"/>
        <v>295.7529831012871</v>
      </c>
      <c r="L45" s="21">
        <f t="shared" ref="L45:W45" si="17">L19-L33</f>
        <v>8642.4153578277255</v>
      </c>
      <c r="M45" s="21">
        <f t="shared" si="17"/>
        <v>2218.0392766229597</v>
      </c>
      <c r="N45" s="21">
        <f t="shared" si="17"/>
        <v>3783.7164541377642</v>
      </c>
      <c r="O45" s="21">
        <f t="shared" si="17"/>
        <v>-75140.376020174415</v>
      </c>
      <c r="P45" s="21">
        <f t="shared" si="17"/>
        <v>-8240.5110993451817</v>
      </c>
      <c r="Q45" s="21">
        <f t="shared" si="17"/>
        <v>86065.892016940488</v>
      </c>
      <c r="R45" s="21">
        <f t="shared" si="17"/>
        <v>-1862.6409959876401</v>
      </c>
      <c r="S45" s="21">
        <f t="shared" si="17"/>
        <v>-9908.0631233715467</v>
      </c>
      <c r="T45" s="21">
        <f t="shared" si="17"/>
        <v>-16440.05726460601</v>
      </c>
      <c r="U45" s="21">
        <f t="shared" si="17"/>
        <v>-15856.288529286161</v>
      </c>
      <c r="V45" s="21">
        <f t="shared" si="17"/>
        <v>-18018.049058323566</v>
      </c>
      <c r="W45" s="21">
        <f t="shared" si="17"/>
        <v>-10587.021649623573</v>
      </c>
      <c r="X45" s="21">
        <f t="shared" ref="X45:AI45" si="18">X19-X33</f>
        <v>-10496.091740851138</v>
      </c>
      <c r="Y45" s="21">
        <f t="shared" si="18"/>
        <v>-9500.9647355220368</v>
      </c>
      <c r="Z45" s="21">
        <f t="shared" si="18"/>
        <v>-2570.503555593692</v>
      </c>
      <c r="AA45" s="21">
        <f t="shared" si="18"/>
        <v>4965.6240816156278</v>
      </c>
      <c r="AB45" s="21">
        <f t="shared" si="18"/>
        <v>3532.6937339681754</v>
      </c>
      <c r="AC45" s="21">
        <f t="shared" si="18"/>
        <v>3385.4466095681928</v>
      </c>
      <c r="AD45" s="21">
        <f t="shared" si="18"/>
        <v>1550.2352455753571</v>
      </c>
      <c r="AE45" s="21">
        <f t="shared" si="18"/>
        <v>-6570.6722873781764</v>
      </c>
      <c r="AF45" s="21">
        <f t="shared" si="18"/>
        <v>-3475.6005613836678</v>
      </c>
      <c r="AG45" s="21">
        <f t="shared" si="18"/>
        <v>-10063.597991390066</v>
      </c>
      <c r="AH45" s="21">
        <f t="shared" si="18"/>
        <v>-14758.361865273502</v>
      </c>
      <c r="AI45" s="21">
        <f t="shared" si="18"/>
        <v>-15249.250455555062</v>
      </c>
      <c r="AJ45" s="21">
        <f t="shared" ref="AJ45:AU45" si="19">AJ19-AJ33</f>
        <v>-9064.0764966806892</v>
      </c>
      <c r="AK45" s="21">
        <f t="shared" si="19"/>
        <v>-15293.418529368959</v>
      </c>
      <c r="AL45" s="21">
        <f t="shared" si="19"/>
        <v>-8175.3127470726686</v>
      </c>
      <c r="AM45" s="21">
        <f t="shared" si="19"/>
        <v>-1510.0648892804384</v>
      </c>
      <c r="AN45" s="21">
        <f t="shared" si="19"/>
        <v>1635.4449524257943</v>
      </c>
      <c r="AO45" s="21">
        <f t="shared" si="19"/>
        <v>2657.1563882811388</v>
      </c>
      <c r="AP45" s="21">
        <f t="shared" si="19"/>
        <v>-4504.4258088327624</v>
      </c>
      <c r="AQ45" s="21">
        <f t="shared" si="19"/>
        <v>-5060.9533486084983</v>
      </c>
      <c r="AR45" s="21">
        <f t="shared" si="19"/>
        <v>-11252.248396870484</v>
      </c>
      <c r="AS45" s="21">
        <f t="shared" si="19"/>
        <v>-10576.564852900941</v>
      </c>
      <c r="AT45" s="21">
        <f t="shared" si="19"/>
        <v>-4784.4124027863872</v>
      </c>
      <c r="AU45" s="21">
        <f t="shared" si="19"/>
        <v>-4769.6454438751534</v>
      </c>
      <c r="AV45" s="72">
        <f t="shared" si="10"/>
        <v>-3415.6625037904523</v>
      </c>
      <c r="AW45" s="21">
        <f t="shared" si="10"/>
        <v>-2947.6481272831516</v>
      </c>
      <c r="AX45" s="75">
        <f t="shared" si="10"/>
        <v>-2779.2448135921368</v>
      </c>
    </row>
    <row r="46" spans="1:51" x14ac:dyDescent="0.25">
      <c r="B46" s="65"/>
      <c r="AV46" s="65"/>
      <c r="AX46" s="67"/>
    </row>
    <row r="47" spans="1:51" x14ac:dyDescent="0.25">
      <c r="A47" t="s">
        <v>69</v>
      </c>
      <c r="B47" s="65"/>
      <c r="AV47" s="65"/>
      <c r="AX47" s="67"/>
    </row>
    <row r="48" spans="1:51" x14ac:dyDescent="0.25">
      <c r="A48" t="s">
        <v>0</v>
      </c>
      <c r="B48" s="210">
        <v>0</v>
      </c>
      <c r="C48" s="21">
        <f>B48+C41+B55+B65</f>
        <v>80789.572166408674</v>
      </c>
      <c r="D48" s="21">
        <f>C48+D41+C55</f>
        <v>55131.393281278004</v>
      </c>
      <c r="E48" s="21">
        <f t="shared" ref="E48:K52" si="20">D48+E41+D55</f>
        <v>115764.30688999665</v>
      </c>
      <c r="F48" s="21">
        <f t="shared" si="20"/>
        <v>187433.64678487342</v>
      </c>
      <c r="G48" s="21">
        <f t="shared" si="20"/>
        <v>207183.0364131149</v>
      </c>
      <c r="H48" s="21">
        <f t="shared" si="20"/>
        <v>156101.43102257905</v>
      </c>
      <c r="I48" s="21">
        <f t="shared" si="20"/>
        <v>99182.924572308286</v>
      </c>
      <c r="J48" s="21">
        <f t="shared" si="20"/>
        <v>47420.36479920517</v>
      </c>
      <c r="K48" s="21">
        <f t="shared" ref="K48:L51" si="21">J48+K41+J55</f>
        <v>85295.983176186608</v>
      </c>
      <c r="L48" s="21">
        <f t="shared" si="21"/>
        <v>135129.0097490414</v>
      </c>
      <c r="M48" s="21">
        <f t="shared" ref="M48:M52" si="22">L48+M41+L55</f>
        <v>136499.0276459881</v>
      </c>
      <c r="N48" s="21">
        <f>M48+N41+M55</f>
        <v>68118.648701256694</v>
      </c>
      <c r="O48" s="21">
        <f>N48+O41+N55+N65</f>
        <v>-902776.20974210731</v>
      </c>
      <c r="P48" s="21">
        <f t="shared" ref="P48:P52" si="23">O48+P41+O55</f>
        <v>-915846.44773574488</v>
      </c>
      <c r="Q48" s="21">
        <f t="shared" ref="Q48:Q52" si="24">P48+Q41+P55</f>
        <v>-835110.65934947447</v>
      </c>
      <c r="R48" s="21">
        <f t="shared" ref="R48:R52" si="25">Q48+R41+Q55</f>
        <v>-733263.9497525678</v>
      </c>
      <c r="S48" s="21">
        <f t="shared" ref="S48:S52" si="26">R48+S41+R55</f>
        <v>-707484.76123169169</v>
      </c>
      <c r="T48" s="21">
        <f t="shared" ref="T48:T52" si="27">S48+T41+S55</f>
        <v>-816361.20989391324</v>
      </c>
      <c r="U48" s="21">
        <f t="shared" ref="U48:U52" si="28">T48+U41+T55</f>
        <v>-902666.216368058</v>
      </c>
      <c r="V48" s="21">
        <f t="shared" ref="V48:V52" si="29">U48+V41+U55</f>
        <v>-911436.68481734127</v>
      </c>
      <c r="W48" s="21">
        <f>V48+W41+V55</f>
        <v>-811158.34722629737</v>
      </c>
      <c r="X48" s="21">
        <f>W48+X41+W55</f>
        <v>-696525.80671839102</v>
      </c>
      <c r="Y48" s="21">
        <f>X48+Y41+X55</f>
        <v>-724315.98828012613</v>
      </c>
      <c r="Z48" s="21">
        <f>Y48+Z41+Y55</f>
        <v>-833650.00972613483</v>
      </c>
      <c r="AA48" s="21">
        <f>Z48+AA41+Z55</f>
        <v>-811868.89522808767</v>
      </c>
      <c r="AB48" s="21">
        <f t="shared" ref="X48:AI52" si="30">AA48+AB41+AA55</f>
        <v>-740005.47003966197</v>
      </c>
      <c r="AC48" s="21">
        <f t="shared" si="30"/>
        <v>-613712.36676359735</v>
      </c>
      <c r="AD48" s="21">
        <f t="shared" si="30"/>
        <v>-437641.8808321472</v>
      </c>
      <c r="AE48" s="21">
        <f t="shared" si="30"/>
        <v>-344710.36756867601</v>
      </c>
      <c r="AF48" s="21">
        <f t="shared" si="30"/>
        <v>-365721.38800583547</v>
      </c>
      <c r="AG48" s="21">
        <f t="shared" si="30"/>
        <v>-402180.33363632916</v>
      </c>
      <c r="AH48" s="21">
        <f t="shared" si="30"/>
        <v>-401452.06553447171</v>
      </c>
      <c r="AI48" s="21">
        <f t="shared" si="30"/>
        <v>-273721.28615607187</v>
      </c>
      <c r="AJ48" s="21">
        <f t="shared" ref="AJ48:AJ52" si="31">AI48+AJ41+AI55</f>
        <v>-103486.05410902912</v>
      </c>
      <c r="AK48" s="21">
        <f t="shared" ref="AK48:AK52" si="32">AJ48+AK41+AJ55</f>
        <v>-48594.037374051579</v>
      </c>
      <c r="AL48" s="21">
        <f t="shared" ref="AL48:AL52" si="33">AK48+AL41+AK55</f>
        <v>-120037.48295545211</v>
      </c>
      <c r="AM48" s="21">
        <f t="shared" ref="AM48:AM52" si="34">AL48+AM41+AL55</f>
        <v>-238512.27295415811</v>
      </c>
      <c r="AN48" s="21">
        <f t="shared" ref="AN48:AN52" si="35">AM48+AN41+AM55</f>
        <v>-178848.54753692987</v>
      </c>
      <c r="AO48" s="21">
        <f t="shared" ref="AO48:AO52" si="36">AN48+AO41+AN55</f>
        <v>-93168.418405442339</v>
      </c>
      <c r="AP48" s="21">
        <f t="shared" ref="AP48:AP52" si="37">AO48+AP41+AO55</f>
        <v>19184.79785006438</v>
      </c>
      <c r="AQ48" s="21">
        <f t="shared" ref="AQ48:AQ52" si="38">AP48+AQ41+AP55</f>
        <v>40982.627123753053</v>
      </c>
      <c r="AR48" s="21">
        <f t="shared" ref="AR48:AR52" si="39">AQ48+AR41+AQ55</f>
        <v>-52304.842159789288</v>
      </c>
      <c r="AS48" s="21">
        <f t="shared" ref="AS48:AS52" si="40">AR48+AS41+AR55</f>
        <v>-105429.23423444749</v>
      </c>
      <c r="AT48" s="21">
        <f t="shared" ref="AT48:AT52" si="41">AS48+AT41+AS55</f>
        <v>-137735.21416837332</v>
      </c>
      <c r="AU48" s="21">
        <f t="shared" ref="AU48:AU52" si="42">AT48+AU41+AT55</f>
        <v>-63568.11228352302</v>
      </c>
      <c r="AV48" s="72">
        <f>AU48+AV41+AU55</f>
        <v>-14983.01268231816</v>
      </c>
      <c r="AW48" s="21">
        <f>AV48+AW41+AV55</f>
        <v>-49233.979686256127</v>
      </c>
      <c r="AX48" s="75">
        <f>AW48+AX41+AW55</f>
        <v>-153943.6995594856</v>
      </c>
    </row>
    <row r="49" spans="1:50" x14ac:dyDescent="0.25">
      <c r="A49" t="s">
        <v>4</v>
      </c>
      <c r="B49" s="210">
        <v>0</v>
      </c>
      <c r="C49" s="21">
        <f>B49+C42+B56+B66</f>
        <v>26487.134746017218</v>
      </c>
      <c r="D49" s="21">
        <f t="shared" ref="D49:D52" si="43">C49+D42+C56</f>
        <v>22689.903467450142</v>
      </c>
      <c r="E49" s="21">
        <f t="shared" si="20"/>
        <v>31839.009854201347</v>
      </c>
      <c r="F49" s="21">
        <f t="shared" si="20"/>
        <v>42033.253852959686</v>
      </c>
      <c r="G49" s="21">
        <f t="shared" si="20"/>
        <v>42551.241938002524</v>
      </c>
      <c r="H49" s="21">
        <f t="shared" si="20"/>
        <v>32144.384866851815</v>
      </c>
      <c r="I49" s="21">
        <f t="shared" si="20"/>
        <v>21715.643906578578</v>
      </c>
      <c r="J49" s="21">
        <f t="shared" si="20"/>
        <v>10539.876009228065</v>
      </c>
      <c r="K49" s="21">
        <f t="shared" si="21"/>
        <v>11133.678265196902</v>
      </c>
      <c r="L49" s="21">
        <f t="shared" si="21"/>
        <v>18286.541121605973</v>
      </c>
      <c r="M49" s="21">
        <f t="shared" si="22"/>
        <v>18182.569324025233</v>
      </c>
      <c r="N49" s="21">
        <f t="shared" ref="N49:N52" si="44">M49+N42+M56</f>
        <v>7392.6391733855044</v>
      </c>
      <c r="O49" s="21">
        <f>N49+O42+N56+N66</f>
        <v>-257184.0212593847</v>
      </c>
      <c r="P49" s="21">
        <f t="shared" si="23"/>
        <v>-245676.57808881748</v>
      </c>
      <c r="Q49" s="21">
        <f t="shared" si="24"/>
        <v>-225945.38773332577</v>
      </c>
      <c r="R49" s="21">
        <f t="shared" si="25"/>
        <v>-204196.15814190955</v>
      </c>
      <c r="S49" s="21">
        <f t="shared" si="26"/>
        <v>-193082.09240337258</v>
      </c>
      <c r="T49" s="21">
        <f t="shared" si="27"/>
        <v>-196755.75232833624</v>
      </c>
      <c r="U49" s="21">
        <f t="shared" si="28"/>
        <v>-199151.28652275135</v>
      </c>
      <c r="V49" s="21">
        <f t="shared" si="29"/>
        <v>-194116.45146038398</v>
      </c>
      <c r="W49" s="21">
        <f t="shared" ref="W49:W52" si="45">V49+W42+V56</f>
        <v>-174662.50885330379</v>
      </c>
      <c r="X49" s="21">
        <f t="shared" si="30"/>
        <v>-152014.06440568078</v>
      </c>
      <c r="Y49" s="21">
        <f t="shared" si="30"/>
        <v>-144634.82177925645</v>
      </c>
      <c r="Z49" s="21">
        <f t="shared" si="30"/>
        <v>-148803.37778954647</v>
      </c>
      <c r="AA49" s="21">
        <f t="shared" si="30"/>
        <v>-127377.60530550308</v>
      </c>
      <c r="AB49" s="21">
        <f t="shared" si="30"/>
        <v>-111871.78138743232</v>
      </c>
      <c r="AC49" s="21">
        <f t="shared" si="30"/>
        <v>-88615.363672869498</v>
      </c>
      <c r="AD49" s="21">
        <f t="shared" si="30"/>
        <v>-58518.254017360203</v>
      </c>
      <c r="AE49" s="21">
        <f t="shared" si="30"/>
        <v>-45340.210657892123</v>
      </c>
      <c r="AF49" s="21">
        <f t="shared" si="30"/>
        <v>-48103.804892133601</v>
      </c>
      <c r="AG49" s="21">
        <f t="shared" si="30"/>
        <v>-53354.715692708996</v>
      </c>
      <c r="AH49" s="21">
        <f t="shared" si="30"/>
        <v>-54690.615290022375</v>
      </c>
      <c r="AI49" s="21">
        <f t="shared" si="30"/>
        <v>-38533.349595069922</v>
      </c>
      <c r="AJ49" s="21">
        <f t="shared" si="31"/>
        <v>-14320.337748877504</v>
      </c>
      <c r="AK49" s="21">
        <f t="shared" si="32"/>
        <v>-3122.6664355759144</v>
      </c>
      <c r="AL49" s="21">
        <f t="shared" si="33"/>
        <v>-12944.801197068989</v>
      </c>
      <c r="AM49" s="21">
        <f t="shared" si="34"/>
        <v>-22246.832798398878</v>
      </c>
      <c r="AN49" s="21">
        <f t="shared" si="35"/>
        <v>-7666.6059949740857</v>
      </c>
      <c r="AO49" s="21">
        <f t="shared" si="36"/>
        <v>9536.5183758752355</v>
      </c>
      <c r="AP49" s="21">
        <f t="shared" si="37"/>
        <v>30810.688335176706</v>
      </c>
      <c r="AQ49" s="21">
        <f t="shared" si="38"/>
        <v>33364.237053003148</v>
      </c>
      <c r="AR49" s="21">
        <f t="shared" si="39"/>
        <v>15820.514027532094</v>
      </c>
      <c r="AS49" s="21">
        <f t="shared" si="40"/>
        <v>5766.4924918461747</v>
      </c>
      <c r="AT49" s="21">
        <f t="shared" si="41"/>
        <v>-1308.979327584567</v>
      </c>
      <c r="AU49" s="21">
        <f t="shared" si="42"/>
        <v>9155.7631285879197</v>
      </c>
      <c r="AV49" s="72">
        <f>AU49+AV42+AU56</f>
        <v>25716.448459904859</v>
      </c>
      <c r="AW49" s="21">
        <f t="shared" ref="AW49:AX49" si="46">AV49+AW42+AV56</f>
        <v>24835.385035095489</v>
      </c>
      <c r="AX49" s="75">
        <f t="shared" si="46"/>
        <v>10710.973620749994</v>
      </c>
    </row>
    <row r="50" spans="1:50" x14ac:dyDescent="0.25">
      <c r="A50" t="s">
        <v>5</v>
      </c>
      <c r="B50" s="210">
        <v>0</v>
      </c>
      <c r="C50" s="21">
        <f>B50+C43+B57+B67</f>
        <v>75893.87882827982</v>
      </c>
      <c r="D50" s="21">
        <f t="shared" si="43"/>
        <v>82600.57511573963</v>
      </c>
      <c r="E50" s="21">
        <f t="shared" si="20"/>
        <v>103127.52824383105</v>
      </c>
      <c r="F50" s="21">
        <f t="shared" si="20"/>
        <v>121313.39603989256</v>
      </c>
      <c r="G50" s="21">
        <f t="shared" si="20"/>
        <v>126210.10475878991</v>
      </c>
      <c r="H50" s="21">
        <f t="shared" si="20"/>
        <v>108682.43229427114</v>
      </c>
      <c r="I50" s="21">
        <f t="shared" si="20"/>
        <v>92532.396685248314</v>
      </c>
      <c r="J50" s="21">
        <f t="shared" si="20"/>
        <v>73431.173693086792</v>
      </c>
      <c r="K50" s="21">
        <f t="shared" si="21"/>
        <v>73008.456495925508</v>
      </c>
      <c r="L50" s="21">
        <f t="shared" si="21"/>
        <v>88412.228522576363</v>
      </c>
      <c r="M50" s="21">
        <f t="shared" si="22"/>
        <v>92872.498143763718</v>
      </c>
      <c r="N50" s="21">
        <f t="shared" si="44"/>
        <v>88671.04197699466</v>
      </c>
      <c r="O50" s="21">
        <f>N50+O43+N57+N67</f>
        <v>-150642.78330077039</v>
      </c>
      <c r="P50" s="21">
        <f t="shared" si="23"/>
        <v>-144227.05412254119</v>
      </c>
      <c r="Q50" s="21">
        <f t="shared" si="24"/>
        <v>-121024.61521662788</v>
      </c>
      <c r="R50" s="21">
        <f t="shared" si="25"/>
        <v>-107379.72922667924</v>
      </c>
      <c r="S50" s="21">
        <f t="shared" si="26"/>
        <v>-115659.92960664407</v>
      </c>
      <c r="T50" s="21">
        <f t="shared" si="27"/>
        <v>-145921.94949787061</v>
      </c>
      <c r="U50" s="21">
        <f t="shared" si="28"/>
        <v>-177514.09802265285</v>
      </c>
      <c r="V50" s="21">
        <f t="shared" si="29"/>
        <v>-199125.58985284797</v>
      </c>
      <c r="W50" s="21">
        <f t="shared" si="45"/>
        <v>-190554.58111155147</v>
      </c>
      <c r="X50" s="21">
        <f t="shared" si="30"/>
        <v>-178112.12185779889</v>
      </c>
      <c r="Y50" s="21">
        <f t="shared" si="30"/>
        <v>-184825.20805921257</v>
      </c>
      <c r="Z50" s="21">
        <f t="shared" si="30"/>
        <v>-198365.48881324215</v>
      </c>
      <c r="AA50" s="21">
        <f t="shared" si="30"/>
        <v>-149345.71445341854</v>
      </c>
      <c r="AB50" s="21">
        <f t="shared" si="30"/>
        <v>-109955.75581242739</v>
      </c>
      <c r="AC50" s="21">
        <f t="shared" si="30"/>
        <v>-61739.832842614116</v>
      </c>
      <c r="AD50" s="21">
        <f t="shared" si="30"/>
        <v>-12352.776002867864</v>
      </c>
      <c r="AE50" s="21">
        <f t="shared" si="30"/>
        <v>11200.11442682196</v>
      </c>
      <c r="AF50" s="21">
        <f t="shared" si="30"/>
        <v>17928.132415922515</v>
      </c>
      <c r="AG50" s="21">
        <f t="shared" si="30"/>
        <v>15979.059973041825</v>
      </c>
      <c r="AH50" s="21">
        <f t="shared" si="30"/>
        <v>13960.818819456279</v>
      </c>
      <c r="AI50" s="21">
        <f t="shared" si="30"/>
        <v>41907.044317306871</v>
      </c>
      <c r="AJ50" s="21">
        <f t="shared" si="31"/>
        <v>87397.560941526084</v>
      </c>
      <c r="AK50" s="21">
        <f t="shared" si="32"/>
        <v>119479.17501939851</v>
      </c>
      <c r="AL50" s="21">
        <f t="shared" si="33"/>
        <v>130985.49783009742</v>
      </c>
      <c r="AM50" s="21">
        <f t="shared" si="34"/>
        <v>141911.76117264578</v>
      </c>
      <c r="AN50" s="21">
        <f t="shared" si="35"/>
        <v>165854.22738554631</v>
      </c>
      <c r="AO50" s="21">
        <f t="shared" si="36"/>
        <v>190036.11618152933</v>
      </c>
      <c r="AP50" s="21">
        <f t="shared" si="37"/>
        <v>212743.49167872575</v>
      </c>
      <c r="AQ50" s="21">
        <f t="shared" si="38"/>
        <v>208333.74761710758</v>
      </c>
      <c r="AR50" s="21">
        <f t="shared" si="39"/>
        <v>174168.13015187194</v>
      </c>
      <c r="AS50" s="21">
        <f t="shared" si="40"/>
        <v>155936.48651637882</v>
      </c>
      <c r="AT50" s="21">
        <f t="shared" si="41"/>
        <v>137400.26192282318</v>
      </c>
      <c r="AU50" s="21">
        <f t="shared" si="42"/>
        <v>145130.51129636803</v>
      </c>
      <c r="AV50" s="72">
        <f>AU50+AV43+AU57</f>
        <v>164318.5641947774</v>
      </c>
      <c r="AW50" s="21">
        <f t="shared" ref="AW50:AX52" si="47">AV50+AW43+AV57</f>
        <v>162891.67167899583</v>
      </c>
      <c r="AX50" s="75">
        <f>AW50+AX43+AW57</f>
        <v>150008.00484142313</v>
      </c>
    </row>
    <row r="51" spans="1:50" x14ac:dyDescent="0.25">
      <c r="A51" t="s">
        <v>6</v>
      </c>
      <c r="B51" s="210">
        <v>0</v>
      </c>
      <c r="C51" s="21">
        <f>B51+C44+B58+B68</f>
        <v>34801.19148382893</v>
      </c>
      <c r="D51" s="21">
        <f t="shared" si="43"/>
        <v>43033.588865093763</v>
      </c>
      <c r="E51" s="21">
        <f t="shared" si="20"/>
        <v>50802.510739953752</v>
      </c>
      <c r="F51" s="21">
        <f t="shared" si="20"/>
        <v>56643.548788311367</v>
      </c>
      <c r="G51" s="21">
        <f t="shared" si="20"/>
        <v>64485.116808662206</v>
      </c>
      <c r="H51" s="21">
        <f t="shared" si="20"/>
        <v>55676.651820655825</v>
      </c>
      <c r="I51" s="21">
        <f t="shared" si="20"/>
        <v>52275.921242114156</v>
      </c>
      <c r="J51" s="21">
        <f t="shared" si="20"/>
        <v>48102.130607327628</v>
      </c>
      <c r="K51" s="21">
        <f t="shared" si="21"/>
        <v>52218.40718004651</v>
      </c>
      <c r="L51" s="21">
        <f t="shared" si="21"/>
        <v>63310.417026717878</v>
      </c>
      <c r="M51" s="21">
        <f t="shared" si="22"/>
        <v>60106.249889261882</v>
      </c>
      <c r="N51" s="21">
        <f t="shared" si="44"/>
        <v>59169.716995455965</v>
      </c>
      <c r="O51" s="21">
        <f>N51+O44+N58+N68</f>
        <v>6885.4974952448392</v>
      </c>
      <c r="P51" s="21">
        <f t="shared" si="23"/>
        <v>2773.538103891517</v>
      </c>
      <c r="Q51" s="21">
        <f t="shared" si="24"/>
        <v>18663.870621890568</v>
      </c>
      <c r="R51" s="21">
        <f t="shared" si="25"/>
        <v>15461.438193432217</v>
      </c>
      <c r="S51" s="21">
        <f t="shared" si="26"/>
        <v>95.579394546132775</v>
      </c>
      <c r="T51" s="21">
        <f t="shared" si="27"/>
        <v>-19198.067067730361</v>
      </c>
      <c r="U51" s="21">
        <f t="shared" si="28"/>
        <v>-37632.356054202864</v>
      </c>
      <c r="V51" s="21">
        <f t="shared" si="29"/>
        <v>-53564.520562715341</v>
      </c>
      <c r="W51" s="21">
        <f t="shared" si="45"/>
        <v>-58127.76305265673</v>
      </c>
      <c r="X51" s="21">
        <f t="shared" si="30"/>
        <v>-63506.80725796066</v>
      </c>
      <c r="Y51" s="21">
        <f t="shared" si="30"/>
        <v>-71881.586796054093</v>
      </c>
      <c r="Z51" s="21">
        <f t="shared" si="30"/>
        <v>-75828.184840502276</v>
      </c>
      <c r="AA51" s="21">
        <f t="shared" si="30"/>
        <v>-58233.630577665033</v>
      </c>
      <c r="AB51" s="21">
        <f t="shared" si="30"/>
        <v>-42168.82991209079</v>
      </c>
      <c r="AC51" s="21">
        <f t="shared" si="30"/>
        <v>-28384.408500431131</v>
      </c>
      <c r="AD51" s="21">
        <f t="shared" si="30"/>
        <v>-14737.312927261017</v>
      </c>
      <c r="AE51" s="21">
        <f t="shared" si="30"/>
        <v>-5212.332438631297</v>
      </c>
      <c r="AF51" s="21">
        <f t="shared" si="30"/>
        <v>2028.0354532058768</v>
      </c>
      <c r="AG51" s="21">
        <f t="shared" si="30"/>
        <v>-3575.9956505609684</v>
      </c>
      <c r="AH51" s="21">
        <f t="shared" si="30"/>
        <v>-4299.7891505336866</v>
      </c>
      <c r="AI51" s="21">
        <f t="shared" si="30"/>
        <v>8908.1328654818317</v>
      </c>
      <c r="AJ51" s="21">
        <f t="shared" si="31"/>
        <v>21566.037587206025</v>
      </c>
      <c r="AK51" s="21">
        <f t="shared" si="32"/>
        <v>36184.982692178877</v>
      </c>
      <c r="AL51" s="21">
        <f t="shared" si="33"/>
        <v>45931.105885523029</v>
      </c>
      <c r="AM51" s="21">
        <f t="shared" si="34"/>
        <v>50411.032549352625</v>
      </c>
      <c r="AN51" s="21">
        <f t="shared" si="35"/>
        <v>56850.210345717314</v>
      </c>
      <c r="AO51" s="21">
        <f t="shared" si="36"/>
        <v>66920.739587167205</v>
      </c>
      <c r="AP51" s="21">
        <f t="shared" si="37"/>
        <v>72602.496205989577</v>
      </c>
      <c r="AQ51" s="21">
        <f t="shared" si="38"/>
        <v>70058.935511246556</v>
      </c>
      <c r="AR51" s="21">
        <f t="shared" si="39"/>
        <v>60269.29890842217</v>
      </c>
      <c r="AS51" s="21">
        <f t="shared" si="40"/>
        <v>56289.647669162048</v>
      </c>
      <c r="AT51" s="21">
        <f t="shared" si="41"/>
        <v>54151.075177078164</v>
      </c>
      <c r="AU51" s="21">
        <f t="shared" si="42"/>
        <v>53728.320150570937</v>
      </c>
      <c r="AV51" s="72">
        <f>AU51+AV44+AU58</f>
        <v>58107.941549766794</v>
      </c>
      <c r="AW51" s="21">
        <f t="shared" si="47"/>
        <v>57304.471503896624</v>
      </c>
      <c r="AX51" s="75">
        <f t="shared" si="47"/>
        <v>52353.084324158488</v>
      </c>
    </row>
    <row r="52" spans="1:50" x14ac:dyDescent="0.25">
      <c r="A52" t="s">
        <v>7</v>
      </c>
      <c r="B52" s="210">
        <v>0</v>
      </c>
      <c r="C52" s="21">
        <f>B52+C45+B59+B69</f>
        <v>16871.882370239568</v>
      </c>
      <c r="D52" s="21">
        <f t="shared" si="43"/>
        <v>29144.504035070298</v>
      </c>
      <c r="E52" s="21">
        <f t="shared" si="20"/>
        <v>33253.945768815844</v>
      </c>
      <c r="F52" s="21">
        <f t="shared" si="20"/>
        <v>37022.952560264857</v>
      </c>
      <c r="G52" s="21">
        <f t="shared" si="20"/>
        <v>41516.11184607898</v>
      </c>
      <c r="H52" s="21">
        <f t="shared" si="20"/>
        <v>40373.681913500586</v>
      </c>
      <c r="I52" s="21">
        <f t="shared" si="20"/>
        <v>40488.084913156745</v>
      </c>
      <c r="J52" s="21">
        <f t="shared" si="20"/>
        <v>38585.359374018088</v>
      </c>
      <c r="K52" s="21">
        <f t="shared" si="20"/>
        <v>38887.325661075971</v>
      </c>
      <c r="L52" s="21">
        <f t="shared" ref="L52" si="48">K52+L45+K59</f>
        <v>47534.601934611332</v>
      </c>
      <c r="M52" s="21">
        <f t="shared" si="22"/>
        <v>49758.710151924126</v>
      </c>
      <c r="N52" s="21">
        <f t="shared" si="44"/>
        <v>53553.226899962734</v>
      </c>
      <c r="O52" s="21">
        <f>N52+O45+N59+N69</f>
        <v>179331.53680444419</v>
      </c>
      <c r="P52" s="21">
        <f t="shared" si="23"/>
        <v>171135.23825162571</v>
      </c>
      <c r="Q52" s="21">
        <f t="shared" si="24"/>
        <v>257299.29001852256</v>
      </c>
      <c r="R52" s="21">
        <f t="shared" si="25"/>
        <v>255565.3878646314</v>
      </c>
      <c r="S52" s="21">
        <f t="shared" si="26"/>
        <v>245859.58451349483</v>
      </c>
      <c r="T52" s="21">
        <f t="shared" si="27"/>
        <v>229723.95591339111</v>
      </c>
      <c r="U52" s="21">
        <f t="shared" si="28"/>
        <v>214261.39318651121</v>
      </c>
      <c r="V52" s="21">
        <f t="shared" si="29"/>
        <v>196701.15894672551</v>
      </c>
      <c r="W52" s="21">
        <f t="shared" si="45"/>
        <v>186579.94137758049</v>
      </c>
      <c r="X52" s="21">
        <f t="shared" si="30"/>
        <v>176623.39529187366</v>
      </c>
      <c r="Y52" s="21">
        <f t="shared" si="30"/>
        <v>167753.28487411304</v>
      </c>
      <c r="Z52" s="21">
        <f t="shared" si="30"/>
        <v>165828.29637809814</v>
      </c>
      <c r="AA52" s="21">
        <f t="shared" si="30"/>
        <v>171479.06701745369</v>
      </c>
      <c r="AB52" s="21">
        <f t="shared" si="30"/>
        <v>175704.52832271514</v>
      </c>
      <c r="AC52" s="21">
        <f t="shared" si="30"/>
        <v>179820.5271268473</v>
      </c>
      <c r="AD52" s="21">
        <f t="shared" si="30"/>
        <v>182157.28551989081</v>
      </c>
      <c r="AE52" s="21">
        <f t="shared" si="30"/>
        <v>176395.20698710161</v>
      </c>
      <c r="AF52" s="21">
        <f t="shared" si="30"/>
        <v>173712.62371184173</v>
      </c>
      <c r="AG52" s="21">
        <f t="shared" si="30"/>
        <v>164436.90858997</v>
      </c>
      <c r="AH52" s="21">
        <f t="shared" si="30"/>
        <v>150435.02214194305</v>
      </c>
      <c r="AI52" s="21">
        <f t="shared" si="30"/>
        <v>135879.66914705755</v>
      </c>
      <c r="AJ52" s="21">
        <f t="shared" si="31"/>
        <v>127440.35106355473</v>
      </c>
      <c r="AK52" s="21">
        <f t="shared" si="32"/>
        <v>112737.19991981209</v>
      </c>
      <c r="AL52" s="21">
        <f t="shared" si="33"/>
        <v>105083.06889927706</v>
      </c>
      <c r="AM52" s="21">
        <f t="shared" si="34"/>
        <v>104043.97975711139</v>
      </c>
      <c r="AN52" s="21">
        <f t="shared" si="35"/>
        <v>106145.64326843263</v>
      </c>
      <c r="AO52" s="21">
        <f t="shared" si="36"/>
        <v>109282.9877749248</v>
      </c>
      <c r="AP52" s="21">
        <f t="shared" si="37"/>
        <v>105279.45735313793</v>
      </c>
      <c r="AQ52" s="21">
        <f t="shared" si="38"/>
        <v>100700.15752192003</v>
      </c>
      <c r="AR52" s="21">
        <f t="shared" si="39"/>
        <v>89913.882068872248</v>
      </c>
      <c r="AS52" s="21">
        <f t="shared" si="40"/>
        <v>79755.522191618278</v>
      </c>
      <c r="AT52" s="21">
        <f t="shared" si="41"/>
        <v>75340.907566172304</v>
      </c>
      <c r="AU52" s="21">
        <f t="shared" si="42"/>
        <v>70904.353629476551</v>
      </c>
      <c r="AV52" s="72">
        <f>AU52+AV45+AU59</f>
        <v>67780.624675493367</v>
      </c>
      <c r="AW52" s="21">
        <f>AV52+AW45+AV59</f>
        <v>65112.048810444961</v>
      </c>
      <c r="AX52" s="75">
        <f t="shared" si="47"/>
        <v>62600.888967259416</v>
      </c>
    </row>
    <row r="53" spans="1:50" x14ac:dyDescent="0.25">
      <c r="B53" s="65"/>
      <c r="AV53" s="65"/>
      <c r="AX53" s="67"/>
    </row>
    <row r="54" spans="1:50" x14ac:dyDescent="0.25">
      <c r="A54" t="s">
        <v>64</v>
      </c>
      <c r="B54" s="187">
        <f>'PCR (M3)'!AA67</f>
        <v>1.7178250000000002E-4</v>
      </c>
      <c r="C54" s="127">
        <f>'PCR (M3)'!AB67</f>
        <v>1.9351416666666668E-4</v>
      </c>
      <c r="D54" s="127">
        <f>'PCR (M3)'!AC67</f>
        <v>1.7806166666666664E-4</v>
      </c>
      <c r="E54" s="127">
        <f>'PCR (M3)'!AD67</f>
        <v>1.8760249999999999E-4</v>
      </c>
      <c r="F54" s="127">
        <f>'PCR (M3)'!AE67</f>
        <v>1.8689333333333334E-4</v>
      </c>
      <c r="G54" s="127">
        <f>'PCR (M3)'!AF67</f>
        <v>1.6804916666666666E-4</v>
      </c>
      <c r="H54" s="127">
        <f>'PCR (M3)'!AG67</f>
        <v>1.1629083333333334E-4</v>
      </c>
      <c r="I54" s="127">
        <f>'PCR (M3)'!AH67</f>
        <v>1.7091583333333333E-4</v>
      </c>
      <c r="J54" s="127">
        <f>'PCR (M3)'!AI67</f>
        <v>1.6102749999999998E-4</v>
      </c>
      <c r="K54" s="127">
        <f>'PCR (M3)'!AJ67</f>
        <v>1.25E-4</v>
      </c>
      <c r="L54" s="127">
        <f>'PCR (M3)'!AK67</f>
        <v>1.2767416666666667E-4</v>
      </c>
      <c r="M54" s="127">
        <f>'PCR (M3)'!AL67</f>
        <v>2.1705333333333333E-4</v>
      </c>
      <c r="N54" s="127">
        <f>'PCR (M3)'!AM67</f>
        <v>1.9537499999999999E-4</v>
      </c>
      <c r="O54" s="127">
        <f>'PCR (M3)'!AN67</f>
        <v>2.4654083333333334E-4</v>
      </c>
      <c r="P54" s="127">
        <f>'PCR (M3)'!AO67</f>
        <v>5.7357999999999997E-4</v>
      </c>
      <c r="Q54" s="127">
        <f>'PCR (M3)'!AP67</f>
        <v>5.0034666666666668E-4</v>
      </c>
      <c r="R54" s="127">
        <f>'PCR (M3)'!AQ67</f>
        <v>7.9142083333333336E-4</v>
      </c>
      <c r="S54" s="127">
        <f>'PCR (M3)'!AR67</f>
        <v>1.2382216666666666E-3</v>
      </c>
      <c r="T54" s="127">
        <f>'PCR (M3)'!AS67</f>
        <v>1.7139083333333333E-3</v>
      </c>
      <c r="U54" s="127">
        <f>'PCR (M3)'!AT67</f>
        <v>2.1367116666666667E-3</v>
      </c>
      <c r="V54" s="127">
        <f>'PCR (M3)'!AU67</f>
        <v>2.3680800000000003E-3</v>
      </c>
      <c r="W54" s="127">
        <f>'PCR (M3)'!AV67</f>
        <v>2.8917666666666668E-3</v>
      </c>
      <c r="X54" s="127">
        <f>'PCR (M3)'!AW67</f>
        <v>3.5717483333333332E-3</v>
      </c>
      <c r="Y54" s="127">
        <f>'PCR (M3)'!AX67</f>
        <v>3.8480024999999998E-3</v>
      </c>
      <c r="Z54" s="127">
        <f>'PCR (M3)'!AY67</f>
        <v>3.9868766666666666E-3</v>
      </c>
      <c r="AA54" s="127">
        <f>'PCR (M3)'!AZ67</f>
        <v>4.0399541666666667E-3</v>
      </c>
      <c r="AB54" s="127">
        <f>'PCR (M3)'!BA67</f>
        <v>4.1578449999999994E-3</v>
      </c>
      <c r="AC54" s="127">
        <f>'PCR (M3)'!BB67</f>
        <v>4.3739341666666669E-3</v>
      </c>
      <c r="AD54" s="127">
        <f>'PCR (M3)'!BC67</f>
        <v>4.4389866278539119E-3</v>
      </c>
      <c r="AE54" s="127">
        <f>'PCR (M3)'!BD67</f>
        <v>4.4956850000000001E-3</v>
      </c>
      <c r="AF54" s="127">
        <f>'PCR (M3)'!BE67</f>
        <v>4.5355533333333335E-3</v>
      </c>
      <c r="AG54" s="127">
        <f>'PCR (M3)'!BF67</f>
        <v>4.6003991666666664E-3</v>
      </c>
      <c r="AH54" s="127">
        <f>'PCR (M3)'!BG67</f>
        <v>4.6126058333333334E-3</v>
      </c>
      <c r="AI54" s="127">
        <f>'PCR (M3)'!BH67</f>
        <v>4.5978799999999995E-3</v>
      </c>
      <c r="AJ54" s="127">
        <f>'PCR (M3)'!BI67</f>
        <v>4.6317149999999998E-3</v>
      </c>
      <c r="AK54" s="127">
        <f>'PCR (M3)'!BJ67</f>
        <v>4.6229791666666667E-3</v>
      </c>
      <c r="AL54" s="127">
        <f>'PCR (M3)'!BK67</f>
        <v>4.4819374999999998E-3</v>
      </c>
      <c r="AM54" s="127">
        <f>'PCR (M3)'!BL67</f>
        <v>4.4809758333333337E-3</v>
      </c>
      <c r="AN54" s="127">
        <f>'PCR (M3)'!BM67</f>
        <v>4.5238608333333331E-3</v>
      </c>
      <c r="AO54" s="127">
        <f>'PCR (M3)'!BN67</f>
        <v>4.583470833333333E-3</v>
      </c>
      <c r="AP54" s="127">
        <f>'PCR (M3)'!BO67</f>
        <v>4.5750000000000001E-3</v>
      </c>
      <c r="AQ54" s="127">
        <f>'PCR (M3)'!BP67</f>
        <v>4.6273308333333336E-3</v>
      </c>
      <c r="AR54" s="127">
        <f>'PCR (M3)'!BQ67</f>
        <v>4.6511725E-3</v>
      </c>
      <c r="AS54" s="127">
        <f>'PCR (M3)'!BR67</f>
        <v>4.6366416666666667E-3</v>
      </c>
      <c r="AT54" s="127">
        <f>'PCR (M3)'!BS67</f>
        <v>4.4211241666666668E-3</v>
      </c>
      <c r="AU54" s="127">
        <f>'PCR (M3)'!BT67</f>
        <v>4.1172866666666667E-3</v>
      </c>
      <c r="AV54" s="187">
        <f>AU54</f>
        <v>4.1172866666666667E-3</v>
      </c>
      <c r="AW54" s="127">
        <f>AV54</f>
        <v>4.1172866666666667E-3</v>
      </c>
      <c r="AX54" s="157">
        <f>AW54</f>
        <v>4.1172866666666667E-3</v>
      </c>
    </row>
    <row r="55" spans="1:50" x14ac:dyDescent="0.25">
      <c r="A55" t="s">
        <v>0</v>
      </c>
      <c r="B55" s="210">
        <f t="shared" ref="B55:AX59" si="49">B48*B$54</f>
        <v>0</v>
      </c>
      <c r="C55" s="21">
        <f>C48*C$54</f>
        <v>15.633926733139104</v>
      </c>
      <c r="D55" s="21">
        <f t="shared" ref="D55:K59" si="50">D48*D$54</f>
        <v>9.8167877733198292</v>
      </c>
      <c r="E55" s="21">
        <f t="shared" si="50"/>
        <v>21.717673383330595</v>
      </c>
      <c r="F55" s="21">
        <f t="shared" si="50"/>
        <v>35.030099026447608</v>
      </c>
      <c r="G55" s="21">
        <f t="shared" si="50"/>
        <v>34.81693661669361</v>
      </c>
      <c r="H55" s="21">
        <f t="shared" si="50"/>
        <v>18.153165498141572</v>
      </c>
      <c r="I55" s="21">
        <f t="shared" si="50"/>
        <v>16.951932205713213</v>
      </c>
      <c r="J55" s="21">
        <f t="shared" si="50"/>
        <v>7.6359827927040094</v>
      </c>
      <c r="K55" s="21">
        <f>K48*K$54</f>
        <v>10.661997897023326</v>
      </c>
      <c r="L55" s="21">
        <f t="shared" ref="L55:V55" si="51">L48*L$54</f>
        <v>17.252483712200739</v>
      </c>
      <c r="M55" s="21">
        <f t="shared" si="51"/>
        <v>29.627568947320537</v>
      </c>
      <c r="N55" s="21">
        <f t="shared" si="51"/>
        <v>13.308680990008027</v>
      </c>
      <c r="O55" s="21">
        <f t="shared" si="51"/>
        <v>-222.57119906332727</v>
      </c>
      <c r="P55" s="21">
        <f t="shared" si="51"/>
        <v>-525.31120549226853</v>
      </c>
      <c r="Q55" s="21">
        <f t="shared" si="51"/>
        <v>-417.84483470331173</v>
      </c>
      <c r="R55" s="21">
        <f t="shared" si="51"/>
        <v>-580.32036616646872</v>
      </c>
      <c r="S55" s="21">
        <f t="shared" si="51"/>
        <v>-876.02296019357391</v>
      </c>
      <c r="T55" s="21">
        <f t="shared" si="51"/>
        <v>-1399.1682806472602</v>
      </c>
      <c r="U55" s="21">
        <f t="shared" si="51"/>
        <v>-1928.7374356194871</v>
      </c>
      <c r="V55" s="21">
        <f t="shared" si="51"/>
        <v>-2158.3549845822499</v>
      </c>
      <c r="W55" s="21">
        <f>W48*W$54</f>
        <v>-2345.6806698974328</v>
      </c>
      <c r="X55" s="21">
        <f>X48*X$54</f>
        <v>-2487.8148892700683</v>
      </c>
      <c r="Y55" s="21">
        <f t="shared" ref="Y55:AI55" si="52">Y48*Y$54</f>
        <v>-2787.169733691896</v>
      </c>
      <c r="Z55" s="285">
        <f>((Z48+Z65)*Z$54)+(Z48/(SUM($Z$48:$Z$52))*'[2]MEEIA 3 calcs'!$AZ$84)</f>
        <v>-3444.2826310836531</v>
      </c>
      <c r="AA55" s="21">
        <f t="shared" si="52"/>
        <v>-3279.9131260637764</v>
      </c>
      <c r="AB55" s="21">
        <f t="shared" si="52"/>
        <v>-3076.828043577058</v>
      </c>
      <c r="AC55" s="21">
        <f t="shared" si="52"/>
        <v>-2684.337489493163</v>
      </c>
      <c r="AD55" s="21">
        <f t="shared" si="52"/>
        <v>-1942.6864568027368</v>
      </c>
      <c r="AE55" s="21">
        <f t="shared" si="52"/>
        <v>-1549.7092288229833</v>
      </c>
      <c r="AF55" s="21">
        <f t="shared" si="52"/>
        <v>-1658.7488604411606</v>
      </c>
      <c r="AG55" s="21">
        <f t="shared" si="52"/>
        <v>-1850.1900717102906</v>
      </c>
      <c r="AH55" s="21">
        <f t="shared" si="52"/>
        <v>-1851.7401392880199</v>
      </c>
      <c r="AI55" s="21">
        <f t="shared" si="52"/>
        <v>-1258.5376271912796</v>
      </c>
      <c r="AJ55" s="21">
        <f t="shared" ref="AJ55:AU55" si="53">AJ48*AJ$54</f>
        <v>-479.31790910760179</v>
      </c>
      <c r="AK55" s="21">
        <f t="shared" si="53"/>
        <v>-224.64922240446182</v>
      </c>
      <c r="AL55" s="21">
        <f t="shared" si="53"/>
        <v>-538.0004962636516</v>
      </c>
      <c r="AM55" s="21">
        <f t="shared" si="53"/>
        <v>-1068.7677310609861</v>
      </c>
      <c r="AN55" s="21">
        <f t="shared" si="53"/>
        <v>-809.08593930087181</v>
      </c>
      <c r="AO55" s="21">
        <f t="shared" si="53"/>
        <v>-427.03472834914146</v>
      </c>
      <c r="AP55" s="21">
        <f t="shared" si="53"/>
        <v>87.770450164044547</v>
      </c>
      <c r="AQ55" s="21">
        <f t="shared" si="53"/>
        <v>189.64017412074548</v>
      </c>
      <c r="AR55" s="21">
        <f t="shared" si="53"/>
        <v>-243.27884347045256</v>
      </c>
      <c r="AS55" s="21">
        <f t="shared" si="53"/>
        <v>-488.83758033619898</v>
      </c>
      <c r="AT55" s="21">
        <f t="shared" si="53"/>
        <v>-608.9444839608044</v>
      </c>
      <c r="AU55" s="21">
        <f t="shared" si="53"/>
        <v>-261.7281411301189</v>
      </c>
      <c r="AV55" s="286">
        <f>AV48*AV$54</f>
        <v>-61.689358343406127</v>
      </c>
      <c r="AW55" s="21">
        <f>AW48*AW$54</f>
        <v>-202.71040810915986</v>
      </c>
      <c r="AX55" s="75">
        <f>AX48*AX$54</f>
        <v>-633.83034161360922</v>
      </c>
    </row>
    <row r="56" spans="1:50" x14ac:dyDescent="0.25">
      <c r="A56" t="s">
        <v>4</v>
      </c>
      <c r="B56" s="210">
        <f t="shared" si="49"/>
        <v>0</v>
      </c>
      <c r="C56" s="21">
        <f t="shared" si="49"/>
        <v>5.125635807763234</v>
      </c>
      <c r="D56" s="21">
        <f t="shared" si="50"/>
        <v>4.0402020279199506</v>
      </c>
      <c r="E56" s="21">
        <f t="shared" si="50"/>
        <v>5.9730778461728082</v>
      </c>
      <c r="F56" s="21">
        <f t="shared" si="50"/>
        <v>7.8557349234258123</v>
      </c>
      <c r="G56" s="21">
        <f t="shared" si="50"/>
        <v>7.1507007483130423</v>
      </c>
      <c r="H56" s="21">
        <f t="shared" si="50"/>
        <v>3.7380973031535869</v>
      </c>
      <c r="I56" s="21">
        <f t="shared" si="50"/>
        <v>3.7115473746627998</v>
      </c>
      <c r="J56" s="21">
        <f t="shared" si="50"/>
        <v>1.697209884075972</v>
      </c>
      <c r="K56" s="21">
        <f>K49*K$54</f>
        <v>1.3917097831496128</v>
      </c>
      <c r="L56" s="21">
        <f t="shared" ref="L56:W56" si="54">L49*L$54</f>
        <v>2.3347188989167749</v>
      </c>
      <c r="M56" s="21">
        <f t="shared" si="54"/>
        <v>3.9465872803440902</v>
      </c>
      <c r="N56" s="21">
        <f t="shared" si="54"/>
        <v>1.4443368785001929</v>
      </c>
      <c r="O56" s="21">
        <f t="shared" si="54"/>
        <v>-63.406362921306417</v>
      </c>
      <c r="P56" s="21">
        <f t="shared" si="54"/>
        <v>-140.91517166018392</v>
      </c>
      <c r="Q56" s="21">
        <f t="shared" si="54"/>
        <v>-113.05102160107711</v>
      </c>
      <c r="R56" s="21">
        <f t="shared" si="54"/>
        <v>-161.60509364013518</v>
      </c>
      <c r="S56" s="21">
        <f t="shared" si="54"/>
        <v>-239.07843025919132</v>
      </c>
      <c r="T56" s="21">
        <f t="shared" si="54"/>
        <v>-337.22132354680485</v>
      </c>
      <c r="U56" s="21">
        <f t="shared" si="54"/>
        <v>-425.52887734483892</v>
      </c>
      <c r="V56" s="21">
        <f t="shared" si="54"/>
        <v>-459.68328637430614</v>
      </c>
      <c r="W56" s="21">
        <f t="shared" si="54"/>
        <v>-505.08322101835546</v>
      </c>
      <c r="X56" s="21">
        <f t="shared" ref="X56:AI56" si="55">X49*X$54</f>
        <v>-542.95598118421628</v>
      </c>
      <c r="Y56" s="21">
        <f t="shared" si="55"/>
        <v>-556.55515579363328</v>
      </c>
      <c r="Z56" s="285">
        <f>((Z49+Z66)*Z$54)+(Z49/(SUM($Z$48:$Z$52))*'[2]MEEIA 3 calcs'!$AZ$84)</f>
        <v>-614.80148171970825</v>
      </c>
      <c r="AA56" s="21">
        <f t="shared" si="55"/>
        <v>-514.59968729398929</v>
      </c>
      <c r="AB56" s="21">
        <f t="shared" si="55"/>
        <v>-465.14552688282845</v>
      </c>
      <c r="AC56" s="21">
        <f t="shared" si="55"/>
        <v>-387.5977668603561</v>
      </c>
      <c r="AD56" s="21">
        <f t="shared" si="55"/>
        <v>-259.76174706842039</v>
      </c>
      <c r="AE56" s="21">
        <f t="shared" si="55"/>
        <v>-203.83530495152576</v>
      </c>
      <c r="AF56" s="21">
        <f t="shared" si="55"/>
        <v>-218.17737262453286</v>
      </c>
      <c r="AG56" s="21">
        <f t="shared" si="55"/>
        <v>-245.45298961047538</v>
      </c>
      <c r="AH56" s="21">
        <f t="shared" si="55"/>
        <v>-252.26625111534639</v>
      </c>
      <c r="AI56" s="21">
        <f t="shared" si="55"/>
        <v>-177.17171743618007</v>
      </c>
      <c r="AJ56" s="21">
        <f t="shared" ref="AJ56:AU56" si="56">AJ49*AJ$54</f>
        <v>-66.327723156542163</v>
      </c>
      <c r="AK56" s="21">
        <f t="shared" si="56"/>
        <v>-14.436021876116712</v>
      </c>
      <c r="AL56" s="21">
        <f t="shared" si="56"/>
        <v>-58.017789915188395</v>
      </c>
      <c r="AM56" s="21">
        <f t="shared" si="56"/>
        <v>-99.687520137832749</v>
      </c>
      <c r="AN56" s="21">
        <f t="shared" si="56"/>
        <v>-34.682658585261791</v>
      </c>
      <c r="AO56" s="21">
        <f t="shared" si="56"/>
        <v>43.710353827371506</v>
      </c>
      <c r="AP56" s="21">
        <f t="shared" si="56"/>
        <v>140.95889913343345</v>
      </c>
      <c r="AQ56" s="21">
        <f t="shared" si="56"/>
        <v>154.38736284600395</v>
      </c>
      <c r="AR56" s="21">
        <f t="shared" si="56"/>
        <v>73.583939780721522</v>
      </c>
      <c r="AS56" s="21">
        <f t="shared" si="56"/>
        <v>26.737159358214466</v>
      </c>
      <c r="AT56" s="21">
        <f t="shared" si="56"/>
        <v>-5.7871601388512133</v>
      </c>
      <c r="AU56" s="21">
        <f t="shared" si="56"/>
        <v>37.696901452493329</v>
      </c>
      <c r="AV56" s="286">
        <f>AV49*AV$54</f>
        <v>105.88199035798681</v>
      </c>
      <c r="AW56" s="21">
        <f t="shared" si="49"/>
        <v>102.25439966653153</v>
      </c>
      <c r="AX56" s="75">
        <f t="shared" si="49"/>
        <v>44.100148875732337</v>
      </c>
    </row>
    <row r="57" spans="1:50" x14ac:dyDescent="0.25">
      <c r="A57" t="s">
        <v>5</v>
      </c>
      <c r="B57" s="210">
        <f t="shared" si="49"/>
        <v>0</v>
      </c>
      <c r="C57" s="21">
        <f t="shared" si="49"/>
        <v>14.686540716555546</v>
      </c>
      <c r="D57" s="21">
        <f t="shared" si="50"/>
        <v>14.70799607273379</v>
      </c>
      <c r="E57" s="21">
        <f t="shared" si="50"/>
        <v>19.346982117363314</v>
      </c>
      <c r="F57" s="21">
        <f t="shared" si="50"/>
        <v>22.672664963882319</v>
      </c>
      <c r="G57" s="21">
        <f t="shared" si="50"/>
        <v>21.209502929627345</v>
      </c>
      <c r="H57" s="21">
        <f t="shared" si="50"/>
        <v>12.638770620194371</v>
      </c>
      <c r="I57" s="21">
        <f t="shared" si="50"/>
        <v>15.815251689789786</v>
      </c>
      <c r="J57" s="21">
        <f t="shared" si="50"/>
        <v>11.824438321863532</v>
      </c>
      <c r="K57" s="21">
        <f>K50*K$54</f>
        <v>9.1260570619906893</v>
      </c>
      <c r="L57" s="21">
        <f t="shared" ref="L57:W57" si="57">L50*L$54</f>
        <v>11.287957599762835</v>
      </c>
      <c r="M57" s="21">
        <f t="shared" si="57"/>
        <v>20.158285297097727</v>
      </c>
      <c r="N57" s="21">
        <f t="shared" si="57"/>
        <v>17.324104826255333</v>
      </c>
      <c r="O57" s="21">
        <f t="shared" si="57"/>
        <v>-37.139597330624682</v>
      </c>
      <c r="P57" s="21">
        <f t="shared" si="57"/>
        <v>-82.725753703607168</v>
      </c>
      <c r="Q57" s="21">
        <f t="shared" si="57"/>
        <v>-60.554262808255707</v>
      </c>
      <c r="R57" s="21">
        <f t="shared" si="57"/>
        <v>-84.982554787686169</v>
      </c>
      <c r="S57" s="21">
        <f t="shared" si="57"/>
        <v>-143.21263080408815</v>
      </c>
      <c r="T57" s="21">
        <f t="shared" si="57"/>
        <v>-250.09684526064623</v>
      </c>
      <c r="U57" s="21">
        <f t="shared" si="57"/>
        <v>-379.29644424281258</v>
      </c>
      <c r="V57" s="21">
        <f t="shared" si="57"/>
        <v>-471.54532681873229</v>
      </c>
      <c r="W57" s="21">
        <f t="shared" si="57"/>
        <v>-551.03938583901413</v>
      </c>
      <c r="X57" s="21">
        <f t="shared" ref="X57:AI57" si="58">X50*X$54</f>
        <v>-636.17167439205673</v>
      </c>
      <c r="Y57" s="21">
        <f t="shared" si="58"/>
        <v>-711.20786267487006</v>
      </c>
      <c r="Z57" s="285">
        <f>((Z50+Z67)*Z$54)+(Z50/(SUM($Z$48:$Z$52))*'[2]MEEIA 3 calcs'!$AZ$84)</f>
        <v>-819.56888980296367</v>
      </c>
      <c r="AA57" s="21">
        <f t="shared" si="58"/>
        <v>-603.34984137989841</v>
      </c>
      <c r="AB57" s="21">
        <f t="shared" si="58"/>
        <v>-457.17898952592213</v>
      </c>
      <c r="AC57" s="21">
        <f t="shared" si="58"/>
        <v>-270.04596431459868</v>
      </c>
      <c r="AD57" s="21">
        <f t="shared" si="58"/>
        <v>-54.833807493605143</v>
      </c>
      <c r="AE57" s="21">
        <f t="shared" si="58"/>
        <v>50.352186426947085</v>
      </c>
      <c r="AF57" s="21">
        <f t="shared" si="58"/>
        <v>81.314000739478757</v>
      </c>
      <c r="AG57" s="21">
        <f t="shared" si="58"/>
        <v>73.510054184098294</v>
      </c>
      <c r="AH57" s="21">
        <f t="shared" si="58"/>
        <v>64.395754324733815</v>
      </c>
      <c r="AI57" s="21">
        <f t="shared" si="58"/>
        <v>192.6835609256589</v>
      </c>
      <c r="AJ57" s="21">
        <f t="shared" ref="AJ57:AU57" si="59">AJ50*AJ$54</f>
        <v>404.80059397628048</v>
      </c>
      <c r="AK57" s="21">
        <f t="shared" si="59"/>
        <v>552.34973696519978</v>
      </c>
      <c r="AL57" s="21">
        <f t="shared" si="59"/>
        <v>587.06881468088227</v>
      </c>
      <c r="AM57" s="21">
        <f t="shared" si="59"/>
        <v>635.90317228039748</v>
      </c>
      <c r="AN57" s="21">
        <f t="shared" si="59"/>
        <v>750.30144331223369</v>
      </c>
      <c r="AO57" s="21">
        <f t="shared" si="59"/>
        <v>871.02499579798427</v>
      </c>
      <c r="AP57" s="21">
        <f t="shared" si="59"/>
        <v>973.30147443017029</v>
      </c>
      <c r="AQ57" s="21">
        <f t="shared" si="59"/>
        <v>964.02917397252679</v>
      </c>
      <c r="AR57" s="21">
        <f t="shared" si="59"/>
        <v>810.08601733880755</v>
      </c>
      <c r="AS57" s="21">
        <f t="shared" si="59"/>
        <v>723.02161073544687</v>
      </c>
      <c r="AT57" s="21">
        <f t="shared" si="59"/>
        <v>607.46361849332334</v>
      </c>
      <c r="AU57" s="21">
        <f t="shared" si="59"/>
        <v>597.54391908705213</v>
      </c>
      <c r="AV57" s="286">
        <f t="shared" si="49"/>
        <v>676.54663344496771</v>
      </c>
      <c r="AW57" s="21">
        <f t="shared" si="49"/>
        <v>670.67170791497381</v>
      </c>
      <c r="AX57" s="75">
        <f t="shared" si="49"/>
        <v>617.62595822686023</v>
      </c>
    </row>
    <row r="58" spans="1:50" x14ac:dyDescent="0.25">
      <c r="A58" t="s">
        <v>6</v>
      </c>
      <c r="B58" s="210">
        <f t="shared" si="49"/>
        <v>0</v>
      </c>
      <c r="C58" s="21">
        <f t="shared" si="49"/>
        <v>6.7345235690002525</v>
      </c>
      <c r="D58" s="21">
        <f t="shared" si="50"/>
        <v>7.6626325559667032</v>
      </c>
      <c r="E58" s="21">
        <f t="shared" si="50"/>
        <v>9.5306780210921733</v>
      </c>
      <c r="F58" s="21">
        <f t="shared" si="50"/>
        <v>10.586301644876807</v>
      </c>
      <c r="G58" s="21">
        <f t="shared" si="50"/>
        <v>10.836670142098344</v>
      </c>
      <c r="H58" s="21">
        <f t="shared" si="50"/>
        <v>6.4746842374339169</v>
      </c>
      <c r="I58" s="21">
        <f t="shared" si="50"/>
        <v>8.9347826423636434</v>
      </c>
      <c r="J58" s="21">
        <f t="shared" si="50"/>
        <v>7.745765836371449</v>
      </c>
      <c r="K58" s="21">
        <f>K51*K$54</f>
        <v>6.527300897505814</v>
      </c>
      <c r="L58" s="21">
        <f t="shared" ref="L58:W58" si="60">L51*L$54</f>
        <v>8.0831047352053496</v>
      </c>
      <c r="M58" s="21">
        <f t="shared" si="60"/>
        <v>13.046261892630589</v>
      </c>
      <c r="N58" s="21">
        <f t="shared" si="60"/>
        <v>11.560283457987209</v>
      </c>
      <c r="O58" s="21">
        <f t="shared" si="60"/>
        <v>1.6975562903922421</v>
      </c>
      <c r="P58" s="21">
        <f t="shared" si="60"/>
        <v>1.5908459856300963</v>
      </c>
      <c r="Q58" s="21">
        <f t="shared" si="60"/>
        <v>9.3384054527608722</v>
      </c>
      <c r="R58" s="21">
        <f t="shared" si="60"/>
        <v>12.236504299577954</v>
      </c>
      <c r="S58" s="21">
        <f t="shared" si="60"/>
        <v>0.11834847721390343</v>
      </c>
      <c r="T58" s="21">
        <f t="shared" si="60"/>
        <v>-32.903727131275296</v>
      </c>
      <c r="U58" s="21">
        <f t="shared" si="60"/>
        <v>-80.409494225169226</v>
      </c>
      <c r="V58" s="21">
        <f t="shared" si="60"/>
        <v>-126.84506985415496</v>
      </c>
      <c r="W58" s="21">
        <f t="shared" si="60"/>
        <v>-168.09192760357098</v>
      </c>
      <c r="X58" s="21">
        <f t="shared" ref="X58:AI58" si="61">X51*X$54</f>
        <v>-226.83033297894221</v>
      </c>
      <c r="Y58" s="21">
        <f t="shared" si="61"/>
        <v>-276.60052569518314</v>
      </c>
      <c r="Z58" s="285">
        <f>((Z51+Z68)*Z$54)+(Z51/(SUM($Z$48:$Z$52))*'[2]MEEIA 3 calcs'!$AZ$84)</f>
        <v>-313.29331128674227</v>
      </c>
      <c r="AA58" s="21">
        <f t="shared" si="61"/>
        <v>-235.26119849236525</v>
      </c>
      <c r="AB58" s="21">
        <f t="shared" si="61"/>
        <v>-175.3314586058371</v>
      </c>
      <c r="AC58" s="21">
        <f t="shared" si="61"/>
        <v>-124.15153414065949</v>
      </c>
      <c r="AD58" s="21">
        <f t="shared" si="61"/>
        <v>-65.418735014610249</v>
      </c>
      <c r="AE58" s="21">
        <f t="shared" si="61"/>
        <v>-23.433004759368142</v>
      </c>
      <c r="AF58" s="21">
        <f t="shared" si="61"/>
        <v>9.1982629599060921</v>
      </c>
      <c r="AG58" s="21">
        <f t="shared" si="61"/>
        <v>-16.451007410844301</v>
      </c>
      <c r="AH58" s="21">
        <f t="shared" si="61"/>
        <v>-19.833232517855063</v>
      </c>
      <c r="AI58" s="21">
        <f t="shared" si="61"/>
        <v>40.958525939541602</v>
      </c>
      <c r="AJ58" s="21">
        <f t="shared" ref="AJ58:AU58" si="62">AJ51*AJ$54</f>
        <v>99.887739783225953</v>
      </c>
      <c r="AK58" s="21">
        <f t="shared" si="62"/>
        <v>167.28242113213688</v>
      </c>
      <c r="AL58" s="21">
        <f t="shared" si="62"/>
        <v>205.86034588479637</v>
      </c>
      <c r="AM58" s="21">
        <f t="shared" si="62"/>
        <v>225.89061858702919</v>
      </c>
      <c r="AN58" s="21">
        <f t="shared" si="62"/>
        <v>257.18243994975199</v>
      </c>
      <c r="AO58" s="21">
        <f t="shared" si="62"/>
        <v>306.72925804287621</v>
      </c>
      <c r="AP58" s="21">
        <f t="shared" si="62"/>
        <v>332.15642014240234</v>
      </c>
      <c r="AQ58" s="21">
        <f t="shared" si="62"/>
        <v>324.18587244170283</v>
      </c>
      <c r="AR58" s="21">
        <f t="shared" si="62"/>
        <v>280.32290567713324</v>
      </c>
      <c r="AS58" s="21">
        <f t="shared" si="62"/>
        <v>260.99492578482295</v>
      </c>
      <c r="AT58" s="21">
        <f t="shared" si="62"/>
        <v>239.40862711636373</v>
      </c>
      <c r="AU58" s="21">
        <f t="shared" si="62"/>
        <v>221.21489617834371</v>
      </c>
      <c r="AV58" s="286">
        <f t="shared" si="49"/>
        <v>239.24705297030081</v>
      </c>
      <c r="AW58" s="21">
        <f t="shared" si="49"/>
        <v>235.93893646337352</v>
      </c>
      <c r="AX58" s="75">
        <f t="shared" si="49"/>
        <v>215.55265604673343</v>
      </c>
    </row>
    <row r="59" spans="1:50" ht="15.75" thickBot="1" x14ac:dyDescent="0.3">
      <c r="A59" t="s">
        <v>7</v>
      </c>
      <c r="B59" s="210">
        <f t="shared" si="49"/>
        <v>0</v>
      </c>
      <c r="C59" s="21">
        <f t="shared" si="49"/>
        <v>3.2649482569749351</v>
      </c>
      <c r="D59" s="21">
        <f t="shared" si="50"/>
        <v>5.189518962658008</v>
      </c>
      <c r="E59" s="21">
        <f t="shared" si="50"/>
        <v>6.2385233610942743</v>
      </c>
      <c r="F59" s="21">
        <f t="shared" si="50"/>
        <v>6.9193430138297671</v>
      </c>
      <c r="G59" s="21">
        <f t="shared" si="50"/>
        <v>6.9767479989737007</v>
      </c>
      <c r="H59" s="21">
        <f t="shared" si="50"/>
        <v>4.6950891144559117</v>
      </c>
      <c r="I59" s="21">
        <f t="shared" si="50"/>
        <v>6.9200547730029456</v>
      </c>
      <c r="J59" s="21">
        <f t="shared" si="50"/>
        <v>6.213303956599697</v>
      </c>
      <c r="K59" s="21">
        <f t="shared" si="50"/>
        <v>4.8609157076344962</v>
      </c>
      <c r="L59" s="21">
        <f t="shared" ref="L59:W59" si="63">L52*L$54</f>
        <v>6.068940689833223</v>
      </c>
      <c r="M59" s="21">
        <f t="shared" si="63"/>
        <v>10.800293900842304</v>
      </c>
      <c r="N59" s="21">
        <f t="shared" si="63"/>
        <v>10.462961705580218</v>
      </c>
      <c r="O59" s="21">
        <f t="shared" si="63"/>
        <v>44.212546526715009</v>
      </c>
      <c r="P59" s="21">
        <f t="shared" si="63"/>
        <v>98.159749956367463</v>
      </c>
      <c r="Q59" s="21">
        <f t="shared" si="63"/>
        <v>128.73884209646769</v>
      </c>
      <c r="R59" s="21">
        <f t="shared" si="63"/>
        <v>202.25977223498313</v>
      </c>
      <c r="S59" s="21">
        <f t="shared" si="63"/>
        <v>304.42866450227376</v>
      </c>
      <c r="T59" s="21">
        <f t="shared" si="63"/>
        <v>393.7258024062603</v>
      </c>
      <c r="U59" s="21">
        <f t="shared" si="63"/>
        <v>457.81481853787233</v>
      </c>
      <c r="V59" s="21">
        <f t="shared" si="63"/>
        <v>465.80408047856179</v>
      </c>
      <c r="W59" s="21">
        <f t="shared" si="63"/>
        <v>539.54565514430806</v>
      </c>
      <c r="X59" s="21">
        <f t="shared" ref="X59:AI59" si="64">X52*X$54</f>
        <v>630.85431776142423</v>
      </c>
      <c r="Y59" s="21">
        <f t="shared" si="64"/>
        <v>645.5150595787992</v>
      </c>
      <c r="Z59" s="285">
        <f>((Z52+Z69)*Z$54)+(Z52/(SUM($Z$48:$Z$52))*'[2]MEEIA 3 calcs'!$AZ$84)</f>
        <v>685.14655773993684</v>
      </c>
      <c r="AA59" s="21">
        <f t="shared" si="64"/>
        <v>692.76757129327461</v>
      </c>
      <c r="AB59" s="21">
        <f t="shared" si="64"/>
        <v>730.55219456395946</v>
      </c>
      <c r="AC59" s="21">
        <f t="shared" si="64"/>
        <v>786.5231474681276</v>
      </c>
      <c r="AD59" s="21">
        <f t="shared" si="64"/>
        <v>808.59375458896227</v>
      </c>
      <c r="AE59" s="21">
        <f t="shared" si="64"/>
        <v>793.01728612380793</v>
      </c>
      <c r="AF59" s="21">
        <f t="shared" si="64"/>
        <v>787.88286951832288</v>
      </c>
      <c r="AG59" s="21">
        <f t="shared" si="64"/>
        <v>756.47541724654081</v>
      </c>
      <c r="AH59" s="21">
        <f t="shared" si="64"/>
        <v>693.8974606695557</v>
      </c>
      <c r="AI59" s="21">
        <f t="shared" si="64"/>
        <v>624.75841317787285</v>
      </c>
      <c r="AJ59" s="21">
        <f t="shared" ref="AJ59:AU59" si="65">AJ52*AJ$54</f>
        <v>590.26738562633238</v>
      </c>
      <c r="AK59" s="21">
        <f t="shared" si="65"/>
        <v>521.18172653762633</v>
      </c>
      <c r="AL59" s="21">
        <f t="shared" si="65"/>
        <v>470.97574711475357</v>
      </c>
      <c r="AM59" s="21">
        <f t="shared" si="65"/>
        <v>466.21855889543872</v>
      </c>
      <c r="AN59" s="21">
        <f t="shared" si="65"/>
        <v>480.18811821103435</v>
      </c>
      <c r="AO59" s="21">
        <f t="shared" si="65"/>
        <v>500.89538704589103</v>
      </c>
      <c r="AP59" s="21">
        <f t="shared" si="65"/>
        <v>481.65351739060605</v>
      </c>
      <c r="AQ59" s="21">
        <f t="shared" si="65"/>
        <v>465.97294382270417</v>
      </c>
      <c r="AR59" s="21">
        <f t="shared" si="65"/>
        <v>418.20497564698172</v>
      </c>
      <c r="AS59" s="21">
        <f t="shared" si="65"/>
        <v>369.79777734041528</v>
      </c>
      <c r="AT59" s="21">
        <f t="shared" si="65"/>
        <v>333.09150717940389</v>
      </c>
      <c r="AU59" s="21">
        <f t="shared" si="65"/>
        <v>291.93354980726207</v>
      </c>
      <c r="AV59" s="286">
        <f t="shared" si="49"/>
        <v>279.07226223474652</v>
      </c>
      <c r="AW59" s="21">
        <f t="shared" si="49"/>
        <v>268.08497040659421</v>
      </c>
      <c r="AX59" s="75">
        <f t="shared" si="49"/>
        <v>257.74580546637765</v>
      </c>
    </row>
    <row r="60" spans="1:50" ht="16.5" thickTop="1" thickBot="1" x14ac:dyDescent="0.3">
      <c r="A60" s="84" t="s">
        <v>70</v>
      </c>
      <c r="B60" s="211">
        <f>SUM(B55:B59)+SUM(B48:B52)-B63</f>
        <v>0</v>
      </c>
      <c r="C60" s="264">
        <f>SUM(C55:C59)+SUM(C48:C52)-C63</f>
        <v>0</v>
      </c>
      <c r="D60" s="264">
        <f t="shared" ref="D60:J60" si="66">SUM(D55:D59)+SUM(D48:D52)-D63</f>
        <v>0</v>
      </c>
      <c r="E60" s="264">
        <f t="shared" si="66"/>
        <v>0</v>
      </c>
      <c r="F60" s="264">
        <f t="shared" si="66"/>
        <v>0</v>
      </c>
      <c r="G60" s="264">
        <f t="shared" si="66"/>
        <v>4.6566128730773926E-10</v>
      </c>
      <c r="H60" s="264">
        <f t="shared" si="66"/>
        <v>5.2386894822120667E-10</v>
      </c>
      <c r="I60" s="264">
        <f t="shared" si="66"/>
        <v>6.9849193096160889E-10</v>
      </c>
      <c r="J60" s="264">
        <f t="shared" si="66"/>
        <v>7.2759576141834259E-10</v>
      </c>
      <c r="K60" s="264">
        <f>SUM(K55:K59)+SUM(K48:K52)-K63</f>
        <v>8.440110832452774E-10</v>
      </c>
      <c r="L60" s="264">
        <f t="shared" ref="L60:V60" si="67">SUM(L55:L59)+SUM(L48:L52)-L63</f>
        <v>8.7311491370201111E-10</v>
      </c>
      <c r="M60" s="264">
        <f t="shared" si="67"/>
        <v>9.8953023552894592E-10</v>
      </c>
      <c r="N60" s="264">
        <f t="shared" si="67"/>
        <v>1.1641532182693481E-9</v>
      </c>
      <c r="O60" s="264">
        <f t="shared" si="67"/>
        <v>0</v>
      </c>
      <c r="P60" s="264">
        <f t="shared" si="67"/>
        <v>0</v>
      </c>
      <c r="Q60" s="264">
        <f t="shared" si="67"/>
        <v>0</v>
      </c>
      <c r="R60" s="264">
        <f t="shared" si="67"/>
        <v>1.0477378964424133E-9</v>
      </c>
      <c r="S60" s="264">
        <f t="shared" si="67"/>
        <v>1.0477378964424133E-9</v>
      </c>
      <c r="T60" s="264">
        <f t="shared" si="67"/>
        <v>1.0477378964424133E-9</v>
      </c>
      <c r="U60" s="264">
        <f t="shared" si="67"/>
        <v>0</v>
      </c>
      <c r="V60" s="264">
        <f t="shared" si="67"/>
        <v>0</v>
      </c>
      <c r="W60" s="264">
        <f>SUM(W55:W59)+SUM(W48:W52)-W63</f>
        <v>0</v>
      </c>
      <c r="X60" s="264">
        <f t="shared" ref="X60:AI60" si="68">SUM(X55:X59)+SUM(X48:X52)-X63</f>
        <v>1.0477378964424133E-9</v>
      </c>
      <c r="Y60" s="264">
        <f t="shared" si="68"/>
        <v>0</v>
      </c>
      <c r="Z60" s="264">
        <f t="shared" si="68"/>
        <v>0</v>
      </c>
      <c r="AA60" s="264">
        <f t="shared" si="68"/>
        <v>9.3132257461547852E-10</v>
      </c>
      <c r="AB60" s="264">
        <f t="shared" si="68"/>
        <v>9.3132257461547852E-10</v>
      </c>
      <c r="AC60" s="264">
        <f t="shared" si="68"/>
        <v>9.3132257461547852E-10</v>
      </c>
      <c r="AD60" s="264">
        <f t="shared" si="68"/>
        <v>9.3132257461547852E-10</v>
      </c>
      <c r="AE60" s="264">
        <f t="shared" si="68"/>
        <v>1.1350493878126144E-9</v>
      </c>
      <c r="AF60" s="264">
        <f t="shared" si="68"/>
        <v>1.1641532182693481E-9</v>
      </c>
      <c r="AG60" s="264">
        <f t="shared" si="68"/>
        <v>1.1059455573558807E-9</v>
      </c>
      <c r="AH60" s="264">
        <f t="shared" si="68"/>
        <v>9.8953023552894592E-10</v>
      </c>
      <c r="AI60" s="264">
        <f t="shared" si="68"/>
        <v>1.076841726899147E-9</v>
      </c>
      <c r="AJ60" s="264">
        <f>SUM(AJ55:AJ59)+SUM(AJ48:AJ52)-AJ63</f>
        <v>1.0622898116707802E-9</v>
      </c>
      <c r="AK60" s="264">
        <f t="shared" ref="AK60:AU60" si="69">SUM(AK55:AK59)+SUM(AK48:AK52)-AK63</f>
        <v>1.2223608791828156E-9</v>
      </c>
      <c r="AL60" s="264">
        <f t="shared" si="69"/>
        <v>1.2514647096395493E-9</v>
      </c>
      <c r="AM60" s="264">
        <f t="shared" si="69"/>
        <v>1.3169483281672001E-9</v>
      </c>
      <c r="AN60" s="264">
        <f t="shared" si="69"/>
        <v>1.3969838619232178E-9</v>
      </c>
      <c r="AO60" s="264">
        <f t="shared" si="69"/>
        <v>1.4551915228366852E-9</v>
      </c>
      <c r="AP60" s="264">
        <f t="shared" si="69"/>
        <v>1.5133991837501526E-9</v>
      </c>
      <c r="AQ60" s="264">
        <f t="shared" si="69"/>
        <v>1.4551915228366852E-9</v>
      </c>
      <c r="AR60" s="264">
        <f t="shared" si="69"/>
        <v>1.5133991837501526E-9</v>
      </c>
      <c r="AS60" s="264">
        <f t="shared" si="69"/>
        <v>1.4551915228366852E-9</v>
      </c>
      <c r="AT60" s="264">
        <f t="shared" si="69"/>
        <v>1.4551915228366852E-9</v>
      </c>
      <c r="AU60" s="264">
        <f t="shared" si="69"/>
        <v>1.3387762010097504E-9</v>
      </c>
      <c r="AV60" s="154">
        <f>SUM(AV55:AV59)+SUM(AV48:AV52)-AV63</f>
        <v>1.3969838619232178E-9</v>
      </c>
      <c r="AW60" s="88">
        <f t="shared" ref="AW60:AX60" si="70">SUM(AW55:AW59)+SUM(AW48:AW52)-AW63</f>
        <v>1.3387762010097504E-9</v>
      </c>
      <c r="AX60" s="88">
        <f t="shared" si="70"/>
        <v>1.2514647096395493E-9</v>
      </c>
    </row>
    <row r="61" spans="1:50" ht="16.5" thickTop="1" thickBot="1" x14ac:dyDescent="0.3">
      <c r="A61" s="84" t="s">
        <v>71</v>
      </c>
      <c r="B61" s="211">
        <f t="shared" ref="B61" si="71">SUM(B55:B59)-B38</f>
        <v>0</v>
      </c>
      <c r="C61" s="264">
        <f>SUM(C55:C59)-C38</f>
        <v>-4.4249165669327795E-3</v>
      </c>
      <c r="D61" s="264">
        <f t="shared" ref="D61:K61" si="72">SUM(D55:D59)-D38</f>
        <v>-2.8626074017239489E-3</v>
      </c>
      <c r="E61" s="264">
        <f t="shared" si="72"/>
        <v>-3.0652709468412809E-3</v>
      </c>
      <c r="F61" s="264">
        <f t="shared" si="72"/>
        <v>4.1435724623113401E-3</v>
      </c>
      <c r="G61" s="264">
        <f t="shared" si="72"/>
        <v>5.5843570605418336E-4</v>
      </c>
      <c r="H61" s="264">
        <f t="shared" si="72"/>
        <v>-1.9322662063814278E-4</v>
      </c>
      <c r="I61" s="264">
        <f t="shared" si="72"/>
        <v>3.5686855323859845E-3</v>
      </c>
      <c r="J61" s="264">
        <f t="shared" si="72"/>
        <v>-3.2992083853429222E-3</v>
      </c>
      <c r="K61" s="264">
        <f t="shared" si="72"/>
        <v>-2.0186526960657147E-3</v>
      </c>
      <c r="L61" s="264">
        <f t="shared" ref="L61:W61" si="73">SUM(L55:L59)-L38</f>
        <v>-2.794364081069034E-3</v>
      </c>
      <c r="M61" s="264">
        <f t="shared" si="73"/>
        <v>-1.0026817647457165E-3</v>
      </c>
      <c r="N61" s="264">
        <f t="shared" si="73"/>
        <v>3.6785833098207377E-4</v>
      </c>
      <c r="O61" s="264">
        <f t="shared" si="73"/>
        <v>2.9435018489039066E-3</v>
      </c>
      <c r="P61" s="264">
        <f t="shared" si="73"/>
        <v>-1.5349140620628532E-3</v>
      </c>
      <c r="Q61" s="264">
        <f t="shared" si="73"/>
        <v>-2.8715634159652836E-3</v>
      </c>
      <c r="R61" s="264">
        <f t="shared" si="73"/>
        <v>-1.7380597288365607E-3</v>
      </c>
      <c r="S61" s="264">
        <f t="shared" si="73"/>
        <v>2.9917226343059156E-3</v>
      </c>
      <c r="T61" s="264">
        <f t="shared" si="73"/>
        <v>-4.3741797260281601E-3</v>
      </c>
      <c r="U61" s="264">
        <f t="shared" si="73"/>
        <v>2.5671055645943852E-3</v>
      </c>
      <c r="V61" s="264">
        <f t="shared" si="73"/>
        <v>-4.5871508818891016E-3</v>
      </c>
      <c r="W61" s="264">
        <f t="shared" si="73"/>
        <v>4.5078593484504381E-4</v>
      </c>
      <c r="X61" s="264">
        <f t="shared" ref="X61:AI61" si="74">SUM(X55:X59)-X38</f>
        <v>1.4399361402865907E-3</v>
      </c>
      <c r="Y61" s="264">
        <f t="shared" si="74"/>
        <v>1.7817232169363706E-3</v>
      </c>
      <c r="Z61" s="264">
        <f t="shared" si="74"/>
        <v>2.4384687003475847E-4</v>
      </c>
      <c r="AA61" s="264">
        <f t="shared" si="74"/>
        <v>3.7180632452873397E-3</v>
      </c>
      <c r="AB61" s="264">
        <f t="shared" si="74"/>
        <v>-1.8240276863252802E-3</v>
      </c>
      <c r="AC61" s="264">
        <f t="shared" si="74"/>
        <v>3.9265935083676595E-4</v>
      </c>
      <c r="AD61" s="264">
        <f t="shared" si="74"/>
        <v>3.0082095897796535E-3</v>
      </c>
      <c r="AE61" s="264">
        <f t="shared" si="74"/>
        <v>1.9340168779535816E-3</v>
      </c>
      <c r="AF61" s="264">
        <f t="shared" si="74"/>
        <v>-1.0998479856425547E-3</v>
      </c>
      <c r="AG61" s="264">
        <f t="shared" si="74"/>
        <v>1.4026990290858521E-3</v>
      </c>
      <c r="AH61" s="264">
        <f t="shared" si="74"/>
        <v>3.5920730681482382E-3</v>
      </c>
      <c r="AI61" s="264">
        <f t="shared" si="74"/>
        <v>1.1554156135389348E-3</v>
      </c>
      <c r="AJ61" s="264">
        <f t="shared" ref="AJ61:AU61" si="75">SUM(AJ55:AJ59)-AJ38</f>
        <v>8.7121694946290518E-5</v>
      </c>
      <c r="AK61" s="264">
        <f t="shared" si="75"/>
        <v>-1.3596456155937631E-3</v>
      </c>
      <c r="AL61" s="264">
        <f t="shared" si="75"/>
        <v>-3.3784984077556146E-3</v>
      </c>
      <c r="AM61" s="264">
        <f t="shared" si="75"/>
        <v>-2.9014359534471623E-3</v>
      </c>
      <c r="AN61" s="264">
        <f t="shared" si="75"/>
        <v>3.4035868864066288E-3</v>
      </c>
      <c r="AO61" s="264">
        <f t="shared" si="75"/>
        <v>5.2663649817077385E-3</v>
      </c>
      <c r="AP61" s="264">
        <f t="shared" si="75"/>
        <v>7.6126065687276423E-4</v>
      </c>
      <c r="AQ61" s="264">
        <f t="shared" si="75"/>
        <v>-4.4727963168043061E-3</v>
      </c>
      <c r="AR61" s="264">
        <f t="shared" si="75"/>
        <v>-1.0050268085706193E-3</v>
      </c>
      <c r="AS61" s="264">
        <f t="shared" si="75"/>
        <v>3.892882700483824E-3</v>
      </c>
      <c r="AT61" s="264">
        <f t="shared" si="75"/>
        <v>2.1086894353175012E-3</v>
      </c>
      <c r="AU61" s="264">
        <f t="shared" si="75"/>
        <v>1.1253950323180106E-3</v>
      </c>
      <c r="AV61" s="154">
        <f>SUM(AV55:AV59)-AV38</f>
        <v>-2.3435878460986714E-4</v>
      </c>
      <c r="AW61" s="88">
        <f>SUM(AW55:AW59)-AW38</f>
        <v>-3.3423736635995738E-4</v>
      </c>
      <c r="AX61" s="88">
        <f t="shared" ref="AX61" si="76">SUM(AX55:AX59)-AX38</f>
        <v>-4.3452717733316604E-4</v>
      </c>
    </row>
    <row r="62" spans="1:50" ht="15.75" thickTop="1" x14ac:dyDescent="0.25">
      <c r="B62" s="65"/>
      <c r="AV62" s="65"/>
      <c r="AX62" s="67"/>
    </row>
    <row r="63" spans="1:50" ht="15.75" thickBot="1" x14ac:dyDescent="0.3">
      <c r="A63" t="s">
        <v>72</v>
      </c>
      <c r="B63" s="220">
        <f>(SUM(B15:B19)-SUM(B22:B26))+SUM(B55:B59)</f>
        <v>0</v>
      </c>
      <c r="C63" s="246">
        <f>(SUM(C15:C19)-SUM(C22:C26))+SUM(C55:C59)+B63+B64</f>
        <v>234889.10516985756</v>
      </c>
      <c r="D63" s="246">
        <f>(SUM(D15:D19)-SUM(D22:D26))+SUM(D55:D59)+C63</f>
        <v>232641.38190202424</v>
      </c>
      <c r="E63" s="246">
        <f t="shared" ref="E63:K63" si="77">(SUM(E15:E19)-SUM(E22:E26))+SUM(E55:E59)+D63</f>
        <v>334850.10843152745</v>
      </c>
      <c r="F63" s="246">
        <f t="shared" si="77"/>
        <v>444529.86216987402</v>
      </c>
      <c r="G63" s="246">
        <f t="shared" si="77"/>
        <v>482026.60232308379</v>
      </c>
      <c r="H63" s="246">
        <f t="shared" si="77"/>
        <v>393024.28172463126</v>
      </c>
      <c r="I63" s="246">
        <f t="shared" si="77"/>
        <v>306247.30488809093</v>
      </c>
      <c r="J63" s="246">
        <f t="shared" si="77"/>
        <v>218114.02118365662</v>
      </c>
      <c r="K63" s="246">
        <f t="shared" si="77"/>
        <v>260576.41875977797</v>
      </c>
      <c r="L63" s="246">
        <f t="shared" ref="L63" si="78">(SUM(L15:L19)-SUM(L22:L26))+SUM(L55:L59)+K63</f>
        <v>352717.82556018798</v>
      </c>
      <c r="M63" s="246">
        <f t="shared" ref="M63" si="79">(SUM(M15:M19)-SUM(M22:M26))+SUM(M55:M59)+L63</f>
        <v>357496.63415228028</v>
      </c>
      <c r="N63" s="246">
        <f>(SUM(N15:N19)-SUM(N22:N26))+SUM(N55:N59)+M63</f>
        <v>276959.3741149127</v>
      </c>
      <c r="O63" s="246">
        <f>(SUM(O15:O19)-SUM(O22:O26))+SUM(O55:O59)+N63+N64</f>
        <v>-1124663.1870590725</v>
      </c>
      <c r="P63" s="246">
        <f t="shared" ref="P63" si="80">(SUM(P15:P19)-SUM(P22:P26))+SUM(P55:P59)+O63</f>
        <v>-1132490.5051265012</v>
      </c>
      <c r="Q63" s="246">
        <f t="shared" ref="Q63" si="81">(SUM(Q15:Q19)-SUM(Q22:Q26))+SUM(Q55:Q59)+P63</f>
        <v>-906570.87453057931</v>
      </c>
      <c r="R63" s="246">
        <f t="shared" ref="R63" si="82">(SUM(R15:R19)-SUM(R22:R26))+SUM(R55:R59)+Q63</f>
        <v>-774425.42280115373</v>
      </c>
      <c r="S63" s="246">
        <f t="shared" ref="S63" si="83">(SUM(S15:S19)-SUM(S22:S26))+SUM(S55:S59)+R63</f>
        <v>-771225.38634194585</v>
      </c>
      <c r="T63" s="246">
        <f t="shared" ref="T63" si="84">(SUM(T15:T19)-SUM(T22:T26))+SUM(T55:T59)+S63</f>
        <v>-950138.68724864023</v>
      </c>
      <c r="U63" s="246">
        <f t="shared" ref="U63" si="85">(SUM(U15:U19)-SUM(U22:U26))+SUM(U55:U59)+T63</f>
        <v>-1105058.7212140495</v>
      </c>
      <c r="V63" s="246">
        <f t="shared" ref="V63" si="86">(SUM(V15:V19)-SUM(V22:V26))+SUM(V55:V59)+U63</f>
        <v>-1164292.7123337151</v>
      </c>
      <c r="W63" s="246">
        <f>(SUM(W15:W19)-SUM(W22:W26))+SUM(W55:W59)+V63</f>
        <v>-1050953.6084154439</v>
      </c>
      <c r="X63" s="246">
        <f t="shared" ref="X63:AH63" si="87">(SUM(X15:X19)-SUM(X22:X26))+SUM(X55:X59)+W63</f>
        <v>-916798.32350802235</v>
      </c>
      <c r="Y63" s="246">
        <f t="shared" si="87"/>
        <v>-961590.33825881383</v>
      </c>
      <c r="Z63" s="246">
        <f>(SUM(Z15:Z19)-SUM(Z22:Z26))+SUM(Z55:Z59)+Y63</f>
        <v>-1095325.5645474817</v>
      </c>
      <c r="AA63" s="246">
        <f t="shared" si="87"/>
        <v>-979287.13482915831</v>
      </c>
      <c r="AB63" s="246">
        <f t="shared" si="87"/>
        <v>-831741.24065292592</v>
      </c>
      <c r="AC63" s="246">
        <f t="shared" si="87"/>
        <v>-615311.05426000641</v>
      </c>
      <c r="AD63" s="246">
        <f t="shared" si="87"/>
        <v>-342607.04525153682</v>
      </c>
      <c r="AE63" s="246">
        <f t="shared" si="87"/>
        <v>-208601.19731726011</v>
      </c>
      <c r="AF63" s="246">
        <f t="shared" si="87"/>
        <v>-221154.93241684805</v>
      </c>
      <c r="AG63" s="246">
        <f t="shared" si="87"/>
        <v>-279977.18501388928</v>
      </c>
      <c r="AH63" s="246">
        <f t="shared" si="87"/>
        <v>-297412.1754215564</v>
      </c>
      <c r="AI63" s="287">
        <f>(SUM(AI15:AI19)-SUM(AI22:AI26))+SUM(AI55:AI59)+AH63</f>
        <v>-126137.09826588101</v>
      </c>
      <c r="AJ63" s="287">
        <f t="shared" ref="AJ63:AU63" si="88">(SUM(AJ15:AJ19)-SUM(AJ22:AJ26))+SUM(AJ55:AJ59)+AI63</f>
        <v>119146.86782150084</v>
      </c>
      <c r="AK63" s="287">
        <f t="shared" si="88"/>
        <v>217686.38246211514</v>
      </c>
      <c r="AL63" s="287">
        <f t="shared" si="88"/>
        <v>149685.27508387674</v>
      </c>
      <c r="AM63" s="287">
        <f t="shared" si="88"/>
        <v>35767.224825115525</v>
      </c>
      <c r="AN63" s="287">
        <f t="shared" si="88"/>
        <v>142978.83087137778</v>
      </c>
      <c r="AO63" s="287">
        <f t="shared" si="88"/>
        <v>283903.26878041774</v>
      </c>
      <c r="AP63" s="287">
        <f t="shared" si="88"/>
        <v>442636.7721843535</v>
      </c>
      <c r="AQ63" s="287">
        <f t="shared" si="88"/>
        <v>455537.92035423266</v>
      </c>
      <c r="AR63" s="287">
        <f t="shared" si="88"/>
        <v>289205.90199188085</v>
      </c>
      <c r="AS63" s="287">
        <f t="shared" si="88"/>
        <v>193210.62852743908</v>
      </c>
      <c r="AT63" s="287">
        <f t="shared" si="88"/>
        <v>128413.28327880375</v>
      </c>
      <c r="AU63" s="287">
        <f t="shared" si="88"/>
        <v>216237.49704687414</v>
      </c>
      <c r="AV63" s="265">
        <f>(SUM(AV15:AV19)-SUM(AV22:AV26))+SUM(AV55:AV59)+AU63</f>
        <v>302179.62477828749</v>
      </c>
      <c r="AW63" s="246">
        <f>(SUM(AW15:AW19)-SUM(AW22:AW26))+SUM(AW55:AW59)+AV63</f>
        <v>261983.83694851774</v>
      </c>
      <c r="AX63" s="261">
        <f>(SUM(AX15:AX19)-SUM(AX22:AX26))+SUM(AX55:AX59)+AW63</f>
        <v>122230.44642110626</v>
      </c>
    </row>
    <row r="64" spans="1:50" x14ac:dyDescent="0.25">
      <c r="A64" t="s">
        <v>158</v>
      </c>
      <c r="B64" s="217">
        <v>0</v>
      </c>
      <c r="C64" s="218"/>
      <c r="D64" s="218"/>
      <c r="E64" s="218"/>
      <c r="F64" s="218"/>
      <c r="G64" s="218"/>
      <c r="H64" s="218"/>
      <c r="I64" s="218"/>
      <c r="J64" s="218"/>
      <c r="K64" s="218"/>
      <c r="L64" s="218"/>
      <c r="M64" s="145" t="s">
        <v>156</v>
      </c>
      <c r="N64" s="251">
        <f>SUM(N65:N69)</f>
        <v>-152108.1075849724</v>
      </c>
      <c r="O64" s="218"/>
      <c r="P64" s="218"/>
      <c r="Q64" s="218"/>
      <c r="R64" s="218"/>
      <c r="S64" s="218"/>
      <c r="T64" s="218"/>
      <c r="U64" s="218"/>
      <c r="V64" s="218"/>
      <c r="W64" s="218"/>
      <c r="X64" s="218"/>
      <c r="Y64" s="275"/>
      <c r="Z64" s="277">
        <f>SUM(Z65:Z69)</f>
        <v>-157.21308605992451</v>
      </c>
      <c r="AA64" s="218"/>
      <c r="AB64" s="218"/>
      <c r="AC64" s="218"/>
      <c r="AD64" s="218"/>
      <c r="AE64" s="218"/>
      <c r="AF64" s="218"/>
      <c r="AG64" s="218"/>
      <c r="AH64" s="218"/>
      <c r="AI64" s="218"/>
      <c r="AJ64" s="289"/>
      <c r="AK64" s="289"/>
      <c r="AL64" s="289"/>
      <c r="AM64" s="289"/>
      <c r="AN64" s="289"/>
      <c r="AO64" s="289"/>
      <c r="AP64" s="289"/>
      <c r="AQ64" s="289"/>
      <c r="AR64" s="289"/>
      <c r="AS64" s="289"/>
      <c r="AT64" s="289"/>
      <c r="AU64" s="289"/>
      <c r="AV64" s="65"/>
      <c r="AX64" s="67"/>
    </row>
    <row r="65" spans="1:80" x14ac:dyDescent="0.25">
      <c r="A65" s="136" t="s">
        <v>0</v>
      </c>
      <c r="B65" s="184">
        <v>0</v>
      </c>
      <c r="C65" s="216"/>
      <c r="D65" s="216"/>
      <c r="E65" s="216"/>
      <c r="F65" s="216"/>
      <c r="G65" s="216"/>
      <c r="H65" s="216"/>
      <c r="I65" s="216"/>
      <c r="J65" s="216"/>
      <c r="K65" s="216"/>
      <c r="L65" s="216"/>
      <c r="M65" s="216"/>
      <c r="N65" s="238">
        <v>-363071.12653968332</v>
      </c>
      <c r="O65" s="216"/>
      <c r="P65" s="216"/>
      <c r="Q65" s="216"/>
      <c r="R65" s="216"/>
      <c r="S65" s="216"/>
      <c r="T65" s="216"/>
      <c r="U65" s="216"/>
      <c r="V65" s="216"/>
      <c r="W65" s="216"/>
      <c r="X65" s="216"/>
      <c r="Y65" s="202"/>
      <c r="Z65" s="282">
        <f>'[2]MEEIA 3 calcs'!$AZ$84*(Y48/(SUM($Y$48:$Y$52)))</f>
        <v>-118.8761230299535</v>
      </c>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65"/>
      <c r="AX65" s="67"/>
    </row>
    <row r="66" spans="1:80" x14ac:dyDescent="0.25">
      <c r="A66" s="136" t="s">
        <v>4</v>
      </c>
      <c r="B66" s="184">
        <v>0</v>
      </c>
      <c r="C66" s="216"/>
      <c r="D66" s="216"/>
      <c r="E66" s="216"/>
      <c r="F66" s="216"/>
      <c r="G66" s="216"/>
      <c r="H66" s="216"/>
      <c r="I66" s="216"/>
      <c r="J66" s="216"/>
      <c r="K66" s="216"/>
      <c r="L66" s="216"/>
      <c r="M66" s="216"/>
      <c r="N66" s="238">
        <v>-117439.07923907816</v>
      </c>
      <c r="O66" s="216"/>
      <c r="P66" s="216"/>
      <c r="Q66" s="216"/>
      <c r="R66" s="216"/>
      <c r="S66" s="216"/>
      <c r="T66" s="216"/>
      <c r="U66" s="216"/>
      <c r="V66" s="216"/>
      <c r="W66" s="216"/>
      <c r="X66" s="216"/>
      <c r="Y66" s="202"/>
      <c r="Z66" s="282">
        <f>'[2]MEEIA 3 calcs'!$AZ$84*(Y49/(SUM($Y$48:$Y$52)))</f>
        <v>-23.737743121026796</v>
      </c>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155"/>
      <c r="AW66" s="5"/>
      <c r="AX66" s="156"/>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row>
    <row r="67" spans="1:80" x14ac:dyDescent="0.25">
      <c r="A67" s="136" t="s">
        <v>5</v>
      </c>
      <c r="B67" s="184">
        <v>0</v>
      </c>
      <c r="C67" s="216"/>
      <c r="D67" s="216"/>
      <c r="E67" s="216"/>
      <c r="F67" s="216"/>
      <c r="G67" s="216"/>
      <c r="H67" s="216"/>
      <c r="I67" s="216"/>
      <c r="J67" s="216"/>
      <c r="K67" s="216"/>
      <c r="L67" s="216"/>
      <c r="M67" s="216"/>
      <c r="N67" s="238">
        <v>54252.690343894596</v>
      </c>
      <c r="O67" s="216"/>
      <c r="P67" s="216"/>
      <c r="Q67" s="216"/>
      <c r="R67" s="216"/>
      <c r="S67" s="216"/>
      <c r="T67" s="216"/>
      <c r="U67" s="216"/>
      <c r="V67" s="216"/>
      <c r="W67" s="216"/>
      <c r="X67" s="216"/>
      <c r="Y67" s="202"/>
      <c r="Z67" s="282">
        <f>'[2]MEEIA 3 calcs'!$AZ$84*(Y50/(SUM($Y$48:$Y$52)))</f>
        <v>-30.3338660581746</v>
      </c>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65"/>
      <c r="AX67" s="67"/>
    </row>
    <row r="68" spans="1:80" x14ac:dyDescent="0.25">
      <c r="A68" s="136" t="s">
        <v>6</v>
      </c>
      <c r="B68" s="184">
        <v>0</v>
      </c>
      <c r="C68" s="216"/>
      <c r="D68" s="216"/>
      <c r="E68" s="216"/>
      <c r="F68" s="216"/>
      <c r="G68" s="216"/>
      <c r="H68" s="216"/>
      <c r="I68" s="216"/>
      <c r="J68" s="216"/>
      <c r="K68" s="216"/>
      <c r="L68" s="216"/>
      <c r="M68" s="216"/>
      <c r="N68" s="238">
        <v>73241.184886944175</v>
      </c>
      <c r="O68" s="216"/>
      <c r="P68" s="216"/>
      <c r="Q68" s="216"/>
      <c r="R68" s="216"/>
      <c r="S68" s="216"/>
      <c r="T68" s="216"/>
      <c r="U68" s="216"/>
      <c r="V68" s="216"/>
      <c r="W68" s="216"/>
      <c r="X68" s="216"/>
      <c r="Y68" s="202"/>
      <c r="Z68" s="282">
        <f>'[2]MEEIA 3 calcs'!$AZ$84*(Y51/(SUM($Y$48:$Y$52)))</f>
        <v>-11.797343278098761</v>
      </c>
      <c r="AA68" s="216"/>
      <c r="AB68" s="216"/>
      <c r="AC68" s="216"/>
      <c r="AD68" s="216"/>
      <c r="AE68" s="216"/>
      <c r="AF68" s="216"/>
      <c r="AG68" s="216"/>
      <c r="AH68" s="216"/>
      <c r="AI68" s="216"/>
      <c r="AJ68" s="216"/>
      <c r="AK68" s="216"/>
      <c r="AL68" s="216"/>
      <c r="AM68" s="216"/>
      <c r="AN68" s="216"/>
      <c r="AO68" s="216"/>
      <c r="AP68" s="216"/>
      <c r="AQ68" s="216"/>
      <c r="AR68" s="216"/>
      <c r="AS68" s="216"/>
      <c r="AT68" s="216"/>
      <c r="AU68" s="216"/>
      <c r="AV68" s="65"/>
      <c r="AX68" s="67"/>
    </row>
    <row r="69" spans="1:80" ht="15.75" thickBot="1" x14ac:dyDescent="0.3">
      <c r="A69" s="136" t="s">
        <v>7</v>
      </c>
      <c r="B69" s="188">
        <v>0</v>
      </c>
      <c r="C69" s="219"/>
      <c r="D69" s="219"/>
      <c r="E69" s="219"/>
      <c r="F69" s="219"/>
      <c r="G69" s="219"/>
      <c r="H69" s="219"/>
      <c r="I69" s="219"/>
      <c r="J69" s="219"/>
      <c r="K69" s="219"/>
      <c r="L69" s="219"/>
      <c r="M69" s="219"/>
      <c r="N69" s="240">
        <v>200908.2229629503</v>
      </c>
      <c r="O69" s="219"/>
      <c r="P69" s="219"/>
      <c r="Q69" s="219"/>
      <c r="R69" s="219"/>
      <c r="S69" s="219"/>
      <c r="T69" s="219"/>
      <c r="U69" s="219"/>
      <c r="V69" s="219"/>
      <c r="W69" s="219"/>
      <c r="X69" s="219"/>
      <c r="Y69" s="284"/>
      <c r="Z69" s="283">
        <f>'[2]MEEIA 3 calcs'!$AZ$84*(Y52/(SUM($Y$48:$Y$52)))</f>
        <v>27.531989427329158</v>
      </c>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89"/>
      <c r="AW69" s="90"/>
      <c r="AX69" s="91"/>
    </row>
    <row r="71" spans="1:80" x14ac:dyDescent="0.25">
      <c r="A71" s="230"/>
      <c r="B71" s="31"/>
      <c r="C71" s="31"/>
      <c r="D71" s="31"/>
      <c r="E71" s="31"/>
      <c r="F71" s="31"/>
      <c r="G71" s="31"/>
      <c r="H71" s="31"/>
      <c r="I71" s="31"/>
      <c r="J71" s="31"/>
      <c r="K71" s="230"/>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row>
  </sheetData>
  <mergeCells count="1">
    <mergeCell ref="AV13:AX13"/>
  </mergeCells>
  <pageMargins left="0.7" right="0.7" top="0.75" bottom="0.75" header="0.3" footer="0.3"/>
  <pageSetup scale="7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mments xmlns="$ListId:Library;"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2B144-A390-47EC-816D-F5BB85BDE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680F6-EEBC-41A4-AEB5-0B773B5EACA2}">
  <ds:schemaRefs>
    <ds:schemaRef ds:uri="http://purl.org/dc/terms/"/>
    <ds:schemaRef ds:uri="$ListId:Library;"/>
    <ds:schemaRef ds:uri="67e41609-3a20-4215-b51d-97d9b7cff2fa"/>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PPC</vt:lpstr>
      <vt:lpstr>PCR (M3)</vt:lpstr>
      <vt:lpstr>PCR (M4)</vt:lpstr>
      <vt:lpstr>PTD</vt:lpstr>
      <vt:lpstr>TDR (M2) Final</vt:lpstr>
      <vt:lpstr>TDR (M3)</vt:lpstr>
      <vt:lpstr>TDR (M4)</vt:lpstr>
      <vt:lpstr>EO</vt:lpstr>
      <vt:lpstr>EOR (M3)</vt:lpstr>
      <vt:lpstr>OA</vt:lpstr>
      <vt:lpstr>OAR (M3)</vt:lpstr>
      <vt:lpstr>tariff tables (M3)</vt:lpstr>
      <vt:lpstr>tariff tables (M4)</vt:lpstr>
      <vt:lpstr>Sheet 91.23</vt:lpstr>
      <vt:lpstr>'EOR (M3)'!Print_Area</vt:lpstr>
      <vt:lpstr>'OAR (M3)'!Print_Area</vt:lpstr>
      <vt:lpstr>'PCR (M3)'!Print_Area</vt:lpstr>
      <vt:lpstr>'PCR (M4)'!Print_Area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Filley, Kimberly S</cp:lastModifiedBy>
  <cp:lastPrinted>2024-11-17T14:58:11Z</cp:lastPrinted>
  <dcterms:created xsi:type="dcterms:W3CDTF">2013-08-12T19:20:10Z</dcterms:created>
  <dcterms:modified xsi:type="dcterms:W3CDTF">2024-11-22T15:59:24Z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SV_QUERY_LIST_4F35BF76-6C0D-4D9B-82B2-816C12CF3733">
    <vt:lpwstr>empty_477D106A-C0D6-4607-AEBD-E2C9D60EA279</vt:lpwstr>
  </property>
  <property fmtid="{D5CDD505-2E9C-101B-9397-08002B2CF9AE}" pid="4" name="Order">
    <vt:r8>3300</vt:r8>
  </property>
  <property fmtid="{D5CDD505-2E9C-101B-9397-08002B2CF9AE}" pid="5" name="SV_HIDDEN_GRID_QUERY_LIST_4F35BF76-6C0D-4D9B-82B2-816C12CF3733">
    <vt:lpwstr>empty_477D106A-C0D6-4607-AEBD-E2C9D60EA279</vt:lpwstr>
  </property>
</Properties>
</file>