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Ntas22\regulatory\Regulatory\Regulatory Accounting\Projects\KCPL-MO and GMO MEEIA Cycle 3\Cycle 3 semi-annual filing 2024-12\"/>
    </mc:Choice>
  </mc:AlternateContent>
  <xr:revisionPtr revIDLastSave="0" documentId="8_{F19A6DA2-D718-42F8-8B9F-96B6B65D1A3A}" xr6:coauthVersionLast="47" xr6:coauthVersionMax="47" xr10:uidLastSave="{00000000-0000-0000-0000-000000000000}"/>
  <bookViews>
    <workbookView xWindow="43170" yWindow="0" windowWidth="14430" windowHeight="15480" tabRatio="847" firstSheet="1" activeTab="1" xr2:uid="{00000000-000D-0000-FFFF-FFFF00000000}"/>
  </bookViews>
  <sheets>
    <sheet name="Index Table of Contents" sheetId="32" r:id="rId1"/>
    <sheet name="Tariff Tables" sheetId="5" r:id="rId2"/>
    <sheet name="DSIM Cycle Tables" sheetId="20" r:id="rId3"/>
    <sheet name="PPC Cycle 3" sheetId="18" r:id="rId4"/>
    <sheet name="PPC Cycle 4" sheetId="39" r:id="rId5"/>
    <sheet name="PCR Cycle 2" sheetId="15" r:id="rId6"/>
    <sheet name="PCR Cycle 3" sheetId="22" r:id="rId7"/>
    <sheet name="PCR Cycle 4" sheetId="36" r:id="rId8"/>
    <sheet name="PTD Cycle 2" sheetId="12" r:id="rId9"/>
    <sheet name="PTD Cycle 3" sheetId="19" r:id="rId10"/>
    <sheet name="PTD Cycle 4" sheetId="38" r:id="rId11"/>
    <sheet name="TDR Cycle 2" sheetId="16" r:id="rId12"/>
    <sheet name="TDR Cycle 3" sheetId="24" r:id="rId13"/>
    <sheet name="EO Cycle 2" sheetId="8" r:id="rId14"/>
    <sheet name="EO Cycle 3" sheetId="28" r:id="rId15"/>
    <sheet name="EO Cycle 4" sheetId="40" r:id="rId16"/>
    <sheet name="EOR Cycle 2" sheetId="23" r:id="rId17"/>
    <sheet name="EOR Cycle 3" sheetId="29" r:id="rId18"/>
    <sheet name="OA Cycle 2" sheetId="10" r:id="rId19"/>
    <sheet name="OA Cycle 3" sheetId="30" r:id="rId20"/>
    <sheet name="OAR Cycle 2" sheetId="13" r:id="rId21"/>
    <sheet name="OAR Cycle 3" sheetId="31" r:id="rId22"/>
  </sheets>
  <externalReferences>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s>
  <definedNames>
    <definedName name="_Hlk167809025" localSheetId="2">'DSIM Cycle Tables'!$J$4</definedName>
    <definedName name="_Hlk530143575" localSheetId="2">'DSIM Cycle Tables'!$K$21</definedName>
    <definedName name="_xlnm.Print_Area" localSheetId="5">'PCR Cycle 2'!$A$1:$O$67</definedName>
    <definedName name="_xlnm.Print_Area" localSheetId="6">'PCR Cycle 3'!$A$1:$O$71</definedName>
    <definedName name="_xlnm.Print_Area" localSheetId="7">'PCR Cycle 4'!$A$1:$O$71</definedName>
    <definedName name="ServClassMapping">#REF!</definedName>
    <definedName name="solver_adj" localSheetId="5" hidden="1">'PCR Cycle 2'!$F$50</definedName>
    <definedName name="solver_adj" localSheetId="6" hidden="1">'PCR Cycle 3'!$F$51</definedName>
    <definedName name="solver_adj" localSheetId="7" hidden="1">'PCR Cycle 4'!$F$51</definedName>
    <definedName name="solver_adj" localSheetId="11" hidden="1">'TDR Cycle 2'!#REF!</definedName>
    <definedName name="solver_adj" localSheetId="12" hidden="1">'TDR Cycle 3'!#REF!</definedName>
    <definedName name="solver_cvg" localSheetId="5" hidden="1">0.0001</definedName>
    <definedName name="solver_cvg" localSheetId="6" hidden="1">0.0001</definedName>
    <definedName name="solver_cvg" localSheetId="7" hidden="1">0.0001</definedName>
    <definedName name="solver_cvg" localSheetId="11" hidden="1">0.0001</definedName>
    <definedName name="solver_cvg" localSheetId="12" hidden="1">0.0001</definedName>
    <definedName name="solver_drv" localSheetId="5" hidden="1">1</definedName>
    <definedName name="solver_drv" localSheetId="6" hidden="1">1</definedName>
    <definedName name="solver_drv" localSheetId="7" hidden="1">1</definedName>
    <definedName name="solver_drv" localSheetId="11" hidden="1">2</definedName>
    <definedName name="solver_drv" localSheetId="12" hidden="1">2</definedName>
    <definedName name="solver_eng" localSheetId="5" hidden="1">1</definedName>
    <definedName name="solver_eng" localSheetId="6" hidden="1">1</definedName>
    <definedName name="solver_eng" localSheetId="7" hidden="1">1</definedName>
    <definedName name="solver_eng" localSheetId="11" hidden="1">1</definedName>
    <definedName name="solver_eng" localSheetId="12" hidden="1">1</definedName>
    <definedName name="solver_est" localSheetId="5" hidden="1">1</definedName>
    <definedName name="solver_est" localSheetId="6" hidden="1">1</definedName>
    <definedName name="solver_est" localSheetId="7" hidden="1">1</definedName>
    <definedName name="solver_est" localSheetId="11" hidden="1">1</definedName>
    <definedName name="solver_est" localSheetId="12" hidden="1">1</definedName>
    <definedName name="solver_itr" localSheetId="5" hidden="1">2147483647</definedName>
    <definedName name="solver_itr" localSheetId="6" hidden="1">2147483647</definedName>
    <definedName name="solver_itr" localSheetId="7" hidden="1">2147483647</definedName>
    <definedName name="solver_itr" localSheetId="11" hidden="1">2147483647</definedName>
    <definedName name="solver_itr" localSheetId="12" hidden="1">2147483647</definedName>
    <definedName name="solver_mip" localSheetId="5" hidden="1">2147483647</definedName>
    <definedName name="solver_mip" localSheetId="6" hidden="1">2147483647</definedName>
    <definedName name="solver_mip" localSheetId="7" hidden="1">2147483647</definedName>
    <definedName name="solver_mip" localSheetId="11" hidden="1">2147483647</definedName>
    <definedName name="solver_mip" localSheetId="12" hidden="1">2147483647</definedName>
    <definedName name="solver_mni" localSheetId="5" hidden="1">30</definedName>
    <definedName name="solver_mni" localSheetId="6" hidden="1">30</definedName>
    <definedName name="solver_mni" localSheetId="7" hidden="1">30</definedName>
    <definedName name="solver_mni" localSheetId="11" hidden="1">30</definedName>
    <definedName name="solver_mni" localSheetId="12" hidden="1">30</definedName>
    <definedName name="solver_mrt" localSheetId="5" hidden="1">0.075</definedName>
    <definedName name="solver_mrt" localSheetId="6" hidden="1">0.075</definedName>
    <definedName name="solver_mrt" localSheetId="7" hidden="1">0.075</definedName>
    <definedName name="solver_mrt" localSheetId="11" hidden="1">0.075</definedName>
    <definedName name="solver_mrt" localSheetId="12" hidden="1">0.075</definedName>
    <definedName name="solver_msl" localSheetId="5" hidden="1">2</definedName>
    <definedName name="solver_msl" localSheetId="6" hidden="1">2</definedName>
    <definedName name="solver_msl" localSheetId="7" hidden="1">2</definedName>
    <definedName name="solver_msl" localSheetId="11" hidden="1">2</definedName>
    <definedName name="solver_msl" localSheetId="12" hidden="1">2</definedName>
    <definedName name="solver_neg" localSheetId="5" hidden="1">1</definedName>
    <definedName name="solver_neg" localSheetId="6" hidden="1">1</definedName>
    <definedName name="solver_neg" localSheetId="7" hidden="1">1</definedName>
    <definedName name="solver_neg" localSheetId="11" hidden="1">1</definedName>
    <definedName name="solver_neg" localSheetId="12" hidden="1">1</definedName>
    <definedName name="solver_nod" localSheetId="5" hidden="1">2147483647</definedName>
    <definedName name="solver_nod" localSheetId="6" hidden="1">2147483647</definedName>
    <definedName name="solver_nod" localSheetId="7" hidden="1">2147483647</definedName>
    <definedName name="solver_nod" localSheetId="11" hidden="1">2147483647</definedName>
    <definedName name="solver_nod" localSheetId="12" hidden="1">2147483647</definedName>
    <definedName name="solver_num" localSheetId="5" hidden="1">0</definedName>
    <definedName name="solver_num" localSheetId="6" hidden="1">0</definedName>
    <definedName name="solver_num" localSheetId="7" hidden="1">0</definedName>
    <definedName name="solver_num" localSheetId="11" hidden="1">0</definedName>
    <definedName name="solver_num" localSheetId="12" hidden="1">0</definedName>
    <definedName name="solver_nwt" localSheetId="5" hidden="1">1</definedName>
    <definedName name="solver_nwt" localSheetId="6" hidden="1">1</definedName>
    <definedName name="solver_nwt" localSheetId="7" hidden="1">1</definedName>
    <definedName name="solver_nwt" localSheetId="11" hidden="1">1</definedName>
    <definedName name="solver_nwt" localSheetId="12" hidden="1">1</definedName>
    <definedName name="solver_opt" localSheetId="5" hidden="1">'PCR Cycle 2'!$F$55</definedName>
    <definedName name="solver_opt" localSheetId="6" hidden="1">'PCR Cycle 3'!$F$59</definedName>
    <definedName name="solver_opt" localSheetId="7" hidden="1">'PCR Cycle 4'!$F$59</definedName>
    <definedName name="solver_opt" localSheetId="11" hidden="1">'TDR Cycle 2'!#REF!</definedName>
    <definedName name="solver_opt" localSheetId="12" hidden="1">'TDR Cycle 3'!#REF!</definedName>
    <definedName name="solver_pre" localSheetId="5" hidden="1">0.000001</definedName>
    <definedName name="solver_pre" localSheetId="6" hidden="1">0.000001</definedName>
    <definedName name="solver_pre" localSheetId="7" hidden="1">0.000001</definedName>
    <definedName name="solver_pre" localSheetId="11" hidden="1">0.000001</definedName>
    <definedName name="solver_pre" localSheetId="12" hidden="1">0.000001</definedName>
    <definedName name="solver_rbv" localSheetId="5" hidden="1">1</definedName>
    <definedName name="solver_rbv" localSheetId="6" hidden="1">1</definedName>
    <definedName name="solver_rbv" localSheetId="7" hidden="1">1</definedName>
    <definedName name="solver_rbv" localSheetId="11" hidden="1">2</definedName>
    <definedName name="solver_rbv" localSheetId="12" hidden="1">2</definedName>
    <definedName name="solver_rlx" localSheetId="5" hidden="1">2</definedName>
    <definedName name="solver_rlx" localSheetId="6" hidden="1">2</definedName>
    <definedName name="solver_rlx" localSheetId="7" hidden="1">2</definedName>
    <definedName name="solver_rlx" localSheetId="11" hidden="1">2</definedName>
    <definedName name="solver_rlx" localSheetId="12" hidden="1">2</definedName>
    <definedName name="solver_rsd" localSheetId="5" hidden="1">0</definedName>
    <definedName name="solver_rsd" localSheetId="6" hidden="1">0</definedName>
    <definedName name="solver_rsd" localSheetId="7" hidden="1">0</definedName>
    <definedName name="solver_rsd" localSheetId="11" hidden="1">0</definedName>
    <definedName name="solver_rsd" localSheetId="12" hidden="1">0</definedName>
    <definedName name="solver_scl" localSheetId="5" hidden="1">1</definedName>
    <definedName name="solver_scl" localSheetId="6" hidden="1">1</definedName>
    <definedName name="solver_scl" localSheetId="7" hidden="1">1</definedName>
    <definedName name="solver_scl" localSheetId="11" hidden="1">2</definedName>
    <definedName name="solver_scl" localSheetId="12" hidden="1">2</definedName>
    <definedName name="solver_sho" localSheetId="5" hidden="1">2</definedName>
    <definedName name="solver_sho" localSheetId="6" hidden="1">2</definedName>
    <definedName name="solver_sho" localSheetId="7" hidden="1">2</definedName>
    <definedName name="solver_sho" localSheetId="11" hidden="1">2</definedName>
    <definedName name="solver_sho" localSheetId="12" hidden="1">2</definedName>
    <definedName name="solver_ssz" localSheetId="5" hidden="1">100</definedName>
    <definedName name="solver_ssz" localSheetId="6" hidden="1">100</definedName>
    <definedName name="solver_ssz" localSheetId="7" hidden="1">100</definedName>
    <definedName name="solver_ssz" localSheetId="11" hidden="1">100</definedName>
    <definedName name="solver_ssz" localSheetId="12" hidden="1">100</definedName>
    <definedName name="solver_tim" localSheetId="5" hidden="1">2147483647</definedName>
    <definedName name="solver_tim" localSheetId="6" hidden="1">2147483647</definedName>
    <definedName name="solver_tim" localSheetId="7" hidden="1">2147483647</definedName>
    <definedName name="solver_tim" localSheetId="11" hidden="1">2147483647</definedName>
    <definedName name="solver_tim" localSheetId="12" hidden="1">2147483647</definedName>
    <definedName name="solver_tol" localSheetId="5" hidden="1">0.01</definedName>
    <definedName name="solver_tol" localSheetId="6" hidden="1">0.01</definedName>
    <definedName name="solver_tol" localSheetId="7" hidden="1">0.01</definedName>
    <definedName name="solver_tol" localSheetId="11" hidden="1">0.01</definedName>
    <definedName name="solver_tol" localSheetId="12" hidden="1">0.01</definedName>
    <definedName name="solver_typ" localSheetId="5" hidden="1">3</definedName>
    <definedName name="solver_typ" localSheetId="6" hidden="1">3</definedName>
    <definedName name="solver_typ" localSheetId="7" hidden="1">3</definedName>
    <definedName name="solver_typ" localSheetId="11" hidden="1">3</definedName>
    <definedName name="solver_typ" localSheetId="12" hidden="1">3</definedName>
    <definedName name="solver_val" localSheetId="5" hidden="1">0</definedName>
    <definedName name="solver_val" localSheetId="6" hidden="1">0</definedName>
    <definedName name="solver_val" localSheetId="7" hidden="1">0</definedName>
    <definedName name="solver_val" localSheetId="11" hidden="1">23888.44</definedName>
    <definedName name="solver_val" localSheetId="12" hidden="1">23888.44</definedName>
    <definedName name="solver_ver" localSheetId="5" hidden="1">3</definedName>
    <definedName name="solver_ver" localSheetId="6" hidden="1">3</definedName>
    <definedName name="solver_ver" localSheetId="7" hidden="1">3</definedName>
    <definedName name="solver_ver" localSheetId="11" hidden="1">3</definedName>
    <definedName name="solver_ver" localSheetId="12" hidden="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6" i="36" l="1"/>
  <c r="Q17" i="36"/>
  <c r="Q18" i="36"/>
  <c r="Q19" i="36"/>
  <c r="D10" i="38" l="1"/>
  <c r="B10" i="38"/>
  <c r="D9" i="38"/>
  <c r="B9" i="38"/>
  <c r="D8" i="38"/>
  <c r="B8" i="38"/>
  <c r="D7" i="38"/>
  <c r="B7" i="38"/>
  <c r="D6" i="38"/>
  <c r="B6" i="38"/>
  <c r="D9" i="39"/>
  <c r="D8" i="39"/>
  <c r="D7" i="39"/>
  <c r="D6" i="39"/>
  <c r="D5" i="39"/>
  <c r="H35" i="22" l="1"/>
  <c r="G35" i="22"/>
  <c r="J30" i="15" l="1"/>
  <c r="J29" i="15"/>
  <c r="J28" i="15"/>
  <c r="J27" i="15"/>
  <c r="J31" i="15" l="1"/>
  <c r="I29" i="15" l="1"/>
  <c r="I28" i="15"/>
  <c r="I27" i="15"/>
  <c r="I31" i="15"/>
  <c r="I30" i="15"/>
  <c r="H31" i="15" l="1"/>
  <c r="H30" i="15"/>
  <c r="H27" i="15"/>
  <c r="H29" i="15"/>
  <c r="H28" i="15"/>
  <c r="F31" i="15" l="1"/>
  <c r="F30" i="15"/>
  <c r="F29" i="15"/>
  <c r="F28" i="15"/>
  <c r="E31" i="15" l="1"/>
  <c r="E30" i="15"/>
  <c r="E29" i="15"/>
  <c r="E27" i="15"/>
  <c r="F27" i="15" l="1"/>
  <c r="E28" i="15" l="1"/>
  <c r="G28" i="15" l="1"/>
  <c r="G29" i="15"/>
  <c r="G31" i="15"/>
  <c r="G27" i="15" l="1"/>
  <c r="G30" i="15" l="1"/>
  <c r="A2" i="12" l="1"/>
  <c r="A2" i="8"/>
  <c r="A2" i="10"/>
  <c r="I35" i="22" l="1"/>
  <c r="E26" i="13"/>
  <c r="M27" i="15" l="1"/>
  <c r="L27" i="15"/>
  <c r="K27" i="15"/>
  <c r="B5" i="18"/>
  <c r="M30" i="15" l="1"/>
  <c r="L29" i="15"/>
  <c r="K28" i="15"/>
  <c r="L30" i="15"/>
  <c r="L28" i="15"/>
  <c r="K30" i="15"/>
  <c r="M28" i="15"/>
  <c r="M31" i="15"/>
  <c r="L31" i="15"/>
  <c r="M29" i="15"/>
  <c r="K29" i="15"/>
  <c r="K31" i="15"/>
  <c r="B8" i="18"/>
  <c r="B6" i="18"/>
  <c r="B7" i="18"/>
  <c r="B9" i="18" l="1"/>
  <c r="B111" i="28" l="1"/>
  <c r="B104" i="28"/>
  <c r="B105" i="28" s="1"/>
  <c r="C103" i="28" l="1"/>
  <c r="D109" i="28"/>
  <c r="C109" i="28" l="1"/>
  <c r="D108" i="28" l="1"/>
  <c r="D110" i="28"/>
  <c r="C110" i="28"/>
  <c r="D103" i="28"/>
  <c r="C108" i="28" l="1"/>
  <c r="D107" i="28" l="1"/>
  <c r="D111" i="28" s="1"/>
  <c r="D104" i="28" s="1"/>
  <c r="D105" i="28" s="1"/>
  <c r="C107" i="28"/>
  <c r="C111" i="28" l="1"/>
  <c r="C104" i="28" s="1"/>
  <c r="C105" i="28" l="1"/>
  <c r="E103" i="28" l="1"/>
  <c r="F103" i="28" s="1"/>
  <c r="G103" i="28" s="1"/>
  <c r="E110" i="28" l="1"/>
  <c r="F110" i="28" s="1"/>
  <c r="G110" i="28" s="1"/>
  <c r="E108" i="28" l="1"/>
  <c r="F108" i="28" s="1"/>
  <c r="G108" i="28" s="1"/>
  <c r="E109" i="28" l="1"/>
  <c r="F109" i="28" s="1"/>
  <c r="G109" i="28" s="1"/>
  <c r="E107" i="28" l="1"/>
  <c r="E111" i="28" l="1"/>
  <c r="E104" i="28" s="1"/>
  <c r="F107" i="28"/>
  <c r="G107" i="28" s="1"/>
  <c r="F111" i="28" l="1"/>
  <c r="G111" i="28"/>
  <c r="G104" i="28" s="1"/>
  <c r="F104" i="28"/>
  <c r="E105" i="28"/>
  <c r="G105" i="28" l="1"/>
  <c r="F105" i="28"/>
  <c r="J29" i="29" l="1"/>
  <c r="I29" i="29"/>
  <c r="H29" i="29"/>
  <c r="G29" i="29"/>
  <c r="F29" i="29"/>
  <c r="E29" i="29"/>
  <c r="B86" i="28" l="1"/>
  <c r="B85" i="28"/>
  <c r="B84" i="28"/>
  <c r="B83" i="28"/>
  <c r="B79" i="28"/>
  <c r="C91" i="28" l="1"/>
  <c r="C97" i="28" l="1"/>
  <c r="D97" i="28"/>
  <c r="C96" i="28"/>
  <c r="D91" i="28"/>
  <c r="D96" i="28" l="1"/>
  <c r="D98" i="28" l="1"/>
  <c r="C98" i="28"/>
  <c r="D95" i="28" l="1"/>
  <c r="C95" i="28"/>
  <c r="D79" i="28" l="1"/>
  <c r="C79" i="28"/>
  <c r="C86" i="28" l="1"/>
  <c r="D86" i="28"/>
  <c r="D85" i="28"/>
  <c r="C85" i="28"/>
  <c r="C84" i="28"/>
  <c r="D84" i="28"/>
  <c r="C83" i="28" l="1"/>
  <c r="D83" i="28"/>
  <c r="E79" i="28" l="1"/>
  <c r="D23" i="29" s="1"/>
  <c r="D32" i="29" l="1"/>
  <c r="E86" i="28"/>
  <c r="E84" i="28"/>
  <c r="D25" i="29" l="1"/>
  <c r="D34" i="29" s="1"/>
  <c r="D27" i="29"/>
  <c r="D36" i="29" s="1"/>
  <c r="E85" i="28"/>
  <c r="E91" i="28"/>
  <c r="D26" i="29" l="1"/>
  <c r="D35" i="29" s="1"/>
  <c r="E83" i="28"/>
  <c r="D24" i="29" s="1"/>
  <c r="D33" i="29" l="1"/>
  <c r="D13" i="29"/>
  <c r="E98" i="28"/>
  <c r="E96" i="28" l="1"/>
  <c r="E97" i="28" l="1"/>
  <c r="E95" i="28" l="1"/>
  <c r="D29" i="29" l="1"/>
  <c r="E27" i="20" l="1"/>
  <c r="E26" i="20"/>
  <c r="E25" i="20"/>
  <c r="E24" i="20"/>
  <c r="E23" i="20"/>
  <c r="D9" i="18" l="1"/>
  <c r="D8" i="18"/>
  <c r="D7" i="18"/>
  <c r="D6" i="18"/>
  <c r="D5" i="18"/>
  <c r="B5" i="39" l="1"/>
  <c r="B6" i="39" l="1"/>
  <c r="B8" i="39"/>
  <c r="B7" i="39"/>
  <c r="B9" i="39"/>
  <c r="J38" i="15"/>
  <c r="J37" i="15"/>
  <c r="J36" i="15"/>
  <c r="J35" i="15"/>
  <c r="J34" i="15"/>
  <c r="I38" i="15"/>
  <c r="I37" i="15"/>
  <c r="I36" i="15"/>
  <c r="I35" i="15"/>
  <c r="I34" i="15"/>
  <c r="H38" i="15"/>
  <c r="H37" i="15"/>
  <c r="H36" i="15"/>
  <c r="H35" i="15"/>
  <c r="H34" i="15"/>
  <c r="G38" i="15"/>
  <c r="G37" i="15"/>
  <c r="G36" i="15"/>
  <c r="G35" i="15"/>
  <c r="G34" i="15"/>
  <c r="F38" i="15"/>
  <c r="F37" i="15"/>
  <c r="F36" i="15"/>
  <c r="F35" i="15"/>
  <c r="F34" i="15"/>
  <c r="E38" i="15"/>
  <c r="E37" i="15"/>
  <c r="E36" i="15"/>
  <c r="E35" i="15"/>
  <c r="E34" i="15"/>
  <c r="J35" i="22"/>
  <c r="J33" i="22"/>
  <c r="J32" i="22"/>
  <c r="J31" i="22"/>
  <c r="J30" i="22"/>
  <c r="J29" i="22"/>
  <c r="I33" i="22"/>
  <c r="I32" i="22"/>
  <c r="I31" i="22"/>
  <c r="I30" i="22"/>
  <c r="I29" i="22"/>
  <c r="H33" i="22"/>
  <c r="H32" i="22"/>
  <c r="H31" i="22"/>
  <c r="H30" i="22"/>
  <c r="H29" i="22"/>
  <c r="G33" i="22"/>
  <c r="G32" i="22"/>
  <c r="G31" i="22"/>
  <c r="G30" i="22"/>
  <c r="G29" i="22"/>
  <c r="F33" i="22"/>
  <c r="F32" i="22"/>
  <c r="F31" i="22"/>
  <c r="F30" i="22"/>
  <c r="F29" i="22"/>
  <c r="E33" i="22"/>
  <c r="E32" i="22"/>
  <c r="E31" i="22"/>
  <c r="E30" i="22"/>
  <c r="E29" i="22"/>
  <c r="L19" i="22"/>
  <c r="K19" i="22"/>
  <c r="L18" i="22"/>
  <c r="K18" i="22"/>
  <c r="L17" i="22"/>
  <c r="K17" i="22"/>
  <c r="L16" i="22"/>
  <c r="K16" i="22"/>
  <c r="L15" i="22"/>
  <c r="K15" i="22"/>
  <c r="I15" i="22" l="1"/>
  <c r="I19" i="22"/>
  <c r="I18" i="22"/>
  <c r="I17" i="22"/>
  <c r="I16" i="22"/>
  <c r="J15" i="22" l="1"/>
  <c r="J16" i="22" l="1"/>
  <c r="J18" i="22" l="1"/>
  <c r="J17" i="22"/>
  <c r="J19" i="22" l="1"/>
  <c r="G15" i="22" l="1"/>
  <c r="G16" i="22" l="1"/>
  <c r="G17" i="22" l="1"/>
  <c r="G18" i="22"/>
  <c r="G19" i="22" l="1"/>
  <c r="H15" i="22" l="1"/>
  <c r="H16" i="22" l="1"/>
  <c r="H18" i="22" l="1"/>
  <c r="H17" i="22"/>
  <c r="H19" i="22" l="1"/>
  <c r="E15" i="22" l="1"/>
  <c r="E16" i="22" l="1"/>
  <c r="E18" i="22" l="1"/>
  <c r="E17" i="22"/>
  <c r="E19" i="22" l="1"/>
  <c r="F15" i="22" l="1"/>
  <c r="F16" i="22" l="1"/>
  <c r="F18" i="22" l="1"/>
  <c r="F17" i="22"/>
  <c r="F19" i="22" l="1"/>
  <c r="J33" i="36" l="1"/>
  <c r="J32" i="36"/>
  <c r="J31" i="36"/>
  <c r="J30" i="36"/>
  <c r="J29" i="36"/>
  <c r="I33" i="36"/>
  <c r="I32" i="36"/>
  <c r="I31" i="36"/>
  <c r="I30" i="36"/>
  <c r="I29" i="36"/>
  <c r="H33" i="36"/>
  <c r="H32" i="36"/>
  <c r="H31" i="36"/>
  <c r="H30" i="36"/>
  <c r="H29" i="36"/>
  <c r="G33" i="36"/>
  <c r="G32" i="36"/>
  <c r="G31" i="36"/>
  <c r="G30" i="36"/>
  <c r="G29" i="36"/>
  <c r="A2" i="38" l="1"/>
  <c r="A2" i="40"/>
  <c r="E51" i="40" l="1"/>
  <c r="D51" i="40"/>
  <c r="C51" i="40"/>
  <c r="B51" i="40"/>
  <c r="F50" i="40"/>
  <c r="G50" i="40" s="1"/>
  <c r="F49" i="40"/>
  <c r="G49" i="40" s="1"/>
  <c r="F48" i="40"/>
  <c r="G48" i="40" s="1"/>
  <c r="F47" i="40"/>
  <c r="G47" i="40" s="1"/>
  <c r="E45" i="40"/>
  <c r="D45" i="40"/>
  <c r="C45" i="40"/>
  <c r="B45" i="40"/>
  <c r="F44" i="40"/>
  <c r="F43" i="40"/>
  <c r="F45" i="40" s="1"/>
  <c r="E39" i="40"/>
  <c r="D39" i="40"/>
  <c r="C39" i="40"/>
  <c r="B39" i="40"/>
  <c r="F38" i="40"/>
  <c r="G38" i="40" s="1"/>
  <c r="F37" i="40"/>
  <c r="G37" i="40" s="1"/>
  <c r="F36" i="40"/>
  <c r="G36" i="40" s="1"/>
  <c r="F35" i="40"/>
  <c r="G35" i="40" s="1"/>
  <c r="E33" i="40"/>
  <c r="D33" i="40"/>
  <c r="C33" i="40"/>
  <c r="B33" i="40"/>
  <c r="F32" i="40"/>
  <c r="F31" i="40"/>
  <c r="F33" i="40" s="1"/>
  <c r="G51" i="40" l="1"/>
  <c r="G44" i="40"/>
  <c r="F51" i="40"/>
  <c r="G43" i="40"/>
  <c r="G32" i="40"/>
  <c r="G39" i="40"/>
  <c r="F39" i="40"/>
  <c r="G31" i="40"/>
  <c r="G33" i="40" s="1"/>
  <c r="B14" i="40"/>
  <c r="B7" i="40"/>
  <c r="E14" i="40"/>
  <c r="D14" i="40"/>
  <c r="C14" i="40"/>
  <c r="E13" i="40"/>
  <c r="E12" i="40"/>
  <c r="D12" i="40"/>
  <c r="E11" i="40"/>
  <c r="D7" i="40"/>
  <c r="F26" i="40"/>
  <c r="G26" i="40" s="1"/>
  <c r="F24" i="40"/>
  <c r="G24" i="40" s="1"/>
  <c r="G12" i="40" s="1"/>
  <c r="E27" i="40"/>
  <c r="D27" i="40"/>
  <c r="B27" i="40"/>
  <c r="F19" i="40"/>
  <c r="G19" i="40" s="1"/>
  <c r="E21" i="40"/>
  <c r="C21" i="40"/>
  <c r="B21" i="40"/>
  <c r="C13" i="40"/>
  <c r="C12" i="40"/>
  <c r="B12" i="40"/>
  <c r="B11" i="40"/>
  <c r="E7" i="40"/>
  <c r="A1" i="40"/>
  <c r="G45" i="40" l="1"/>
  <c r="F14" i="40"/>
  <c r="F12" i="40"/>
  <c r="D13" i="40"/>
  <c r="F20" i="40"/>
  <c r="F21" i="40" s="1"/>
  <c r="B13" i="40"/>
  <c r="B8" i="40" s="1"/>
  <c r="E8" i="40"/>
  <c r="E9" i="40" s="1"/>
  <c r="E15" i="40"/>
  <c r="C11" i="40"/>
  <c r="C27" i="40"/>
  <c r="D11" i="40"/>
  <c r="D21" i="40"/>
  <c r="F23" i="40"/>
  <c r="F25" i="40"/>
  <c r="G25" i="40" s="1"/>
  <c r="G13" i="40" s="1"/>
  <c r="G14" i="40"/>
  <c r="C7" i="40"/>
  <c r="C8" i="40" l="1"/>
  <c r="C15" i="40"/>
  <c r="G23" i="40"/>
  <c r="F27" i="40"/>
  <c r="F13" i="40"/>
  <c r="F11" i="40"/>
  <c r="F15" i="40" s="1"/>
  <c r="B15" i="40"/>
  <c r="D8" i="40"/>
  <c r="D9" i="40" s="1"/>
  <c r="D15" i="40"/>
  <c r="G7" i="40"/>
  <c r="B9" i="40"/>
  <c r="F7" i="40"/>
  <c r="F8" i="40" l="1"/>
  <c r="F9" i="40"/>
  <c r="C9" i="40"/>
  <c r="G20" i="40"/>
  <c r="G21" i="40" s="1"/>
  <c r="G11" i="40"/>
  <c r="G27" i="40"/>
  <c r="G15" i="40" l="1"/>
  <c r="G8" i="40"/>
  <c r="G9" i="40" s="1"/>
  <c r="D5" i="38" l="1"/>
  <c r="C9" i="39"/>
  <c r="C8" i="39"/>
  <c r="C7" i="39"/>
  <c r="C6" i="39"/>
  <c r="C5" i="39"/>
  <c r="A1" i="38"/>
  <c r="B10" i="39" l="1"/>
  <c r="D10" i="39"/>
  <c r="C10" i="39"/>
  <c r="J39" i="16" l="1"/>
  <c r="I39" i="16"/>
  <c r="H39" i="16"/>
  <c r="G39" i="16"/>
  <c r="E39" i="16"/>
  <c r="J23" i="16"/>
  <c r="J22" i="16"/>
  <c r="J21" i="16"/>
  <c r="J20" i="16"/>
  <c r="J19" i="16"/>
  <c r="I23" i="16"/>
  <c r="I22" i="16"/>
  <c r="I21" i="16"/>
  <c r="I20" i="16"/>
  <c r="I19" i="16"/>
  <c r="H23" i="16"/>
  <c r="H22" i="16"/>
  <c r="H21" i="16"/>
  <c r="H20" i="16"/>
  <c r="H19" i="16"/>
  <c r="G23" i="16"/>
  <c r="G22" i="16"/>
  <c r="G21" i="16"/>
  <c r="G20" i="16"/>
  <c r="G19" i="16"/>
  <c r="F23" i="16"/>
  <c r="F22" i="16"/>
  <c r="F21" i="16"/>
  <c r="F20" i="16"/>
  <c r="F19" i="16"/>
  <c r="E23" i="16" l="1"/>
  <c r="E22" i="16"/>
  <c r="E21" i="16"/>
  <c r="E20" i="16"/>
  <c r="E19" i="16"/>
  <c r="J36" i="24"/>
  <c r="I36" i="24"/>
  <c r="H36" i="24"/>
  <c r="G36" i="24"/>
  <c r="F36" i="24"/>
  <c r="D36" i="24" l="1"/>
  <c r="E8" i="19"/>
  <c r="E10" i="19"/>
  <c r="E7" i="19"/>
  <c r="E9" i="19"/>
  <c r="E6" i="19"/>
  <c r="F6" i="19" l="1"/>
  <c r="F8" i="19"/>
  <c r="F10" i="19"/>
  <c r="F9" i="19"/>
  <c r="F7" i="19" l="1"/>
  <c r="B10" i="19" l="1"/>
  <c r="B9" i="19"/>
  <c r="B7" i="19"/>
  <c r="B8" i="19"/>
  <c r="C10" i="38" l="1"/>
  <c r="C7" i="38"/>
  <c r="C8" i="38"/>
  <c r="C9" i="38"/>
  <c r="D10" i="19"/>
  <c r="D8" i="19"/>
  <c r="D7" i="19"/>
  <c r="D9" i="19"/>
  <c r="B11" i="38" l="1"/>
  <c r="B6" i="19" l="1"/>
  <c r="D6" i="19" l="1"/>
  <c r="D11" i="38" l="1"/>
  <c r="C6" i="38"/>
  <c r="C11" i="38" l="1"/>
  <c r="D27" i="24" l="1"/>
  <c r="D26" i="24"/>
  <c r="D25" i="24"/>
  <c r="D23" i="24"/>
  <c r="D24" i="24" l="1"/>
  <c r="E20" i="24" l="1"/>
  <c r="E19" i="24"/>
  <c r="E18" i="24"/>
  <c r="E17" i="24"/>
  <c r="E16" i="24"/>
  <c r="F20" i="24"/>
  <c r="F19" i="24"/>
  <c r="F18" i="24"/>
  <c r="F17" i="24"/>
  <c r="F16" i="24"/>
  <c r="G20" i="24"/>
  <c r="G19" i="24"/>
  <c r="G18" i="24"/>
  <c r="G17" i="24"/>
  <c r="G16" i="24"/>
  <c r="H20" i="24"/>
  <c r="H19" i="24"/>
  <c r="H18" i="24"/>
  <c r="H17" i="24"/>
  <c r="H16" i="24"/>
  <c r="I20" i="24"/>
  <c r="I19" i="24"/>
  <c r="I18" i="24"/>
  <c r="I17" i="24"/>
  <c r="I16" i="24"/>
  <c r="J20" i="24"/>
  <c r="J19" i="24"/>
  <c r="J18" i="24"/>
  <c r="J17" i="24"/>
  <c r="J16" i="24"/>
  <c r="D32" i="24" l="1"/>
  <c r="D34" i="24"/>
  <c r="D30" i="24" l="1"/>
  <c r="D33" i="24"/>
  <c r="C8" i="19" l="1"/>
  <c r="D15" i="5" s="1"/>
  <c r="C6" i="19"/>
  <c r="D13" i="5" s="1"/>
  <c r="C10" i="19" l="1"/>
  <c r="D17" i="5" s="1"/>
  <c r="C9" i="19"/>
  <c r="D16" i="5" s="1"/>
  <c r="C7" i="19"/>
  <c r="D14" i="5" s="1"/>
  <c r="D31" i="24" l="1"/>
  <c r="D13" i="24" s="1"/>
  <c r="D62" i="24" s="1"/>
  <c r="E24" i="24" l="1"/>
  <c r="E25" i="24" l="1"/>
  <c r="E26" i="24"/>
  <c r="E27" i="24"/>
  <c r="E23" i="24"/>
  <c r="E33" i="24" l="1"/>
  <c r="E32" i="24"/>
  <c r="E34" i="24"/>
  <c r="E31" i="24"/>
  <c r="E30" i="24" l="1"/>
  <c r="F23" i="24" l="1"/>
  <c r="F30" i="24" l="1"/>
  <c r="G23" i="24" l="1"/>
  <c r="G30" i="24" l="1"/>
  <c r="F24" i="24" l="1"/>
  <c r="F26" i="24" l="1"/>
  <c r="F25" i="24"/>
  <c r="F27" i="24"/>
  <c r="G27" i="24" l="1"/>
  <c r="G24" i="24"/>
  <c r="G25" i="24" l="1"/>
  <c r="G26" i="24"/>
  <c r="F32" i="24"/>
  <c r="F34" i="24"/>
  <c r="G34" i="24"/>
  <c r="F31" i="24"/>
  <c r="F33" i="24"/>
  <c r="G31" i="24" l="1"/>
  <c r="G32" i="24"/>
  <c r="G33" i="24"/>
  <c r="H24" i="24" l="1"/>
  <c r="H25" i="24"/>
  <c r="H26" i="24"/>
  <c r="H27" i="24"/>
  <c r="H32" i="24" l="1"/>
  <c r="H31" i="24"/>
  <c r="H33" i="24"/>
  <c r="H34" i="24"/>
  <c r="H23" i="24" l="1"/>
  <c r="H30" i="24" l="1"/>
  <c r="I25" i="24" l="1"/>
  <c r="I26" i="24"/>
  <c r="I27" i="24"/>
  <c r="I24" i="24"/>
  <c r="I33" i="24" l="1"/>
  <c r="I32" i="24"/>
  <c r="I34" i="24"/>
  <c r="I31" i="24"/>
  <c r="I23" i="24" l="1"/>
  <c r="I30" i="24" l="1"/>
  <c r="J26" i="24" l="1"/>
  <c r="J27" i="24"/>
  <c r="J25" i="24"/>
  <c r="J24" i="24"/>
  <c r="J33" i="24" l="1"/>
  <c r="J31" i="24"/>
  <c r="J32" i="24"/>
  <c r="J34" i="24"/>
  <c r="K24" i="24" l="1"/>
  <c r="K25" i="24"/>
  <c r="K27" i="24"/>
  <c r="K26" i="24"/>
  <c r="L27" i="24" l="1"/>
  <c r="L25" i="24"/>
  <c r="L24" i="24"/>
  <c r="L26" i="24"/>
  <c r="L34" i="24"/>
  <c r="L33" i="24"/>
  <c r="L32" i="24"/>
  <c r="L31" i="24"/>
  <c r="K32" i="24" l="1"/>
  <c r="K31" i="24"/>
  <c r="K33" i="24"/>
  <c r="K34" i="24"/>
  <c r="J23" i="24" l="1"/>
  <c r="K23" i="24" l="1"/>
  <c r="J30" i="24" l="1"/>
  <c r="L23" i="24"/>
  <c r="K30" i="24" l="1"/>
  <c r="L30" i="24" l="1"/>
  <c r="J20" i="29" l="1"/>
  <c r="J19" i="29"/>
  <c r="J18" i="29"/>
  <c r="J17" i="29"/>
  <c r="J16" i="29"/>
  <c r="I20" i="29"/>
  <c r="I19" i="29"/>
  <c r="I18" i="29"/>
  <c r="I17" i="29"/>
  <c r="I16" i="29"/>
  <c r="H20" i="29"/>
  <c r="H19" i="29"/>
  <c r="H18" i="29"/>
  <c r="H17" i="29"/>
  <c r="H16" i="29"/>
  <c r="G20" i="29"/>
  <c r="G19" i="29"/>
  <c r="G18" i="29"/>
  <c r="G17" i="29"/>
  <c r="G16" i="29"/>
  <c r="F20" i="29"/>
  <c r="F19" i="29"/>
  <c r="F18" i="29"/>
  <c r="F17" i="29"/>
  <c r="F16" i="29"/>
  <c r="E20" i="29"/>
  <c r="E19" i="29"/>
  <c r="E18" i="29"/>
  <c r="E17" i="29"/>
  <c r="E16" i="29"/>
  <c r="J32" i="23" l="1"/>
  <c r="I32" i="23"/>
  <c r="H32" i="23"/>
  <c r="F32" i="23"/>
  <c r="E32" i="23"/>
  <c r="L30" i="23"/>
  <c r="K30" i="23"/>
  <c r="J30" i="23"/>
  <c r="I30" i="23"/>
  <c r="L29" i="23"/>
  <c r="K29" i="23"/>
  <c r="J29" i="23"/>
  <c r="I29" i="23"/>
  <c r="L28" i="23"/>
  <c r="K28" i="23"/>
  <c r="J28" i="23"/>
  <c r="I28" i="23"/>
  <c r="L27" i="23"/>
  <c r="K27" i="23"/>
  <c r="J27" i="23"/>
  <c r="I27" i="23"/>
  <c r="L26" i="23"/>
  <c r="K26" i="23"/>
  <c r="J26" i="23"/>
  <c r="I26" i="23"/>
  <c r="H30" i="23"/>
  <c r="H29" i="23"/>
  <c r="H28" i="23"/>
  <c r="H27" i="23"/>
  <c r="H26" i="23"/>
  <c r="E26" i="23" l="1"/>
  <c r="E27" i="23"/>
  <c r="E28" i="23"/>
  <c r="E29" i="23"/>
  <c r="E30" i="23"/>
  <c r="F26" i="23"/>
  <c r="G26" i="23"/>
  <c r="F27" i="23"/>
  <c r="G27" i="23"/>
  <c r="F28" i="23"/>
  <c r="G28" i="23"/>
  <c r="F29" i="23"/>
  <c r="G29" i="23"/>
  <c r="F30" i="23"/>
  <c r="G30" i="23"/>
  <c r="I29" i="31"/>
  <c r="H29" i="31"/>
  <c r="I20" i="31"/>
  <c r="I19" i="31"/>
  <c r="I18" i="31"/>
  <c r="I17" i="31"/>
  <c r="I16" i="31"/>
  <c r="H20" i="31"/>
  <c r="H19" i="31"/>
  <c r="H18" i="31"/>
  <c r="H17" i="31"/>
  <c r="H16" i="31"/>
  <c r="G20" i="31"/>
  <c r="G19" i="31"/>
  <c r="G18" i="31"/>
  <c r="G17" i="31"/>
  <c r="G16" i="31"/>
  <c r="F20" i="31"/>
  <c r="F19" i="31"/>
  <c r="F18" i="31"/>
  <c r="F17" i="31"/>
  <c r="F16" i="31"/>
  <c r="E20" i="31"/>
  <c r="E19" i="31"/>
  <c r="E18" i="31"/>
  <c r="E17" i="31"/>
  <c r="E16" i="31"/>
  <c r="D20" i="31"/>
  <c r="D19" i="31"/>
  <c r="D18" i="31"/>
  <c r="D17" i="31"/>
  <c r="D16" i="31"/>
  <c r="J23" i="23"/>
  <c r="J22" i="23"/>
  <c r="J21" i="23"/>
  <c r="J20" i="23"/>
  <c r="J19" i="23"/>
  <c r="I23" i="23"/>
  <c r="I22" i="23"/>
  <c r="I21" i="23"/>
  <c r="I20" i="23"/>
  <c r="I19" i="23"/>
  <c r="H23" i="23"/>
  <c r="H22" i="23"/>
  <c r="H21" i="23"/>
  <c r="H20" i="23"/>
  <c r="H19" i="23"/>
  <c r="G23" i="23"/>
  <c r="G22" i="23"/>
  <c r="G21" i="23"/>
  <c r="G20" i="23"/>
  <c r="G19" i="23"/>
  <c r="F23" i="23"/>
  <c r="F22" i="23"/>
  <c r="F21" i="23"/>
  <c r="F20" i="23"/>
  <c r="F19" i="23"/>
  <c r="E23" i="23"/>
  <c r="E22" i="23"/>
  <c r="E21" i="23"/>
  <c r="E20" i="23"/>
  <c r="E19" i="23"/>
  <c r="G94" i="8" l="1"/>
  <c r="G93" i="8"/>
  <c r="G92" i="8"/>
  <c r="G91" i="8"/>
  <c r="G87" i="8"/>
  <c r="G83" i="8"/>
  <c r="G82" i="8"/>
  <c r="G81" i="8"/>
  <c r="G80" i="8"/>
  <c r="G76" i="8"/>
  <c r="G70" i="8"/>
  <c r="G71" i="8"/>
  <c r="G72" i="8"/>
  <c r="G69" i="8"/>
  <c r="G65" i="8"/>
  <c r="I19" i="13" l="1"/>
  <c r="I20" i="13" l="1"/>
  <c r="H20" i="13"/>
  <c r="H19" i="13"/>
  <c r="G20" i="13"/>
  <c r="G19" i="13"/>
  <c r="F20" i="13"/>
  <c r="F19" i="13"/>
  <c r="E20" i="13"/>
  <c r="E19" i="13"/>
  <c r="D20" i="13"/>
  <c r="D19" i="13"/>
  <c r="J26" i="36"/>
  <c r="J25" i="36"/>
  <c r="J24" i="36"/>
  <c r="J23" i="36"/>
  <c r="J22" i="36"/>
  <c r="I26" i="36"/>
  <c r="I25" i="36"/>
  <c r="I24" i="36"/>
  <c r="I23" i="36"/>
  <c r="I22" i="36"/>
  <c r="H26" i="36"/>
  <c r="H25" i="36"/>
  <c r="H24" i="36"/>
  <c r="H23" i="36"/>
  <c r="H22" i="36"/>
  <c r="G26" i="36"/>
  <c r="G25" i="36"/>
  <c r="G24" i="36"/>
  <c r="G23" i="36"/>
  <c r="G22" i="36"/>
  <c r="F26" i="36"/>
  <c r="F25" i="36"/>
  <c r="F24" i="36"/>
  <c r="F23" i="36"/>
  <c r="F22" i="36"/>
  <c r="E26" i="36"/>
  <c r="E25" i="36"/>
  <c r="E24" i="36"/>
  <c r="E23" i="36"/>
  <c r="E22" i="36"/>
  <c r="J50" i="15"/>
  <c r="I50" i="15"/>
  <c r="H50" i="15"/>
  <c r="G50" i="15"/>
  <c r="F50" i="15"/>
  <c r="E50" i="15"/>
  <c r="B67" i="28" l="1"/>
  <c r="E62" i="28"/>
  <c r="D62" i="28"/>
  <c r="C62" i="28"/>
  <c r="E61" i="28"/>
  <c r="D61" i="28"/>
  <c r="C61" i="28"/>
  <c r="E60" i="28"/>
  <c r="D60" i="28"/>
  <c r="C60" i="28"/>
  <c r="E59" i="28"/>
  <c r="D59" i="28"/>
  <c r="C59" i="28"/>
  <c r="E55" i="28"/>
  <c r="D55" i="28"/>
  <c r="C55" i="28"/>
  <c r="E50" i="28"/>
  <c r="D50" i="28"/>
  <c r="C50" i="28"/>
  <c r="E49" i="28"/>
  <c r="D49" i="28"/>
  <c r="C49" i="28"/>
  <c r="E48" i="28"/>
  <c r="D48" i="28"/>
  <c r="C48" i="28"/>
  <c r="E47" i="28"/>
  <c r="D47" i="28"/>
  <c r="C47" i="28"/>
  <c r="E43" i="28"/>
  <c r="D43" i="28"/>
  <c r="C43" i="28"/>
  <c r="E38" i="28"/>
  <c r="D38" i="28"/>
  <c r="C38" i="28"/>
  <c r="E37" i="28"/>
  <c r="D37" i="28"/>
  <c r="C37" i="28"/>
  <c r="E36" i="28"/>
  <c r="D36" i="28"/>
  <c r="C36" i="28"/>
  <c r="E35" i="28"/>
  <c r="D35" i="28"/>
  <c r="C35" i="28"/>
  <c r="E31" i="28"/>
  <c r="D31" i="28"/>
  <c r="C31" i="28"/>
  <c r="E26" i="28"/>
  <c r="D26" i="28"/>
  <c r="C26" i="28"/>
  <c r="B26" i="28"/>
  <c r="E25" i="28"/>
  <c r="D25" i="28"/>
  <c r="C25" i="28"/>
  <c r="B25" i="28"/>
  <c r="E24" i="28"/>
  <c r="D24" i="28"/>
  <c r="C24" i="28"/>
  <c r="B24" i="28"/>
  <c r="E23" i="28"/>
  <c r="D23" i="28"/>
  <c r="C23" i="28"/>
  <c r="B23" i="28"/>
  <c r="E19" i="28"/>
  <c r="D19" i="28"/>
  <c r="C19" i="28"/>
  <c r="B19" i="28"/>
  <c r="L11" i="15"/>
  <c r="L10" i="15"/>
  <c r="L9" i="15"/>
  <c r="L8" i="15"/>
  <c r="C9" i="18"/>
  <c r="C17" i="5" s="1"/>
  <c r="C8" i="18"/>
  <c r="C16" i="5" s="1"/>
  <c r="C7" i="18"/>
  <c r="C15" i="5" s="1"/>
  <c r="C6" i="18"/>
  <c r="C14" i="5" s="1"/>
  <c r="C5" i="18"/>
  <c r="C13" i="5" s="1"/>
  <c r="B122" i="28" l="1"/>
  <c r="B121" i="28"/>
  <c r="B120" i="28"/>
  <c r="B119" i="28"/>
  <c r="B115" i="28"/>
  <c r="F122" i="28" l="1"/>
  <c r="G122" i="28" s="1"/>
  <c r="F121" i="28"/>
  <c r="G121" i="28" s="1"/>
  <c r="E123" i="28"/>
  <c r="E116" i="28" s="1"/>
  <c r="D123" i="28"/>
  <c r="D116" i="28" s="1"/>
  <c r="C123" i="28"/>
  <c r="C116" i="28" s="1"/>
  <c r="C117" i="28" s="1"/>
  <c r="B123" i="28"/>
  <c r="B116" i="28" s="1"/>
  <c r="F115" i="28"/>
  <c r="G115" i="28" s="1"/>
  <c r="F98" i="28"/>
  <c r="G98" i="28" s="1"/>
  <c r="F96" i="28"/>
  <c r="G96" i="28" s="1"/>
  <c r="C99" i="28"/>
  <c r="C92" i="28" s="1"/>
  <c r="F95" i="28"/>
  <c r="G95" i="28" s="1"/>
  <c r="D117" i="28" l="1"/>
  <c r="B117" i="28"/>
  <c r="F97" i="28"/>
  <c r="G97" i="28" s="1"/>
  <c r="C93" i="28"/>
  <c r="F91" i="28"/>
  <c r="G91" i="28" s="1"/>
  <c r="F120" i="28"/>
  <c r="G120" i="28" s="1"/>
  <c r="D99" i="28"/>
  <c r="D92" i="28" s="1"/>
  <c r="D93" i="28" s="1"/>
  <c r="F116" i="28"/>
  <c r="G116" i="28" s="1"/>
  <c r="F119" i="28"/>
  <c r="G119" i="28" s="1"/>
  <c r="E99" i="28"/>
  <c r="E92" i="28" s="1"/>
  <c r="E93" i="28" s="1"/>
  <c r="B99" i="28"/>
  <c r="B92" i="28" s="1"/>
  <c r="B93" i="28" s="1"/>
  <c r="F92" i="28" l="1"/>
  <c r="G92" i="28" s="1"/>
  <c r="F117" i="28"/>
  <c r="E117" i="28"/>
  <c r="G99" i="28"/>
  <c r="F99" i="28"/>
  <c r="F123" i="28"/>
  <c r="G117" i="28"/>
  <c r="G93" i="28" l="1"/>
  <c r="G123" i="28"/>
  <c r="F93" i="28"/>
  <c r="F11" i="19" l="1"/>
  <c r="B61" i="36" l="1"/>
  <c r="C61" i="36" s="1"/>
  <c r="M59" i="36"/>
  <c r="D42" i="36"/>
  <c r="C42" i="36"/>
  <c r="C49" i="36" s="1"/>
  <c r="D41" i="36"/>
  <c r="C41" i="36"/>
  <c r="C48" i="36" s="1"/>
  <c r="J40" i="36"/>
  <c r="D40" i="36"/>
  <c r="C40" i="36"/>
  <c r="C47" i="36" s="1"/>
  <c r="I39" i="36"/>
  <c r="D39" i="36"/>
  <c r="C39" i="36"/>
  <c r="C46" i="36" s="1"/>
  <c r="J38" i="36"/>
  <c r="I38" i="36"/>
  <c r="H38" i="36"/>
  <c r="D38" i="36"/>
  <c r="C38" i="36"/>
  <c r="C45" i="36" s="1"/>
  <c r="J42" i="36"/>
  <c r="I42" i="36"/>
  <c r="H42" i="36"/>
  <c r="G42" i="36"/>
  <c r="P18" i="36"/>
  <c r="J41" i="36"/>
  <c r="I41" i="36"/>
  <c r="H41" i="36"/>
  <c r="G41" i="36"/>
  <c r="E41" i="36"/>
  <c r="I40" i="36"/>
  <c r="H40" i="36"/>
  <c r="E40" i="36"/>
  <c r="J39" i="36"/>
  <c r="H39" i="36"/>
  <c r="G39" i="36"/>
  <c r="P15" i="36"/>
  <c r="G38" i="36"/>
  <c r="E38" i="36"/>
  <c r="E12" i="36"/>
  <c r="C11" i="36"/>
  <c r="B11" i="36"/>
  <c r="I8" i="36"/>
  <c r="I7" i="36"/>
  <c r="I6" i="36"/>
  <c r="I5" i="36"/>
  <c r="I4" i="36"/>
  <c r="A1" i="36"/>
  <c r="D46" i="36" l="1"/>
  <c r="D45" i="36"/>
  <c r="E45" i="36" s="1"/>
  <c r="D48" i="36"/>
  <c r="E48" i="36" s="1"/>
  <c r="I9" i="36"/>
  <c r="D47" i="36"/>
  <c r="E47" i="36" s="1"/>
  <c r="P17" i="36"/>
  <c r="G40" i="36"/>
  <c r="D49" i="36"/>
  <c r="D61" i="36"/>
  <c r="P16" i="36"/>
  <c r="E39" i="36"/>
  <c r="E42" i="36"/>
  <c r="P19" i="36"/>
  <c r="E49" i="36" l="1"/>
  <c r="E46" i="36"/>
  <c r="G61" i="8" l="1"/>
  <c r="G60" i="8"/>
  <c r="G59" i="8"/>
  <c r="G58" i="8"/>
  <c r="G54" i="8"/>
  <c r="E56" i="36" l="1"/>
  <c r="E55" i="36"/>
  <c r="E53" i="36"/>
  <c r="E57" i="36"/>
  <c r="E54" i="36"/>
  <c r="K50" i="15"/>
  <c r="L50" i="15" l="1"/>
  <c r="E59" i="36"/>
  <c r="E61" i="36"/>
  <c r="E58" i="36" s="1"/>
  <c r="P19" i="22" l="1"/>
  <c r="O27" i="31" l="1"/>
  <c r="O26" i="31"/>
  <c r="O25" i="31"/>
  <c r="O24" i="31"/>
  <c r="O23" i="31"/>
  <c r="O13" i="31"/>
  <c r="O24" i="13"/>
  <c r="O23" i="13"/>
  <c r="O16" i="13"/>
  <c r="P30" i="23"/>
  <c r="P29" i="23"/>
  <c r="P28" i="23"/>
  <c r="P27" i="23"/>
  <c r="P26" i="23"/>
  <c r="P40" i="15"/>
  <c r="P16" i="16"/>
  <c r="P19" i="15"/>
  <c r="P18" i="15"/>
  <c r="P17" i="15"/>
  <c r="P16" i="15"/>
  <c r="G14" i="8" l="1"/>
  <c r="G13" i="8"/>
  <c r="G12" i="8"/>
  <c r="G11" i="8"/>
  <c r="G7" i="8"/>
  <c r="E14" i="8"/>
  <c r="D14" i="8"/>
  <c r="C14" i="8"/>
  <c r="E13" i="8"/>
  <c r="D13" i="8"/>
  <c r="C13" i="8"/>
  <c r="E12" i="8"/>
  <c r="D12" i="8"/>
  <c r="C12" i="8"/>
  <c r="E11" i="8"/>
  <c r="E15" i="8" s="1"/>
  <c r="D11" i="8"/>
  <c r="D15" i="8" s="1"/>
  <c r="C11" i="8"/>
  <c r="C15" i="8" s="1"/>
  <c r="D9" i="8"/>
  <c r="E8" i="8"/>
  <c r="D8" i="8"/>
  <c r="C8" i="8"/>
  <c r="E7" i="8"/>
  <c r="E9" i="8" s="1"/>
  <c r="D7" i="8"/>
  <c r="C7" i="8"/>
  <c r="C9" i="8" s="1"/>
  <c r="B14" i="8"/>
  <c r="B13" i="8"/>
  <c r="B12" i="8"/>
  <c r="B11" i="8"/>
  <c r="B8" i="8"/>
  <c r="B7" i="8"/>
  <c r="G15" i="8" l="1"/>
  <c r="E74" i="28" l="1"/>
  <c r="D74" i="28"/>
  <c r="C74" i="28"/>
  <c r="B74" i="28"/>
  <c r="E73" i="28"/>
  <c r="D73" i="28"/>
  <c r="C73" i="28"/>
  <c r="B73" i="28"/>
  <c r="E72" i="28"/>
  <c r="D72" i="28"/>
  <c r="C72" i="28"/>
  <c r="B72" i="28"/>
  <c r="E71" i="28"/>
  <c r="D71" i="28"/>
  <c r="C71" i="28"/>
  <c r="B71" i="28"/>
  <c r="E67" i="28"/>
  <c r="D67" i="28"/>
  <c r="C67" i="28"/>
  <c r="E56" i="28" l="1"/>
  <c r="B62" i="28"/>
  <c r="F62" i="28" s="1"/>
  <c r="G62" i="28" s="1"/>
  <c r="B61" i="28"/>
  <c r="F61" i="28" s="1"/>
  <c r="G61" i="28" s="1"/>
  <c r="D56" i="28"/>
  <c r="B60" i="28"/>
  <c r="F60" i="28" s="1"/>
  <c r="G60" i="28" s="1"/>
  <c r="E63" i="28"/>
  <c r="D63" i="28"/>
  <c r="C63" i="28"/>
  <c r="B59" i="28"/>
  <c r="B63" i="28" s="1"/>
  <c r="C56" i="28"/>
  <c r="C57" i="28" s="1"/>
  <c r="B55" i="28"/>
  <c r="B56" i="28" l="1"/>
  <c r="C13" i="28"/>
  <c r="C12" i="28"/>
  <c r="C7" i="28"/>
  <c r="C14" i="28"/>
  <c r="C11" i="28"/>
  <c r="D12" i="28"/>
  <c r="D7" i="28"/>
  <c r="D11" i="28"/>
  <c r="D13" i="28"/>
  <c r="D14" i="28"/>
  <c r="E7" i="28"/>
  <c r="E14" i="28"/>
  <c r="E12" i="28"/>
  <c r="E13" i="28"/>
  <c r="E11" i="28"/>
  <c r="F59" i="28"/>
  <c r="B57" i="28"/>
  <c r="D57" i="28"/>
  <c r="E57" i="28"/>
  <c r="F56" i="28"/>
  <c r="G56" i="28" s="1"/>
  <c r="F55" i="28"/>
  <c r="G55" i="28" s="1"/>
  <c r="F63" i="28" l="1"/>
  <c r="G59" i="28"/>
  <c r="G63" i="28" s="1"/>
  <c r="G57" i="28"/>
  <c r="F57" i="28"/>
  <c r="G50" i="8" l="1"/>
  <c r="G49" i="8"/>
  <c r="G48" i="8"/>
  <c r="G47" i="8"/>
  <c r="G44" i="8"/>
  <c r="G43" i="8"/>
  <c r="P15" i="22" l="1"/>
  <c r="P17" i="22"/>
  <c r="P16" i="22"/>
  <c r="P18" i="22"/>
  <c r="A1" i="32" l="1"/>
  <c r="F17" i="5" l="1"/>
  <c r="F16" i="5"/>
  <c r="F15" i="5"/>
  <c r="F14" i="5"/>
  <c r="F13" i="5"/>
  <c r="F94" i="8" l="1"/>
  <c r="F93" i="8"/>
  <c r="F92" i="8"/>
  <c r="F91" i="8" l="1"/>
  <c r="F88" i="8"/>
  <c r="F95" i="8" l="1"/>
  <c r="G88" i="8" l="1"/>
  <c r="G95" i="8"/>
  <c r="F87" i="8" l="1"/>
  <c r="G89" i="8" l="1"/>
  <c r="F89" i="8"/>
  <c r="B50" i="28" l="1"/>
  <c r="B49" i="28"/>
  <c r="B48" i="28"/>
  <c r="B47" i="28"/>
  <c r="B43" i="28"/>
  <c r="B51" i="28" l="1"/>
  <c r="B44" i="28"/>
  <c r="B45" i="28" l="1"/>
  <c r="D51" i="28" l="1"/>
  <c r="D44" i="28"/>
  <c r="D45" i="28" l="1"/>
  <c r="F49" i="28" l="1"/>
  <c r="F48" i="28"/>
  <c r="F50" i="28"/>
  <c r="C44" i="28"/>
  <c r="C51" i="28"/>
  <c r="G48" i="28" l="1"/>
  <c r="G50" i="28"/>
  <c r="G49" i="28"/>
  <c r="F43" i="28"/>
  <c r="C45" i="28"/>
  <c r="G43" i="28" l="1"/>
  <c r="E51" i="28"/>
  <c r="E44" i="28"/>
  <c r="F47" i="28"/>
  <c r="G47" i="28" l="1"/>
  <c r="G51" i="28" s="1"/>
  <c r="F51" i="28"/>
  <c r="E45" i="28"/>
  <c r="F44" i="28"/>
  <c r="G44" i="28" s="1"/>
  <c r="G45" i="28" l="1"/>
  <c r="F45" i="28"/>
  <c r="B87" i="28" l="1"/>
  <c r="F86" i="28"/>
  <c r="F85" i="28"/>
  <c r="E80" i="28"/>
  <c r="B80" i="28"/>
  <c r="B81" i="28" s="1"/>
  <c r="B75" i="28"/>
  <c r="F74" i="28"/>
  <c r="G74" i="28" s="1"/>
  <c r="F73" i="28"/>
  <c r="G73" i="28" s="1"/>
  <c r="F72" i="28"/>
  <c r="G72" i="28" s="1"/>
  <c r="D68" i="28"/>
  <c r="B68" i="28"/>
  <c r="F67" i="28"/>
  <c r="G67" i="28" s="1"/>
  <c r="G26" i="29" l="1"/>
  <c r="J26" i="29"/>
  <c r="E26" i="29"/>
  <c r="H26" i="29"/>
  <c r="F26" i="29"/>
  <c r="I26" i="29"/>
  <c r="L26" i="29"/>
  <c r="K26" i="29"/>
  <c r="G85" i="28"/>
  <c r="F27" i="29"/>
  <c r="I27" i="29"/>
  <c r="G27" i="29"/>
  <c r="L27" i="29"/>
  <c r="K27" i="29"/>
  <c r="H27" i="29"/>
  <c r="J27" i="29"/>
  <c r="E27" i="29"/>
  <c r="G86" i="28"/>
  <c r="B69" i="28"/>
  <c r="F79" i="28"/>
  <c r="C87" i="28"/>
  <c r="D87" i="28"/>
  <c r="F84" i="28"/>
  <c r="E81" i="28"/>
  <c r="C75" i="28"/>
  <c r="E75" i="28"/>
  <c r="F83" i="28"/>
  <c r="E87" i="28"/>
  <c r="D69" i="28"/>
  <c r="C80" i="28"/>
  <c r="D80" i="28"/>
  <c r="D81" i="28" s="1"/>
  <c r="F71" i="28"/>
  <c r="G71" i="28" s="1"/>
  <c r="C68" i="28"/>
  <c r="D75" i="28"/>
  <c r="E68" i="28"/>
  <c r="H23" i="29" l="1"/>
  <c r="G23" i="29"/>
  <c r="F23" i="29"/>
  <c r="E23" i="29"/>
  <c r="K23" i="29"/>
  <c r="L23" i="29"/>
  <c r="I23" i="29"/>
  <c r="J23" i="29"/>
  <c r="G79" i="28"/>
  <c r="J25" i="29"/>
  <c r="H25" i="29"/>
  <c r="L25" i="29"/>
  <c r="E25" i="29"/>
  <c r="I25" i="29"/>
  <c r="G25" i="29"/>
  <c r="K25" i="29"/>
  <c r="F25" i="29"/>
  <c r="G84" i="28"/>
  <c r="G24" i="29"/>
  <c r="H24" i="29"/>
  <c r="F24" i="29"/>
  <c r="L24" i="29"/>
  <c r="E24" i="29"/>
  <c r="K24" i="29"/>
  <c r="J24" i="29"/>
  <c r="I24" i="29"/>
  <c r="G83" i="28"/>
  <c r="P26" i="29"/>
  <c r="G75" i="28"/>
  <c r="P27" i="29"/>
  <c r="C69" i="28"/>
  <c r="E69" i="28"/>
  <c r="F80" i="28"/>
  <c r="G80" i="28" s="1"/>
  <c r="C81" i="28"/>
  <c r="F87" i="28"/>
  <c r="F68" i="28"/>
  <c r="G68" i="28" s="1"/>
  <c r="F75" i="28"/>
  <c r="G87" i="28" l="1"/>
  <c r="P23" i="29"/>
  <c r="D8" i="28"/>
  <c r="P25" i="29"/>
  <c r="E8" i="28"/>
  <c r="C8" i="28"/>
  <c r="P24" i="29"/>
  <c r="G69" i="28"/>
  <c r="G81" i="28"/>
  <c r="F81" i="28"/>
  <c r="F69" i="28"/>
  <c r="D44" i="15" l="1"/>
  <c r="E7" i="31" l="1"/>
  <c r="E6" i="31"/>
  <c r="E5" i="31"/>
  <c r="E35" i="31"/>
  <c r="G34" i="31"/>
  <c r="F34" i="31"/>
  <c r="I33" i="31"/>
  <c r="H33" i="31"/>
  <c r="G33" i="31"/>
  <c r="I35" i="31"/>
  <c r="H35" i="31"/>
  <c r="G35" i="31"/>
  <c r="F35" i="31"/>
  <c r="D35" i="31"/>
  <c r="C35" i="31"/>
  <c r="I34" i="31"/>
  <c r="H34" i="31"/>
  <c r="E34" i="31"/>
  <c r="D34" i="31"/>
  <c r="C34" i="31"/>
  <c r="F33" i="31"/>
  <c r="E33" i="31"/>
  <c r="D33" i="31"/>
  <c r="C33" i="31"/>
  <c r="C11" i="30" l="1"/>
  <c r="B6" i="30" l="1"/>
  <c r="C12" i="30" s="1"/>
  <c r="D84" i="8" l="1"/>
  <c r="C84" i="8"/>
  <c r="B84" i="8"/>
  <c r="F83" i="8"/>
  <c r="F82" i="8"/>
  <c r="F81" i="8"/>
  <c r="C78" i="8"/>
  <c r="B78" i="8"/>
  <c r="D77" i="8"/>
  <c r="D78" i="8" s="1"/>
  <c r="C77" i="8"/>
  <c r="F76" i="8"/>
  <c r="E84" i="8" l="1"/>
  <c r="F80" i="8"/>
  <c r="F77" i="8"/>
  <c r="F78" i="8" s="1"/>
  <c r="E78" i="8" l="1"/>
  <c r="F84" i="8"/>
  <c r="G84" i="8" l="1"/>
  <c r="G77" i="8"/>
  <c r="G78" i="8" s="1"/>
  <c r="C11" i="12" l="1"/>
  <c r="C12" i="12"/>
  <c r="C13" i="12"/>
  <c r="C10" i="12"/>
  <c r="C6" i="12"/>
  <c r="B11" i="12"/>
  <c r="B12" i="12"/>
  <c r="B13" i="12"/>
  <c r="B10" i="12"/>
  <c r="B6" i="12"/>
  <c r="C36" i="31" l="1"/>
  <c r="C32" i="31"/>
  <c r="I36" i="31"/>
  <c r="H36" i="31"/>
  <c r="G36" i="31"/>
  <c r="F36" i="31"/>
  <c r="E36" i="31"/>
  <c r="I32" i="31"/>
  <c r="H32" i="31"/>
  <c r="G32" i="31"/>
  <c r="F32" i="31"/>
  <c r="E32" i="31"/>
  <c r="K13" i="31"/>
  <c r="J13" i="31"/>
  <c r="I13" i="31"/>
  <c r="H13" i="31"/>
  <c r="G13" i="31"/>
  <c r="F13" i="31"/>
  <c r="E13" i="31"/>
  <c r="D13" i="31"/>
  <c r="D12" i="31"/>
  <c r="E12" i="31" s="1"/>
  <c r="F12" i="31" s="1"/>
  <c r="G12" i="31" s="1"/>
  <c r="H12" i="31" s="1"/>
  <c r="I12" i="31" s="1"/>
  <c r="J12" i="31" s="1"/>
  <c r="K12" i="31" s="1"/>
  <c r="L12" i="31" s="1"/>
  <c r="C11" i="31"/>
  <c r="B11" i="31"/>
  <c r="E8" i="31"/>
  <c r="E4" i="31"/>
  <c r="A1" i="31"/>
  <c r="E10" i="30"/>
  <c r="D11" i="30"/>
  <c r="B7" i="30" s="1"/>
  <c r="B11" i="30"/>
  <c r="B5" i="30" s="1"/>
  <c r="A2" i="30"/>
  <c r="A1" i="30"/>
  <c r="D5" i="19"/>
  <c r="E9" i="31" l="1"/>
  <c r="B12" i="30"/>
  <c r="D12" i="30"/>
  <c r="E9" i="30"/>
  <c r="D32" i="31"/>
  <c r="D36" i="31"/>
  <c r="B6" i="10"/>
  <c r="B5" i="10"/>
  <c r="E11" i="30" l="1"/>
  <c r="E12" i="30" s="1"/>
  <c r="G4" i="31" l="1"/>
  <c r="C39" i="31"/>
  <c r="D39" i="31" s="1"/>
  <c r="D73" i="8" l="1"/>
  <c r="C73" i="8"/>
  <c r="B73" i="8"/>
  <c r="F72" i="8"/>
  <c r="F71" i="8"/>
  <c r="F70" i="8"/>
  <c r="F69" i="8"/>
  <c r="C67" i="8"/>
  <c r="B67" i="8"/>
  <c r="D66" i="8"/>
  <c r="D67" i="8" s="1"/>
  <c r="C66" i="8"/>
  <c r="F73" i="8" l="1"/>
  <c r="E73" i="8"/>
  <c r="F66" i="8"/>
  <c r="G73" i="8" l="1"/>
  <c r="G66" i="8"/>
  <c r="E67" i="8" l="1"/>
  <c r="F65" i="8"/>
  <c r="F67" i="8" l="1"/>
  <c r="G67" i="8"/>
  <c r="I45" i="31" l="1"/>
  <c r="H45" i="31"/>
  <c r="H8" i="29" l="1"/>
  <c r="H7" i="29"/>
  <c r="H6" i="29"/>
  <c r="H5" i="29"/>
  <c r="B55" i="29"/>
  <c r="C55" i="29" s="1"/>
  <c r="C36" i="29"/>
  <c r="C43" i="29" s="1"/>
  <c r="C35" i="29"/>
  <c r="C42" i="29" s="1"/>
  <c r="C34" i="29"/>
  <c r="C41" i="29" s="1"/>
  <c r="C33" i="29"/>
  <c r="C40" i="29" s="1"/>
  <c r="C32" i="29"/>
  <c r="C39" i="29" s="1"/>
  <c r="E12" i="29"/>
  <c r="F12" i="29" s="1"/>
  <c r="G12" i="29" s="1"/>
  <c r="H12" i="29" s="1"/>
  <c r="I12" i="29" s="1"/>
  <c r="J12" i="29" s="1"/>
  <c r="K12" i="29" s="1"/>
  <c r="L12" i="29" s="1"/>
  <c r="M12" i="29" s="1"/>
  <c r="C11" i="29"/>
  <c r="B11" i="29"/>
  <c r="H4" i="29"/>
  <c r="A1" i="29"/>
  <c r="F45" i="29" l="1"/>
  <c r="E45" i="31"/>
  <c r="G45" i="29"/>
  <c r="F45" i="31"/>
  <c r="E45" i="29"/>
  <c r="D45" i="31"/>
  <c r="H45" i="29"/>
  <c r="G45" i="31"/>
  <c r="H9" i="29"/>
  <c r="D47" i="31" l="1"/>
  <c r="E39" i="31" l="1"/>
  <c r="E47" i="31"/>
  <c r="F47" i="31" l="1"/>
  <c r="F39" i="31"/>
  <c r="G47" i="31" l="1"/>
  <c r="G39" i="31"/>
  <c r="H47" i="31" l="1"/>
  <c r="H39" i="31"/>
  <c r="I39" i="31" l="1"/>
  <c r="I47" i="31"/>
  <c r="B62" i="8" l="1"/>
  <c r="B56" i="8"/>
  <c r="F54" i="8" l="1"/>
  <c r="F59" i="8" l="1"/>
  <c r="F61" i="8" l="1"/>
  <c r="F60" i="8" l="1"/>
  <c r="E62" i="8"/>
  <c r="E56" i="8"/>
  <c r="D62" i="8" l="1"/>
  <c r="D55" i="8"/>
  <c r="D56" i="8" s="1"/>
  <c r="C62" i="8"/>
  <c r="C55" i="8"/>
  <c r="F58" i="8"/>
  <c r="F62" i="8" l="1"/>
  <c r="F55" i="8"/>
  <c r="C56" i="8"/>
  <c r="G62" i="8" l="1"/>
  <c r="G55" i="8"/>
  <c r="G8" i="8" s="1"/>
  <c r="G9" i="8" s="1"/>
  <c r="F56" i="8"/>
  <c r="G56" i="8" l="1"/>
  <c r="D14" i="30" l="1"/>
  <c r="B14" i="30" s="1"/>
  <c r="D17" i="30"/>
  <c r="B17" i="30" s="1"/>
  <c r="D15" i="30"/>
  <c r="B15" i="30" s="1"/>
  <c r="D16" i="30"/>
  <c r="B16" i="30" s="1"/>
  <c r="B18" i="30" l="1"/>
  <c r="D18" i="30"/>
  <c r="C41" i="31" l="1"/>
  <c r="G6" i="31"/>
  <c r="C40" i="31"/>
  <c r="G5" i="31"/>
  <c r="B55" i="31"/>
  <c r="C55" i="31" s="1"/>
  <c r="G8" i="31"/>
  <c r="C43" i="31"/>
  <c r="G7" i="31"/>
  <c r="C42" i="31"/>
  <c r="D15" i="28" l="1"/>
  <c r="D43" i="31"/>
  <c r="D51" i="31"/>
  <c r="D40" i="31"/>
  <c r="D48" i="31"/>
  <c r="G9" i="31"/>
  <c r="D42" i="31"/>
  <c r="D50" i="31"/>
  <c r="D41" i="31"/>
  <c r="D49" i="31"/>
  <c r="D53" i="31" l="1"/>
  <c r="E40" i="31"/>
  <c r="E48" i="31"/>
  <c r="E50" i="31"/>
  <c r="E42" i="31"/>
  <c r="E51" i="31"/>
  <c r="E43" i="31"/>
  <c r="E41" i="31"/>
  <c r="E49" i="31"/>
  <c r="D55" i="31"/>
  <c r="F41" i="31" l="1"/>
  <c r="F49" i="31"/>
  <c r="F51" i="31"/>
  <c r="F43" i="31"/>
  <c r="F42" i="31"/>
  <c r="F50" i="31"/>
  <c r="F48" i="31"/>
  <c r="F40" i="31"/>
  <c r="E53" i="31"/>
  <c r="D52" i="31"/>
  <c r="E55" i="31"/>
  <c r="C15" i="28"/>
  <c r="G51" i="31" l="1"/>
  <c r="G48" i="31"/>
  <c r="G50" i="31"/>
  <c r="G49" i="31"/>
  <c r="F53" i="31"/>
  <c r="G42" i="31"/>
  <c r="E52" i="31"/>
  <c r="F55" i="31"/>
  <c r="G40" i="31"/>
  <c r="G43" i="31"/>
  <c r="G41" i="31"/>
  <c r="H51" i="31" l="1"/>
  <c r="H50" i="31"/>
  <c r="H48" i="31"/>
  <c r="H49" i="31"/>
  <c r="H43" i="31"/>
  <c r="F52" i="31"/>
  <c r="G55" i="31"/>
  <c r="H40" i="31"/>
  <c r="G53" i="31"/>
  <c r="H42" i="31"/>
  <c r="H41" i="31"/>
  <c r="E15" i="28"/>
  <c r="H53" i="31" l="1"/>
  <c r="I42" i="31"/>
  <c r="I50" i="31"/>
  <c r="G52" i="31"/>
  <c r="H55" i="31"/>
  <c r="I40" i="31"/>
  <c r="I48" i="31"/>
  <c r="I49" i="31"/>
  <c r="I41" i="31"/>
  <c r="I51" i="31"/>
  <c r="I43" i="31"/>
  <c r="H52" i="31" l="1"/>
  <c r="I55" i="31"/>
  <c r="I52" i="31" s="1"/>
  <c r="I53" i="31"/>
  <c r="B20" i="28"/>
  <c r="B38" i="28" l="1"/>
  <c r="B14" i="28" s="1"/>
  <c r="F14" i="28" s="1"/>
  <c r="B37" i="28"/>
  <c r="B13" i="28" s="1"/>
  <c r="F13" i="28" s="1"/>
  <c r="B36" i="28"/>
  <c r="B12" i="28" s="1"/>
  <c r="F12" i="28" s="1"/>
  <c r="B35" i="28"/>
  <c r="B11" i="28" s="1"/>
  <c r="F11" i="28" s="1"/>
  <c r="B31" i="28"/>
  <c r="B7" i="28" s="1"/>
  <c r="F26" i="28"/>
  <c r="D20" i="28"/>
  <c r="C20" i="28"/>
  <c r="F24" i="28"/>
  <c r="E27" i="28"/>
  <c r="D27" i="28"/>
  <c r="C27" i="28"/>
  <c r="F23" i="28"/>
  <c r="E20" i="28"/>
  <c r="F19" i="28"/>
  <c r="A2" i="28"/>
  <c r="A1" i="28"/>
  <c r="B8" i="28" l="1"/>
  <c r="B15" i="28"/>
  <c r="G19" i="28"/>
  <c r="G23" i="28"/>
  <c r="G26" i="28"/>
  <c r="G24" i="28"/>
  <c r="D21" i="28"/>
  <c r="E21" i="28"/>
  <c r="C21" i="28"/>
  <c r="D39" i="28"/>
  <c r="C39" i="28"/>
  <c r="F36" i="28"/>
  <c r="E39" i="28"/>
  <c r="E32" i="28"/>
  <c r="D32" i="28"/>
  <c r="F35" i="28"/>
  <c r="C32" i="28"/>
  <c r="F31" i="28"/>
  <c r="F38" i="28"/>
  <c r="F37" i="28"/>
  <c r="B32" i="28"/>
  <c r="F20" i="28"/>
  <c r="F25" i="28"/>
  <c r="B27" i="28"/>
  <c r="B39" i="28"/>
  <c r="B21" i="28"/>
  <c r="B9" i="28" l="1"/>
  <c r="G34" i="29"/>
  <c r="G36" i="28"/>
  <c r="G12" i="28" s="1"/>
  <c r="E15" i="5" s="1"/>
  <c r="E32" i="29"/>
  <c r="E39" i="29" s="1"/>
  <c r="G32" i="29"/>
  <c r="G31" i="28"/>
  <c r="G7" i="28" s="1"/>
  <c r="E13" i="5" s="1"/>
  <c r="E35" i="29"/>
  <c r="E42" i="29" s="1"/>
  <c r="G35" i="29"/>
  <c r="F35" i="29"/>
  <c r="G37" i="28"/>
  <c r="G38" i="28"/>
  <c r="G14" i="28" s="1"/>
  <c r="E17" i="5" s="1"/>
  <c r="F33" i="29"/>
  <c r="E33" i="29"/>
  <c r="E40" i="29" s="1"/>
  <c r="G33" i="29"/>
  <c r="G35" i="28"/>
  <c r="G11" i="28" s="1"/>
  <c r="E14" i="5" s="1"/>
  <c r="E33" i="28"/>
  <c r="G36" i="29"/>
  <c r="E34" i="29"/>
  <c r="E41" i="29" s="1"/>
  <c r="C33" i="28"/>
  <c r="D33" i="28"/>
  <c r="F34" i="29"/>
  <c r="E36" i="29"/>
  <c r="H33" i="29"/>
  <c r="I33" i="29"/>
  <c r="J33" i="29"/>
  <c r="F36" i="29"/>
  <c r="J35" i="29"/>
  <c r="I35" i="29"/>
  <c r="H32" i="29"/>
  <c r="J32" i="29"/>
  <c r="I32" i="29"/>
  <c r="G25" i="28"/>
  <c r="J34" i="29"/>
  <c r="I34" i="29"/>
  <c r="H34" i="29"/>
  <c r="J36" i="29"/>
  <c r="I36" i="29"/>
  <c r="C9" i="28"/>
  <c r="E9" i="28"/>
  <c r="D9" i="28"/>
  <c r="F32" i="29"/>
  <c r="F27" i="28"/>
  <c r="F21" i="28"/>
  <c r="F32" i="28"/>
  <c r="G32" i="28" s="1"/>
  <c r="F39" i="28"/>
  <c r="B33" i="28"/>
  <c r="F7" i="28"/>
  <c r="E51" i="29" l="1"/>
  <c r="E43" i="29"/>
  <c r="G13" i="28"/>
  <c r="E16" i="5" s="1"/>
  <c r="G39" i="28"/>
  <c r="E48" i="29"/>
  <c r="F40" i="29" s="1"/>
  <c r="E49" i="29"/>
  <c r="F49" i="29" s="1"/>
  <c r="K13" i="29"/>
  <c r="F8" i="29"/>
  <c r="G13" i="29"/>
  <c r="F13" i="29"/>
  <c r="F4" i="29"/>
  <c r="G20" i="28"/>
  <c r="F6" i="29"/>
  <c r="E13" i="29"/>
  <c r="F5" i="29"/>
  <c r="H36" i="29"/>
  <c r="E50" i="29"/>
  <c r="E47" i="29"/>
  <c r="G33" i="28"/>
  <c r="L13" i="29"/>
  <c r="J13" i="29"/>
  <c r="G27" i="28"/>
  <c r="I13" i="29"/>
  <c r="F7" i="29"/>
  <c r="H35" i="29"/>
  <c r="H13" i="29"/>
  <c r="F15" i="28"/>
  <c r="F33" i="28"/>
  <c r="F8" i="28"/>
  <c r="F9" i="28" s="1"/>
  <c r="F51" i="29" l="1"/>
  <c r="E55" i="29"/>
  <c r="F41" i="29"/>
  <c r="G41" i="29" s="1"/>
  <c r="F48" i="29"/>
  <c r="G40" i="29" s="1"/>
  <c r="P13" i="29"/>
  <c r="G8" i="28"/>
  <c r="G9" i="28" s="1"/>
  <c r="G15" i="28"/>
  <c r="F43" i="29"/>
  <c r="G51" i="29" s="1"/>
  <c r="E53" i="29"/>
  <c r="G21" i="28"/>
  <c r="F39" i="29"/>
  <c r="F47" i="29"/>
  <c r="F50" i="29"/>
  <c r="F42" i="29"/>
  <c r="F9" i="29"/>
  <c r="G48" i="29" l="1"/>
  <c r="H40" i="29" s="1"/>
  <c r="G49" i="29"/>
  <c r="H49" i="29" s="1"/>
  <c r="G43" i="29"/>
  <c r="H43" i="29" s="1"/>
  <c r="E52" i="29"/>
  <c r="G42" i="29"/>
  <c r="G50" i="29"/>
  <c r="F53" i="29"/>
  <c r="F55" i="29"/>
  <c r="G39" i="29"/>
  <c r="G47" i="29"/>
  <c r="H48" i="29" l="1"/>
  <c r="I40" i="29" s="1"/>
  <c r="H51" i="29"/>
  <c r="I43" i="29" s="1"/>
  <c r="H41" i="29"/>
  <c r="I41" i="29" s="1"/>
  <c r="F52" i="29"/>
  <c r="G53" i="29"/>
  <c r="G55" i="29"/>
  <c r="H47" i="29"/>
  <c r="H39" i="29"/>
  <c r="H50" i="29"/>
  <c r="H42" i="29"/>
  <c r="D42" i="22"/>
  <c r="D41" i="22"/>
  <c r="D40" i="22"/>
  <c r="D39" i="22"/>
  <c r="D38" i="22"/>
  <c r="G52" i="29" l="1"/>
  <c r="H53" i="29"/>
  <c r="H55" i="29"/>
  <c r="I42" i="29"/>
  <c r="I39" i="29"/>
  <c r="D9" i="10"/>
  <c r="H52" i="29" l="1"/>
  <c r="B10" i="10"/>
  <c r="B11" i="10" s="1"/>
  <c r="D8" i="10"/>
  <c r="C10" i="10"/>
  <c r="C11" i="10" s="1"/>
  <c r="B43" i="13" l="1"/>
  <c r="F50" i="8" l="1"/>
  <c r="F49" i="8"/>
  <c r="F48" i="8"/>
  <c r="E51" i="8"/>
  <c r="D51" i="8"/>
  <c r="C51" i="8"/>
  <c r="B51" i="8"/>
  <c r="B45" i="8"/>
  <c r="F47" i="8" l="1"/>
  <c r="F51" i="8" l="1"/>
  <c r="G51" i="8" l="1"/>
  <c r="D14" i="16" l="1"/>
  <c r="C14" i="16"/>
  <c r="F22" i="22" l="1"/>
  <c r="E22" i="22"/>
  <c r="J26" i="22" l="1"/>
  <c r="I26" i="22"/>
  <c r="H26" i="22"/>
  <c r="G26" i="22"/>
  <c r="J25" i="22"/>
  <c r="I25" i="22"/>
  <c r="H25" i="22"/>
  <c r="G25" i="22"/>
  <c r="J24" i="22"/>
  <c r="I24" i="22"/>
  <c r="H24" i="22"/>
  <c r="G24" i="22"/>
  <c r="J23" i="22"/>
  <c r="I23" i="22"/>
  <c r="H23" i="22"/>
  <c r="G23" i="22"/>
  <c r="J22" i="22"/>
  <c r="I22" i="22"/>
  <c r="H22" i="22"/>
  <c r="G22" i="22"/>
  <c r="E26" i="22" l="1"/>
  <c r="E25" i="22"/>
  <c r="E24" i="22"/>
  <c r="E23" i="22"/>
  <c r="F23" i="22" l="1"/>
  <c r="F24" i="22" l="1"/>
  <c r="F25" i="22"/>
  <c r="F26" i="22"/>
  <c r="J11" i="13" l="1"/>
  <c r="J10" i="13"/>
  <c r="J9" i="13"/>
  <c r="J8" i="13"/>
  <c r="C15" i="10" l="1"/>
  <c r="L8" i="16"/>
  <c r="C13" i="10"/>
  <c r="L9" i="16"/>
  <c r="C14" i="10"/>
  <c r="L10" i="16"/>
  <c r="L11" i="16"/>
  <c r="C16" i="10"/>
  <c r="K8" i="23"/>
  <c r="K9" i="23"/>
  <c r="K10" i="23"/>
  <c r="K11" i="23"/>
  <c r="A1" i="13"/>
  <c r="A1" i="10"/>
  <c r="A1" i="23"/>
  <c r="A1" i="8"/>
  <c r="A1" i="24"/>
  <c r="A1" i="16"/>
  <c r="A1" i="19"/>
  <c r="A1" i="12"/>
  <c r="A1" i="22"/>
  <c r="A1" i="15"/>
  <c r="A1" i="5"/>
  <c r="C42" i="16"/>
  <c r="B15" i="8" l="1"/>
  <c r="B61" i="22"/>
  <c r="B9" i="8" l="1"/>
  <c r="Q16" i="22"/>
  <c r="Q18" i="22" l="1"/>
  <c r="Q17" i="22"/>
  <c r="Q19" i="22"/>
  <c r="H5" i="23" l="1"/>
  <c r="B58" i="23"/>
  <c r="B62" i="24" l="1"/>
  <c r="D43" i="16" l="1"/>
  <c r="C43" i="16"/>
  <c r="I7" i="24" l="1"/>
  <c r="I6" i="24"/>
  <c r="I5" i="24"/>
  <c r="C43" i="24" l="1"/>
  <c r="C50" i="24" s="1"/>
  <c r="C42" i="24"/>
  <c r="C49" i="24" s="1"/>
  <c r="C41" i="24"/>
  <c r="C48" i="24" s="1"/>
  <c r="C40" i="24"/>
  <c r="C47" i="24" s="1"/>
  <c r="C39" i="24"/>
  <c r="D43" i="24"/>
  <c r="D42" i="24"/>
  <c r="D41" i="24"/>
  <c r="D40" i="24"/>
  <c r="D48" i="24" l="1"/>
  <c r="D49" i="24"/>
  <c r="D50" i="24"/>
  <c r="D47" i="24"/>
  <c r="I7" i="22" l="1"/>
  <c r="I6" i="22"/>
  <c r="I5" i="22"/>
  <c r="I41" i="22" l="1"/>
  <c r="H41" i="22"/>
  <c r="G41" i="22"/>
  <c r="F41" i="22"/>
  <c r="E41" i="22"/>
  <c r="C41" i="22"/>
  <c r="C48" i="22" s="1"/>
  <c r="D48" i="22" s="1"/>
  <c r="I40" i="22"/>
  <c r="H40" i="22"/>
  <c r="G40" i="22"/>
  <c r="F40" i="22"/>
  <c r="E40" i="22"/>
  <c r="C40" i="22"/>
  <c r="C47" i="22" s="1"/>
  <c r="D47" i="22" s="1"/>
  <c r="I39" i="22"/>
  <c r="H39" i="22"/>
  <c r="G39" i="22"/>
  <c r="F39" i="22"/>
  <c r="E39" i="22"/>
  <c r="C39" i="22"/>
  <c r="C46" i="22" s="1"/>
  <c r="D46" i="22" s="1"/>
  <c r="E46" i="22" l="1"/>
  <c r="E47" i="22"/>
  <c r="E48" i="22"/>
  <c r="C38" i="23"/>
  <c r="C45" i="23" s="1"/>
  <c r="C37" i="23"/>
  <c r="C44" i="23" s="1"/>
  <c r="C36" i="23"/>
  <c r="C43" i="23" s="1"/>
  <c r="C14" i="13"/>
  <c r="B14" i="13"/>
  <c r="C14" i="23"/>
  <c r="B14" i="23"/>
  <c r="C11" i="24"/>
  <c r="B11" i="24"/>
  <c r="B14" i="16"/>
  <c r="C11" i="22"/>
  <c r="B11" i="22"/>
  <c r="C62" i="24" l="1"/>
  <c r="D39" i="24"/>
  <c r="D46" i="24" s="1"/>
  <c r="C46" i="24"/>
  <c r="E12" i="24"/>
  <c r="F12" i="24" s="1"/>
  <c r="G12" i="24" s="1"/>
  <c r="H12" i="24" s="1"/>
  <c r="I12" i="24" s="1"/>
  <c r="J12" i="24" s="1"/>
  <c r="K12" i="24" s="1"/>
  <c r="L12" i="24" s="1"/>
  <c r="M12" i="24" s="1"/>
  <c r="I8" i="24"/>
  <c r="I4" i="24"/>
  <c r="I9" i="24" l="1"/>
  <c r="D15" i="13" l="1"/>
  <c r="E15" i="23"/>
  <c r="F15" i="23" s="1"/>
  <c r="G15" i="23" s="1"/>
  <c r="H15" i="23" s="1"/>
  <c r="I15" i="23" s="1"/>
  <c r="J15" i="23" s="1"/>
  <c r="K15" i="23" s="1"/>
  <c r="L15" i="23" s="1"/>
  <c r="M15" i="23" s="1"/>
  <c r="E15" i="16"/>
  <c r="E12" i="22"/>
  <c r="F15" i="15"/>
  <c r="C58" i="23"/>
  <c r="C39" i="23"/>
  <c r="C46" i="23" s="1"/>
  <c r="C35" i="23"/>
  <c r="C42" i="23" s="1"/>
  <c r="H4" i="23"/>
  <c r="H6" i="23" s="1"/>
  <c r="C61" i="22"/>
  <c r="D61" i="22" s="1"/>
  <c r="M59" i="22"/>
  <c r="C42" i="22"/>
  <c r="C49" i="22" s="1"/>
  <c r="D49" i="22" s="1"/>
  <c r="H42" i="22"/>
  <c r="G42" i="22"/>
  <c r="G38" i="22"/>
  <c r="F38" i="22"/>
  <c r="I8" i="22"/>
  <c r="I4" i="22"/>
  <c r="I9" i="22" s="1"/>
  <c r="G15" i="15" l="1"/>
  <c r="F12" i="36"/>
  <c r="H38" i="22"/>
  <c r="I38" i="22"/>
  <c r="F42" i="22"/>
  <c r="I42" i="22"/>
  <c r="K12" i="23"/>
  <c r="F12" i="22"/>
  <c r="G12" i="22"/>
  <c r="E42" i="22"/>
  <c r="E49" i="22" s="1"/>
  <c r="C38" i="22"/>
  <c r="C45" i="22" s="1"/>
  <c r="D45" i="22" s="1"/>
  <c r="E38" i="22"/>
  <c r="H15" i="15" l="1"/>
  <c r="G12" i="36"/>
  <c r="E45" i="22"/>
  <c r="A2" i="19"/>
  <c r="I15" i="15" l="1"/>
  <c r="H12" i="36"/>
  <c r="H12" i="22"/>
  <c r="J12" i="13"/>
  <c r="J15" i="15" l="1"/>
  <c r="I12" i="36"/>
  <c r="I12" i="22"/>
  <c r="C17" i="10"/>
  <c r="L12" i="15"/>
  <c r="B27" i="8"/>
  <c r="L12" i="16"/>
  <c r="K15" i="15" l="1"/>
  <c r="J12" i="36"/>
  <c r="J12" i="22"/>
  <c r="B21" i="8"/>
  <c r="L15" i="15" l="1"/>
  <c r="K12" i="36"/>
  <c r="K12" i="22"/>
  <c r="D42" i="16"/>
  <c r="D16" i="16"/>
  <c r="M15" i="15" l="1"/>
  <c r="L12" i="36"/>
  <c r="L12" i="22"/>
  <c r="B56" i="16"/>
  <c r="B57" i="15"/>
  <c r="M12" i="22" l="1"/>
  <c r="M12" i="36"/>
  <c r="C43" i="13"/>
  <c r="F30" i="13"/>
  <c r="E30" i="13"/>
  <c r="D30" i="13"/>
  <c r="C30" i="13"/>
  <c r="C34" i="13" s="1"/>
  <c r="F29" i="13"/>
  <c r="E29" i="13"/>
  <c r="D29" i="13"/>
  <c r="C29" i="13"/>
  <c r="C33" i="13" s="1"/>
  <c r="H30" i="13"/>
  <c r="J16" i="13"/>
  <c r="I16" i="13"/>
  <c r="I29" i="13"/>
  <c r="H29" i="13"/>
  <c r="G29" i="13"/>
  <c r="K16" i="13"/>
  <c r="G16" i="13"/>
  <c r="F16" i="13"/>
  <c r="E16" i="13"/>
  <c r="D16" i="13"/>
  <c r="E15" i="13"/>
  <c r="F15" i="13" s="1"/>
  <c r="G15" i="13" s="1"/>
  <c r="H15" i="13" s="1"/>
  <c r="I15" i="13" s="1"/>
  <c r="J15" i="13" s="1"/>
  <c r="K15" i="13" s="1"/>
  <c r="L15" i="13" s="1"/>
  <c r="G5" i="13"/>
  <c r="G4" i="13"/>
  <c r="G6" i="13" l="1"/>
  <c r="D34" i="13"/>
  <c r="D33" i="13"/>
  <c r="I30" i="13"/>
  <c r="E5" i="13"/>
  <c r="E4" i="13"/>
  <c r="G30" i="13"/>
  <c r="H16" i="13"/>
  <c r="E6" i="13" l="1"/>
  <c r="J24" i="15" l="1"/>
  <c r="J44" i="15" s="1"/>
  <c r="J23" i="15"/>
  <c r="C44" i="15"/>
  <c r="H24" i="15"/>
  <c r="H44" i="15" s="1"/>
  <c r="H23" i="15" l="1"/>
  <c r="G24" i="15"/>
  <c r="G44" i="15" s="1"/>
  <c r="F24" i="15"/>
  <c r="F44" i="15" s="1"/>
  <c r="I24" i="15"/>
  <c r="I44" i="15" s="1"/>
  <c r="I23" i="15"/>
  <c r="E23" i="15"/>
  <c r="F23" i="15"/>
  <c r="E24" i="15"/>
  <c r="E44" i="15" s="1"/>
  <c r="G23" i="15"/>
  <c r="E52" i="24" l="1"/>
  <c r="D36" i="13"/>
  <c r="E49" i="16"/>
  <c r="E48" i="23"/>
  <c r="E51" i="22"/>
  <c r="E55" i="22" l="1"/>
  <c r="E54" i="22"/>
  <c r="E56" i="22"/>
  <c r="E57" i="22"/>
  <c r="E53" i="22"/>
  <c r="D39" i="13"/>
  <c r="D38" i="13"/>
  <c r="C56" i="16"/>
  <c r="D56" i="16" s="1"/>
  <c r="E61" i="22" l="1"/>
  <c r="E58" i="22" s="1"/>
  <c r="F48" i="22"/>
  <c r="F46" i="22"/>
  <c r="F47" i="22"/>
  <c r="E59" i="22"/>
  <c r="F45" i="22"/>
  <c r="E33" i="13"/>
  <c r="D41" i="13"/>
  <c r="D43" i="13"/>
  <c r="D40" i="13" s="1"/>
  <c r="F49" i="22"/>
  <c r="E34" i="13"/>
  <c r="C47" i="16" l="1"/>
  <c r="D47" i="16" s="1"/>
  <c r="C46" i="16"/>
  <c r="D46" i="16" s="1"/>
  <c r="F15" i="16"/>
  <c r="G15" i="16" s="1"/>
  <c r="H15" i="16" s="1"/>
  <c r="I15" i="16" s="1"/>
  <c r="J15" i="16" s="1"/>
  <c r="K15" i="16" s="1"/>
  <c r="L15" i="16" s="1"/>
  <c r="M15" i="16" s="1"/>
  <c r="I5" i="16"/>
  <c r="I4" i="16"/>
  <c r="C57" i="15"/>
  <c r="D57" i="15" s="1"/>
  <c r="M55" i="15"/>
  <c r="C48" i="15"/>
  <c r="E48" i="15" s="1"/>
  <c r="C43" i="15"/>
  <c r="C47" i="15" s="1"/>
  <c r="D47" i="15" s="1"/>
  <c r="M24" i="15"/>
  <c r="M23" i="15"/>
  <c r="J43" i="15"/>
  <c r="I43" i="15"/>
  <c r="H43" i="15"/>
  <c r="G43" i="15"/>
  <c r="F43" i="15"/>
  <c r="E43" i="15"/>
  <c r="I5" i="15"/>
  <c r="I4" i="15"/>
  <c r="E47" i="15" l="1"/>
  <c r="D48" i="15"/>
  <c r="E53" i="15"/>
  <c r="E52" i="15"/>
  <c r="I6" i="15"/>
  <c r="I6" i="16"/>
  <c r="F47" i="15" l="1"/>
  <c r="E57" i="15"/>
  <c r="E54" i="15" s="1"/>
  <c r="F48" i="15"/>
  <c r="E55" i="15"/>
  <c r="D10" i="10" l="1"/>
  <c r="D11" i="10" s="1"/>
  <c r="B17" i="10" l="1"/>
  <c r="L24" i="15" l="1"/>
  <c r="K23" i="15" l="1"/>
  <c r="L23" i="15" l="1"/>
  <c r="G4" i="15" l="1"/>
  <c r="K24" i="15" l="1"/>
  <c r="G5" i="15" l="1"/>
  <c r="G6" i="15" l="1"/>
  <c r="E16" i="16" l="1"/>
  <c r="E42" i="16"/>
  <c r="E43" i="16"/>
  <c r="F42" i="16" l="1"/>
  <c r="E51" i="16"/>
  <c r="E46" i="16"/>
  <c r="E52" i="16"/>
  <c r="E47" i="16"/>
  <c r="E54" i="16" l="1"/>
  <c r="F43" i="16"/>
  <c r="F47" i="16" s="1"/>
  <c r="F16" i="16"/>
  <c r="E56" i="16"/>
  <c r="E53" i="16" s="1"/>
  <c r="G42" i="16"/>
  <c r="F46" i="16"/>
  <c r="G43" i="16"/>
  <c r="H43" i="16"/>
  <c r="G16" i="16" l="1"/>
  <c r="H16" i="16"/>
  <c r="H42" i="16"/>
  <c r="I43" i="16"/>
  <c r="J43" i="16" l="1"/>
  <c r="I16" i="16" l="1"/>
  <c r="I42" i="16"/>
  <c r="N30" i="16"/>
  <c r="N29" i="16"/>
  <c r="J16" i="16" l="1"/>
  <c r="J42" i="16"/>
  <c r="N28" i="16"/>
  <c r="N27" i="16"/>
  <c r="N26" i="16"/>
  <c r="F4" i="16" s="1"/>
  <c r="F5" i="16" l="1"/>
  <c r="F6" i="16" s="1"/>
  <c r="G5" i="16"/>
  <c r="K16" i="16"/>
  <c r="L16" i="16" l="1"/>
  <c r="G4" i="16"/>
  <c r="G6" i="16" l="1"/>
  <c r="B14" i="12" l="1"/>
  <c r="B7" i="12" s="1"/>
  <c r="B8" i="12" s="1"/>
  <c r="C14" i="12" l="1"/>
  <c r="C7" i="12" s="1"/>
  <c r="C8" i="12" l="1"/>
  <c r="J42" i="22" l="1"/>
  <c r="J41" i="22" l="1"/>
  <c r="G4" i="22"/>
  <c r="J38" i="22"/>
  <c r="G8" i="22"/>
  <c r="G7" i="22" l="1"/>
  <c r="J40" i="22"/>
  <c r="J39" i="22" l="1"/>
  <c r="G5" i="22"/>
  <c r="G6" i="22"/>
  <c r="G9" i="22" l="1"/>
  <c r="B39" i="8" l="1"/>
  <c r="B33" i="8"/>
  <c r="F19" i="8" l="1"/>
  <c r="G19" i="8" l="1"/>
  <c r="C27" i="8"/>
  <c r="C21" i="8" l="1"/>
  <c r="D27" i="8" l="1"/>
  <c r="D21" i="8" l="1"/>
  <c r="F24" i="8" l="1"/>
  <c r="F26" i="8"/>
  <c r="G26" i="8" l="1"/>
  <c r="G24" i="8"/>
  <c r="F25" i="8"/>
  <c r="G25" i="8" l="1"/>
  <c r="E27" i="8"/>
  <c r="F23" i="8"/>
  <c r="G23" i="8" l="1"/>
  <c r="E21" i="8"/>
  <c r="F20" i="8"/>
  <c r="G20" i="8" s="1"/>
  <c r="F27" i="8"/>
  <c r="F21" i="8" l="1"/>
  <c r="G27" i="8"/>
  <c r="G21" i="8" l="1"/>
  <c r="F7" i="8" l="1"/>
  <c r="F31" i="8"/>
  <c r="G31" i="8" l="1"/>
  <c r="F43" i="8"/>
  <c r="E35" i="23" l="1"/>
  <c r="F35" i="23"/>
  <c r="G35" i="23"/>
  <c r="E50" i="23" l="1"/>
  <c r="E42" i="23"/>
  <c r="I35" i="23"/>
  <c r="H35" i="23"/>
  <c r="F4" i="23"/>
  <c r="J35" i="23"/>
  <c r="F42" i="23" l="1"/>
  <c r="F12" i="8" l="1"/>
  <c r="F36" i="8"/>
  <c r="G36" i="8" l="1"/>
  <c r="E37" i="23"/>
  <c r="G37" i="23"/>
  <c r="F37" i="23"/>
  <c r="H37" i="23"/>
  <c r="F14" i="8"/>
  <c r="F38" i="8"/>
  <c r="G38" i="8" l="1"/>
  <c r="G39" i="23"/>
  <c r="E39" i="23"/>
  <c r="F39" i="23"/>
  <c r="H39" i="23"/>
  <c r="I37" i="23"/>
  <c r="J37" i="23"/>
  <c r="E52" i="23"/>
  <c r="E44" i="23"/>
  <c r="I39" i="23" l="1"/>
  <c r="E46" i="23"/>
  <c r="E54" i="23"/>
  <c r="F44" i="23"/>
  <c r="J39" i="23"/>
  <c r="F46" i="23" l="1"/>
  <c r="F13" i="8"/>
  <c r="F37" i="8"/>
  <c r="G37" i="8" l="1"/>
  <c r="F38" i="23"/>
  <c r="G38" i="23"/>
  <c r="E38" i="23"/>
  <c r="H38" i="23"/>
  <c r="E39" i="8"/>
  <c r="I38" i="23" l="1"/>
  <c r="J38" i="23"/>
  <c r="E53" i="23"/>
  <c r="E45" i="23"/>
  <c r="E45" i="8"/>
  <c r="E33" i="8"/>
  <c r="F45" i="23" l="1"/>
  <c r="D45" i="8" l="1"/>
  <c r="C45" i="8" l="1"/>
  <c r="F44" i="8"/>
  <c r="F45" i="8" l="1"/>
  <c r="D39" i="8"/>
  <c r="C39" i="8"/>
  <c r="F35" i="8"/>
  <c r="G35" i="8" l="1"/>
  <c r="C33" i="8"/>
  <c r="F32" i="8"/>
  <c r="D33" i="8"/>
  <c r="G45" i="8"/>
  <c r="F11" i="8"/>
  <c r="F15" i="8" s="1"/>
  <c r="F39" i="8"/>
  <c r="G32" i="8" l="1"/>
  <c r="F8" i="8"/>
  <c r="F9" i="8" s="1"/>
  <c r="F33" i="8"/>
  <c r="G36" i="23"/>
  <c r="G16" i="23"/>
  <c r="E36" i="23"/>
  <c r="E16" i="23"/>
  <c r="F36" i="23"/>
  <c r="F16" i="23"/>
  <c r="G39" i="8"/>
  <c r="G33" i="8" l="1"/>
  <c r="E43" i="23"/>
  <c r="E51" i="23"/>
  <c r="L16" i="23"/>
  <c r="H36" i="23"/>
  <c r="F5" i="23"/>
  <c r="H16" i="23"/>
  <c r="K16" i="23"/>
  <c r="P16" i="23" s="1"/>
  <c r="J36" i="23"/>
  <c r="J16" i="23"/>
  <c r="I36" i="23"/>
  <c r="I16" i="23"/>
  <c r="F43" i="23" l="1"/>
  <c r="E58" i="23"/>
  <c r="E55" i="23" s="1"/>
  <c r="E56" i="23"/>
  <c r="F6" i="23"/>
  <c r="E41" i="24" l="1"/>
  <c r="E39" i="24"/>
  <c r="E43" i="24"/>
  <c r="F43" i="24"/>
  <c r="F42" i="24"/>
  <c r="E42" i="24" l="1"/>
  <c r="E50" i="24"/>
  <c r="E58" i="24"/>
  <c r="F39" i="24"/>
  <c r="E46" i="24"/>
  <c r="E54" i="24"/>
  <c r="E48" i="24"/>
  <c r="E56" i="24"/>
  <c r="G43" i="24"/>
  <c r="G42" i="24"/>
  <c r="E40" i="24" l="1"/>
  <c r="E13" i="24"/>
  <c r="F41" i="24"/>
  <c r="F48" i="24" s="1"/>
  <c r="F50" i="24"/>
  <c r="G39" i="24"/>
  <c r="E49" i="24"/>
  <c r="E57" i="24"/>
  <c r="F46" i="24"/>
  <c r="H43" i="24"/>
  <c r="G41" i="24"/>
  <c r="H42" i="24"/>
  <c r="H39" i="24" l="1"/>
  <c r="F49" i="24"/>
  <c r="F40" i="24"/>
  <c r="F13" i="24"/>
  <c r="E47" i="24"/>
  <c r="E55" i="24"/>
  <c r="E60" i="24" s="1"/>
  <c r="I43" i="24"/>
  <c r="I41" i="24"/>
  <c r="I42" i="24"/>
  <c r="H41" i="24"/>
  <c r="E62" i="24" l="1"/>
  <c r="E59" i="24" s="1"/>
  <c r="G40" i="24"/>
  <c r="G13" i="24"/>
  <c r="F47" i="24"/>
  <c r="J43" i="24"/>
  <c r="J42" i="24"/>
  <c r="I39" i="24" l="1"/>
  <c r="H40" i="24"/>
  <c r="H13" i="24"/>
  <c r="J39" i="24"/>
  <c r="I40" i="24"/>
  <c r="I13" i="24" l="1"/>
  <c r="J41" i="24"/>
  <c r="J40" i="24" l="1"/>
  <c r="J13" i="24"/>
  <c r="I45" i="29" l="1"/>
  <c r="I51" i="29" l="1"/>
  <c r="I49" i="29"/>
  <c r="I48" i="29"/>
  <c r="I50" i="29"/>
  <c r="I47" i="29"/>
  <c r="I51" i="22"/>
  <c r="I52" i="24"/>
  <c r="H36" i="13"/>
  <c r="I49" i="16"/>
  <c r="I48" i="23"/>
  <c r="J45" i="29"/>
  <c r="I55" i="29" l="1"/>
  <c r="I53" i="29"/>
  <c r="J47" i="29"/>
  <c r="J39" i="29"/>
  <c r="J50" i="29"/>
  <c r="J42" i="29"/>
  <c r="J40" i="29"/>
  <c r="J48" i="29"/>
  <c r="J49" i="29"/>
  <c r="J41" i="29"/>
  <c r="J51" i="29"/>
  <c r="J43" i="29"/>
  <c r="J48" i="23"/>
  <c r="J51" i="22"/>
  <c r="J49" i="16"/>
  <c r="J52" i="24"/>
  <c r="F52" i="24"/>
  <c r="E36" i="13"/>
  <c r="F49" i="16"/>
  <c r="F48" i="23"/>
  <c r="F52" i="23" s="1"/>
  <c r="F51" i="22"/>
  <c r="F53" i="15"/>
  <c r="F52" i="15"/>
  <c r="H52" i="24"/>
  <c r="H48" i="23"/>
  <c r="H49" i="16"/>
  <c r="H51" i="22"/>
  <c r="G36" i="13"/>
  <c r="F36" i="13"/>
  <c r="G48" i="23"/>
  <c r="G49" i="16"/>
  <c r="G51" i="22"/>
  <c r="G52" i="24"/>
  <c r="K45" i="29" l="1"/>
  <c r="J45" i="31"/>
  <c r="J53" i="29"/>
  <c r="I52" i="29"/>
  <c r="J55" i="29"/>
  <c r="F58" i="24"/>
  <c r="F54" i="24"/>
  <c r="F57" i="24"/>
  <c r="F56" i="24"/>
  <c r="F55" i="24"/>
  <c r="E39" i="13"/>
  <c r="E38" i="13"/>
  <c r="G48" i="15"/>
  <c r="G53" i="15"/>
  <c r="G52" i="15"/>
  <c r="G47" i="15"/>
  <c r="F55" i="15"/>
  <c r="F57" i="15"/>
  <c r="F54" i="15" s="1"/>
  <c r="F57" i="22"/>
  <c r="F56" i="22"/>
  <c r="F53" i="22"/>
  <c r="F54" i="22"/>
  <c r="F55" i="22"/>
  <c r="F50" i="23"/>
  <c r="F54" i="23"/>
  <c r="F53" i="23"/>
  <c r="F51" i="23"/>
  <c r="F51" i="16"/>
  <c r="F52" i="16"/>
  <c r="K48" i="23"/>
  <c r="K52" i="24"/>
  <c r="K49" i="16"/>
  <c r="K51" i="22"/>
  <c r="H53" i="15" l="1"/>
  <c r="H52" i="15"/>
  <c r="H47" i="15"/>
  <c r="L45" i="29"/>
  <c r="K45" i="31"/>
  <c r="J52" i="29"/>
  <c r="E41" i="13"/>
  <c r="E43" i="13"/>
  <c r="E40" i="13" s="1"/>
  <c r="F33" i="13"/>
  <c r="F38" i="13"/>
  <c r="G57" i="22"/>
  <c r="G49" i="22"/>
  <c r="F34" i="13"/>
  <c r="F39" i="13"/>
  <c r="H48" i="15"/>
  <c r="F60" i="24"/>
  <c r="G47" i="24"/>
  <c r="G55" i="24"/>
  <c r="G53" i="23"/>
  <c r="G45" i="23"/>
  <c r="G52" i="23"/>
  <c r="G44" i="23"/>
  <c r="G55" i="22"/>
  <c r="G47" i="22"/>
  <c r="G56" i="24"/>
  <c r="G48" i="24"/>
  <c r="G46" i="23"/>
  <c r="G54" i="23"/>
  <c r="G46" i="22"/>
  <c r="G54" i="22"/>
  <c r="G57" i="15"/>
  <c r="G54" i="15" s="1"/>
  <c r="G55" i="15"/>
  <c r="G57" i="24"/>
  <c r="G49" i="24"/>
  <c r="G42" i="23"/>
  <c r="G50" i="23"/>
  <c r="F56" i="23"/>
  <c r="F58" i="23"/>
  <c r="F55" i="23" s="1"/>
  <c r="G52" i="16"/>
  <c r="G47" i="16"/>
  <c r="G46" i="16"/>
  <c r="G51" i="16"/>
  <c r="F54" i="16"/>
  <c r="F56" i="16"/>
  <c r="F53" i="16" s="1"/>
  <c r="G45" i="22"/>
  <c r="F59" i="22"/>
  <c r="F61" i="22"/>
  <c r="F58" i="22" s="1"/>
  <c r="G53" i="22"/>
  <c r="G54" i="24"/>
  <c r="G46" i="24"/>
  <c r="F62" i="24"/>
  <c r="F59" i="24" s="1"/>
  <c r="L48" i="23"/>
  <c r="L49" i="16"/>
  <c r="L51" i="22"/>
  <c r="L52" i="24"/>
  <c r="G43" i="23"/>
  <c r="G51" i="23"/>
  <c r="G48" i="22"/>
  <c r="G56" i="22"/>
  <c r="G58" i="24"/>
  <c r="G50" i="24"/>
  <c r="G38" i="13" l="1"/>
  <c r="G39" i="13"/>
  <c r="G34" i="13"/>
  <c r="G60" i="24"/>
  <c r="G56" i="23"/>
  <c r="G58" i="23"/>
  <c r="G55" i="23" s="1"/>
  <c r="H46" i="22"/>
  <c r="H54" i="22"/>
  <c r="H55" i="24"/>
  <c r="H47" i="24"/>
  <c r="H49" i="22"/>
  <c r="H57" i="22"/>
  <c r="H46" i="24"/>
  <c r="H54" i="24"/>
  <c r="H42" i="23"/>
  <c r="H50" i="23"/>
  <c r="H55" i="22"/>
  <c r="H47" i="22"/>
  <c r="H45" i="22"/>
  <c r="H53" i="22"/>
  <c r="G54" i="16"/>
  <c r="G56" i="16"/>
  <c r="G53" i="16" s="1"/>
  <c r="F43" i="13"/>
  <c r="F41" i="13"/>
  <c r="H58" i="24"/>
  <c r="H50" i="24"/>
  <c r="H51" i="16"/>
  <c r="H46" i="16"/>
  <c r="H49" i="24"/>
  <c r="H57" i="24"/>
  <c r="H52" i="23"/>
  <c r="H44" i="23"/>
  <c r="I48" i="15"/>
  <c r="I53" i="15"/>
  <c r="G33" i="13"/>
  <c r="H57" i="15"/>
  <c r="H54" i="15" s="1"/>
  <c r="H55" i="15"/>
  <c r="I47" i="15"/>
  <c r="I52" i="15"/>
  <c r="H43" i="23"/>
  <c r="H51" i="23"/>
  <c r="H46" i="23"/>
  <c r="H54" i="23"/>
  <c r="G61" i="22"/>
  <c r="G58" i="22" s="1"/>
  <c r="G59" i="22"/>
  <c r="H47" i="16"/>
  <c r="H52" i="16"/>
  <c r="H48" i="24"/>
  <c r="H56" i="24"/>
  <c r="H56" i="22"/>
  <c r="H48" i="22"/>
  <c r="G62" i="24"/>
  <c r="G59" i="24" s="1"/>
  <c r="H45" i="23"/>
  <c r="H53" i="23"/>
  <c r="H39" i="13" l="1"/>
  <c r="H38" i="13"/>
  <c r="G41" i="13"/>
  <c r="H34" i="13"/>
  <c r="I54" i="22"/>
  <c r="I46" i="22"/>
  <c r="H58" i="23"/>
  <c r="H55" i="23" s="1"/>
  <c r="H56" i="23"/>
  <c r="F40" i="13"/>
  <c r="G43" i="13"/>
  <c r="G40" i="13" s="1"/>
  <c r="I49" i="24"/>
  <c r="I57" i="24"/>
  <c r="I56" i="22"/>
  <c r="I48" i="22"/>
  <c r="I51" i="16"/>
  <c r="I46" i="16"/>
  <c r="I46" i="24"/>
  <c r="I54" i="24"/>
  <c r="I53" i="23"/>
  <c r="I45" i="23"/>
  <c r="I47" i="16"/>
  <c r="I52" i="16"/>
  <c r="H56" i="16"/>
  <c r="H53" i="16" s="1"/>
  <c r="I45" i="22"/>
  <c r="I53" i="22"/>
  <c r="I57" i="22"/>
  <c r="I49" i="22"/>
  <c r="I42" i="23"/>
  <c r="I50" i="23"/>
  <c r="H62" i="24"/>
  <c r="H59" i="24" s="1"/>
  <c r="H33" i="13"/>
  <c r="I58" i="24"/>
  <c r="I50" i="24"/>
  <c r="I51" i="23"/>
  <c r="I43" i="23"/>
  <c r="I47" i="22"/>
  <c r="I55" i="22"/>
  <c r="I47" i="24"/>
  <c r="I55" i="24"/>
  <c r="J47" i="15"/>
  <c r="J52" i="15"/>
  <c r="I46" i="23"/>
  <c r="I54" i="23"/>
  <c r="H61" i="22"/>
  <c r="H58" i="22" s="1"/>
  <c r="H59" i="22"/>
  <c r="I56" i="24"/>
  <c r="I48" i="24"/>
  <c r="J53" i="15"/>
  <c r="J48" i="15"/>
  <c r="H54" i="16"/>
  <c r="I57" i="15"/>
  <c r="I54" i="15" s="1"/>
  <c r="I55" i="15"/>
  <c r="I52" i="23"/>
  <c r="I44" i="23"/>
  <c r="H60" i="24"/>
  <c r="I38" i="13" l="1"/>
  <c r="I34" i="13"/>
  <c r="I39" i="13"/>
  <c r="I56" i="23"/>
  <c r="I58" i="23"/>
  <c r="I55" i="23" s="1"/>
  <c r="J57" i="24"/>
  <c r="J49" i="24"/>
  <c r="J53" i="22"/>
  <c r="J45" i="22"/>
  <c r="J54" i="23"/>
  <c r="J46" i="23"/>
  <c r="I62" i="24"/>
  <c r="I59" i="24" s="1"/>
  <c r="I60" i="24"/>
  <c r="J53" i="23"/>
  <c r="J45" i="23"/>
  <c r="J58" i="24"/>
  <c r="J50" i="24"/>
  <c r="J57" i="15"/>
  <c r="J54" i="15" s="1"/>
  <c r="J55" i="15"/>
  <c r="J56" i="24"/>
  <c r="J48" i="24"/>
  <c r="J52" i="16"/>
  <c r="J47" i="16"/>
  <c r="J46" i="16"/>
  <c r="J51" i="16"/>
  <c r="J44" i="23"/>
  <c r="J52" i="23"/>
  <c r="J47" i="24"/>
  <c r="J55" i="24"/>
  <c r="J57" i="22"/>
  <c r="J49" i="22"/>
  <c r="I54" i="16"/>
  <c r="I56" i="16"/>
  <c r="I53" i="16" s="1"/>
  <c r="I33" i="13"/>
  <c r="J56" i="22"/>
  <c r="J48" i="22"/>
  <c r="J46" i="22"/>
  <c r="J54" i="22"/>
  <c r="J43" i="23"/>
  <c r="J51" i="23"/>
  <c r="J50" i="23"/>
  <c r="J42" i="23"/>
  <c r="J46" i="24"/>
  <c r="J54" i="24"/>
  <c r="H41" i="13"/>
  <c r="H43" i="13"/>
  <c r="H40" i="13" s="1"/>
  <c r="J47" i="22"/>
  <c r="J55" i="22"/>
  <c r="I59" i="22"/>
  <c r="I61" i="22"/>
  <c r="I58" i="22" s="1"/>
  <c r="J62" i="24" l="1"/>
  <c r="J56" i="16"/>
  <c r="J54" i="16"/>
  <c r="J56" i="23"/>
  <c r="J58" i="23"/>
  <c r="J55" i="23" s="1"/>
  <c r="I43" i="13"/>
  <c r="I40" i="13" s="1"/>
  <c r="I41" i="13"/>
  <c r="J60" i="24"/>
  <c r="J61" i="22"/>
  <c r="J58" i="22" s="1"/>
  <c r="J59" i="22"/>
  <c r="J53" i="16" l="1"/>
  <c r="J59" i="24"/>
  <c r="D11" i="19"/>
  <c r="N25" i="24" l="1"/>
  <c r="F6" i="24" s="1"/>
  <c r="N24" i="24"/>
  <c r="F5" i="24" s="1"/>
  <c r="N23" i="24" l="1"/>
  <c r="F4" i="24" s="1"/>
  <c r="P23" i="24"/>
  <c r="P25" i="24"/>
  <c r="P24" i="24"/>
  <c r="N27" i="24"/>
  <c r="F8" i="24" s="1"/>
  <c r="N26" i="24"/>
  <c r="F7" i="24" s="1"/>
  <c r="P27" i="24" l="1"/>
  <c r="P26" i="24"/>
  <c r="F9" i="24"/>
  <c r="P31" i="24" l="1"/>
  <c r="P33" i="24"/>
  <c r="G5" i="24"/>
  <c r="P30" i="24"/>
  <c r="K13" i="24"/>
  <c r="P32" i="24" l="1"/>
  <c r="P34" i="24"/>
  <c r="G6" i="24"/>
  <c r="G4" i="24"/>
  <c r="G7" i="24"/>
  <c r="G8" i="24" l="1"/>
  <c r="L13" i="24"/>
  <c r="P13" i="24" s="1"/>
  <c r="G9" i="24" l="1"/>
  <c r="B11" i="19" l="1"/>
  <c r="C11" i="19" l="1"/>
  <c r="E11" i="19"/>
  <c r="D10" i="18" l="1"/>
  <c r="G5" i="36" l="1"/>
  <c r="F39" i="36"/>
  <c r="G7" i="36"/>
  <c r="F41" i="36"/>
  <c r="F40" i="36"/>
  <c r="G6" i="36"/>
  <c r="G4" i="36"/>
  <c r="F38" i="36"/>
  <c r="F48" i="36" l="1"/>
  <c r="F56" i="36"/>
  <c r="F45" i="36"/>
  <c r="F53" i="36"/>
  <c r="F46" i="36"/>
  <c r="F54" i="36"/>
  <c r="F47" i="36"/>
  <c r="F55" i="36"/>
  <c r="G46" i="36" l="1"/>
  <c r="G54" i="36"/>
  <c r="G53" i="36"/>
  <c r="G45" i="36"/>
  <c r="G47" i="36"/>
  <c r="G55" i="36"/>
  <c r="G56" i="36"/>
  <c r="G48" i="36"/>
  <c r="F42" i="36"/>
  <c r="G8" i="36"/>
  <c r="C10" i="18"/>
  <c r="H48" i="36" l="1"/>
  <c r="H56" i="36"/>
  <c r="H47" i="36"/>
  <c r="H55" i="36"/>
  <c r="H53" i="36"/>
  <c r="H45" i="36"/>
  <c r="G9" i="36"/>
  <c r="F57" i="36"/>
  <c r="F49" i="36"/>
  <c r="H54" i="36"/>
  <c r="H46" i="36"/>
  <c r="I45" i="36" l="1"/>
  <c r="I53" i="36"/>
  <c r="I54" i="36"/>
  <c r="I46" i="36"/>
  <c r="I47" i="36"/>
  <c r="I55" i="36"/>
  <c r="G57" i="36"/>
  <c r="G49" i="36"/>
  <c r="F59" i="36"/>
  <c r="F61" i="36"/>
  <c r="F58" i="36" s="1"/>
  <c r="I56" i="36"/>
  <c r="I48" i="36"/>
  <c r="G59" i="36" l="1"/>
  <c r="G61" i="36"/>
  <c r="G58" i="36" s="1"/>
  <c r="J46" i="36"/>
  <c r="J54" i="36"/>
  <c r="H57" i="36"/>
  <c r="H49" i="36"/>
  <c r="J47" i="36"/>
  <c r="J55" i="36"/>
  <c r="J53" i="36"/>
  <c r="J45" i="36"/>
  <c r="J48" i="36"/>
  <c r="J56" i="36"/>
  <c r="H59" i="36" l="1"/>
  <c r="H61" i="36"/>
  <c r="H58" i="36" s="1"/>
  <c r="I49" i="36"/>
  <c r="I57" i="36"/>
  <c r="I59" i="36" l="1"/>
  <c r="I61" i="36"/>
  <c r="I58" i="36" s="1"/>
  <c r="J57" i="36"/>
  <c r="J49" i="36"/>
  <c r="J61" i="36" l="1"/>
  <c r="J58" i="36" s="1"/>
  <c r="J59" i="36"/>
  <c r="M22" i="36" l="1"/>
  <c r="L22" i="36"/>
  <c r="K22" i="36" l="1"/>
  <c r="L16" i="29"/>
  <c r="L32" i="29" s="1"/>
  <c r="K16" i="31"/>
  <c r="K32" i="31" s="1"/>
  <c r="L22" i="22"/>
  <c r="L29" i="22" s="1"/>
  <c r="L38" i="22" s="1"/>
  <c r="L16" i="24"/>
  <c r="L39" i="24" s="1"/>
  <c r="L19" i="23"/>
  <c r="L35" i="23" s="1"/>
  <c r="L19" i="16"/>
  <c r="L42" i="16" s="1"/>
  <c r="L34" i="15"/>
  <c r="L43" i="15" s="1"/>
  <c r="K19" i="13"/>
  <c r="K29" i="13" s="1"/>
  <c r="L29" i="36"/>
  <c r="L38" i="36" s="1"/>
  <c r="M19" i="23"/>
  <c r="M35" i="23" s="1"/>
  <c r="M19" i="16"/>
  <c r="M42" i="16" s="1"/>
  <c r="L19" i="13"/>
  <c r="L29" i="13" s="1"/>
  <c r="M29" i="36"/>
  <c r="M38" i="36" s="1"/>
  <c r="M34" i="15"/>
  <c r="M43" i="15" s="1"/>
  <c r="L16" i="31"/>
  <c r="L32" i="31" s="1"/>
  <c r="M16" i="29"/>
  <c r="M32" i="29" s="1"/>
  <c r="M16" i="24"/>
  <c r="M39" i="24" s="1"/>
  <c r="M22" i="22"/>
  <c r="M29" i="22" s="1"/>
  <c r="M38" i="22" s="1"/>
  <c r="G4" i="5"/>
  <c r="U13" i="5" l="1"/>
  <c r="AE13" i="5"/>
  <c r="AC13" i="5"/>
  <c r="AD13" i="5"/>
  <c r="T13" i="5"/>
  <c r="Y13" i="5"/>
  <c r="Z13" i="5"/>
  <c r="X13" i="5"/>
  <c r="AA13" i="5"/>
  <c r="V13" i="5"/>
  <c r="P27" i="15"/>
  <c r="K19" i="23"/>
  <c r="K16" i="24"/>
  <c r="J19" i="13"/>
  <c r="F4" i="15"/>
  <c r="K16" i="29"/>
  <c r="K19" i="16"/>
  <c r="K22" i="22"/>
  <c r="J16" i="31"/>
  <c r="K34" i="15"/>
  <c r="C23" i="20" l="1"/>
  <c r="D23" i="20"/>
  <c r="E4" i="23"/>
  <c r="G4" i="23" s="1"/>
  <c r="K35" i="23"/>
  <c r="P19" i="23"/>
  <c r="K29" i="36"/>
  <c r="F4" i="36"/>
  <c r="P22" i="36"/>
  <c r="K43" i="15"/>
  <c r="P34" i="15"/>
  <c r="E4" i="15"/>
  <c r="H4" i="15" s="1"/>
  <c r="O16" i="31"/>
  <c r="J32" i="31"/>
  <c r="D4" i="31"/>
  <c r="F4" i="31" s="1"/>
  <c r="K29" i="22"/>
  <c r="P22" i="22"/>
  <c r="F4" i="22"/>
  <c r="P19" i="16"/>
  <c r="E4" i="16"/>
  <c r="H4" i="16" s="1"/>
  <c r="K42" i="16"/>
  <c r="K32" i="29"/>
  <c r="E4" i="29"/>
  <c r="G4" i="29" s="1"/>
  <c r="P16" i="29"/>
  <c r="J29" i="13"/>
  <c r="O19" i="13"/>
  <c r="D4" i="13"/>
  <c r="F4" i="13" s="1"/>
  <c r="E4" i="24"/>
  <c r="H4" i="24" s="1"/>
  <c r="K39" i="24"/>
  <c r="P16" i="24"/>
  <c r="J39" i="31" l="1"/>
  <c r="J47" i="31"/>
  <c r="K46" i="16"/>
  <c r="K51" i="16"/>
  <c r="J33" i="13"/>
  <c r="J38" i="13"/>
  <c r="K52" i="15"/>
  <c r="K47" i="15"/>
  <c r="E4" i="36"/>
  <c r="H4" i="36" s="1"/>
  <c r="P29" i="36"/>
  <c r="K38" i="36"/>
  <c r="K38" i="22"/>
  <c r="E4" i="22"/>
  <c r="H4" i="22" s="1"/>
  <c r="P29" i="22"/>
  <c r="K46" i="24"/>
  <c r="K54" i="24"/>
  <c r="K42" i="23"/>
  <c r="K50" i="23"/>
  <c r="K39" i="29"/>
  <c r="K47" i="29"/>
  <c r="L47" i="15" l="1"/>
  <c r="L52" i="15"/>
  <c r="J4" i="15" s="1"/>
  <c r="K4" i="15" s="1"/>
  <c r="L42" i="23"/>
  <c r="L50" i="23"/>
  <c r="I4" i="23" s="1"/>
  <c r="J4" i="23" s="1"/>
  <c r="K33" i="13"/>
  <c r="K38" i="13"/>
  <c r="H4" i="13" s="1"/>
  <c r="I4" i="13" s="1"/>
  <c r="L54" i="24"/>
  <c r="J4" i="24" s="1"/>
  <c r="K4" i="24" s="1"/>
  <c r="Y22" i="5" s="1"/>
  <c r="L46" i="24"/>
  <c r="L39" i="29"/>
  <c r="L47" i="29"/>
  <c r="L46" i="16"/>
  <c r="L51" i="16"/>
  <c r="J4" i="16" s="1"/>
  <c r="K53" i="22"/>
  <c r="K45" i="22"/>
  <c r="K45" i="36"/>
  <c r="K53" i="36"/>
  <c r="K39" i="31"/>
  <c r="K47" i="31"/>
  <c r="H4" i="31" s="1"/>
  <c r="P52" i="15" l="1"/>
  <c r="I4" i="29"/>
  <c r="J4" i="29" s="1"/>
  <c r="Z22" i="5" s="1"/>
  <c r="I4" i="31"/>
  <c r="F22" i="5" s="1"/>
  <c r="U22" i="5"/>
  <c r="K4" i="16"/>
  <c r="L45" i="22"/>
  <c r="L53" i="22"/>
  <c r="J4" i="22" s="1"/>
  <c r="K4" i="22" s="1"/>
  <c r="X22" i="5" s="1"/>
  <c r="V22" i="5"/>
  <c r="L38" i="13"/>
  <c r="O38" i="13" s="1"/>
  <c r="L33" i="13"/>
  <c r="J4" i="13" s="1"/>
  <c r="S22" i="5"/>
  <c r="L39" i="31"/>
  <c r="L47" i="31"/>
  <c r="O47" i="31" s="1"/>
  <c r="M51" i="16"/>
  <c r="P51" i="16" s="1"/>
  <c r="M46" i="16"/>
  <c r="M50" i="23"/>
  <c r="P50" i="23" s="1"/>
  <c r="M42" i="23"/>
  <c r="K4" i="23" s="1"/>
  <c r="M47" i="29"/>
  <c r="P47" i="29" s="1"/>
  <c r="M39" i="29"/>
  <c r="M47" i="15"/>
  <c r="L4" i="15" s="1"/>
  <c r="M54" i="24"/>
  <c r="P54" i="24" s="1"/>
  <c r="M46" i="24"/>
  <c r="L4" i="24" s="1"/>
  <c r="L45" i="36"/>
  <c r="L53" i="36"/>
  <c r="J4" i="36" s="1"/>
  <c r="K4" i="36" s="1"/>
  <c r="E22" i="5" l="1"/>
  <c r="D14" i="20"/>
  <c r="K4" i="29"/>
  <c r="P53" i="36"/>
  <c r="F4" i="5"/>
  <c r="M4" i="5"/>
  <c r="AC22" i="5"/>
  <c r="C22" i="5"/>
  <c r="J4" i="5" s="1"/>
  <c r="E5" i="20"/>
  <c r="M45" i="22"/>
  <c r="L4" i="22" s="1"/>
  <c r="B5" i="20"/>
  <c r="C14" i="20"/>
  <c r="D22" i="5"/>
  <c r="T22" i="5"/>
  <c r="L4" i="16"/>
  <c r="E4" i="5"/>
  <c r="L4" i="5"/>
  <c r="U28" i="5" s="1"/>
  <c r="M45" i="36"/>
  <c r="L4" i="36" s="1"/>
  <c r="D5" i="20"/>
  <c r="P53" i="22"/>
  <c r="AA22" i="5"/>
  <c r="J4" i="31"/>
  <c r="S28" i="5" l="1"/>
  <c r="E14" i="20"/>
  <c r="E32" i="20" s="1"/>
  <c r="E38" i="20" s="1"/>
  <c r="C5" i="20"/>
  <c r="C32" i="20" s="1"/>
  <c r="K4" i="5"/>
  <c r="T28" i="5" s="1"/>
  <c r="D4" i="5"/>
  <c r="B14" i="20"/>
  <c r="D32" i="20"/>
  <c r="D38" i="20" s="1"/>
  <c r="C4" i="5"/>
  <c r="B23" i="20"/>
  <c r="F23" i="20" s="1"/>
  <c r="AG13" i="5"/>
  <c r="V28" i="5"/>
  <c r="F14" i="20" l="1"/>
  <c r="F5" i="20"/>
  <c r="B32" i="20"/>
  <c r="F32" i="20" s="1"/>
  <c r="C38" i="20"/>
  <c r="H4" i="5"/>
  <c r="B38" i="20" l="1"/>
  <c r="N4" i="5"/>
  <c r="G32" i="20"/>
  <c r="K24" i="36" l="1"/>
  <c r="K25" i="36"/>
  <c r="L25" i="36"/>
  <c r="L23" i="36"/>
  <c r="L26" i="36"/>
  <c r="K23" i="36"/>
  <c r="K26" i="36"/>
  <c r="M26" i="36"/>
  <c r="M23" i="36"/>
  <c r="L24" i="36"/>
  <c r="M25" i="36"/>
  <c r="M24" i="36"/>
  <c r="G7" i="5"/>
  <c r="G8" i="5"/>
  <c r="AC17" i="5" l="1"/>
  <c r="AE17" i="5"/>
  <c r="AD17" i="5"/>
  <c r="AC16" i="5"/>
  <c r="AE16" i="5"/>
  <c r="AD16" i="5"/>
  <c r="G6" i="5"/>
  <c r="G5" i="5"/>
  <c r="V16" i="5"/>
  <c r="U16" i="5"/>
  <c r="Y16" i="5"/>
  <c r="X16" i="5"/>
  <c r="T16" i="5"/>
  <c r="AA16" i="5"/>
  <c r="Z16" i="5"/>
  <c r="T17" i="5"/>
  <c r="U17" i="5"/>
  <c r="X17" i="5"/>
  <c r="V17" i="5"/>
  <c r="AA17" i="5"/>
  <c r="Y17" i="5"/>
  <c r="Z17" i="5"/>
  <c r="P31" i="15"/>
  <c r="K20" i="29"/>
  <c r="K38" i="15"/>
  <c r="K20" i="24"/>
  <c r="K26" i="22"/>
  <c r="K23" i="23"/>
  <c r="K23" i="16"/>
  <c r="K17" i="29"/>
  <c r="K20" i="16"/>
  <c r="J20" i="31"/>
  <c r="F5" i="15"/>
  <c r="F6" i="15" s="1"/>
  <c r="P28" i="15"/>
  <c r="K20" i="23"/>
  <c r="K35" i="15"/>
  <c r="J20" i="13"/>
  <c r="K23" i="22"/>
  <c r="K17" i="24"/>
  <c r="J17" i="31"/>
  <c r="L20" i="31"/>
  <c r="L36" i="31" s="1"/>
  <c r="L20" i="13"/>
  <c r="L30" i="13" s="1"/>
  <c r="M17" i="24"/>
  <c r="M40" i="24" s="1"/>
  <c r="M17" i="29"/>
  <c r="M33" i="29" s="1"/>
  <c r="L17" i="31"/>
  <c r="L33" i="31" s="1"/>
  <c r="M20" i="16"/>
  <c r="M35" i="15"/>
  <c r="M30" i="36"/>
  <c r="M39" i="36" s="1"/>
  <c r="M23" i="22"/>
  <c r="M30" i="22" s="1"/>
  <c r="M39" i="22" s="1"/>
  <c r="M20" i="23"/>
  <c r="M36" i="23" s="1"/>
  <c r="L20" i="29"/>
  <c r="L36" i="29" s="1"/>
  <c r="L38" i="15"/>
  <c r="L26" i="22"/>
  <c r="L33" i="22" s="1"/>
  <c r="L42" i="22" s="1"/>
  <c r="L20" i="24"/>
  <c r="L43" i="24" s="1"/>
  <c r="L23" i="23"/>
  <c r="L39" i="23" s="1"/>
  <c r="L23" i="16"/>
  <c r="L33" i="36"/>
  <c r="L42" i="36" s="1"/>
  <c r="M31" i="36"/>
  <c r="M40" i="36" s="1"/>
  <c r="M18" i="29"/>
  <c r="M34" i="29" s="1"/>
  <c r="M21" i="16"/>
  <c r="L18" i="31"/>
  <c r="L34" i="31" s="1"/>
  <c r="M18" i="24"/>
  <c r="M41" i="24" s="1"/>
  <c r="M21" i="23"/>
  <c r="M37" i="23" s="1"/>
  <c r="M24" i="22"/>
  <c r="M31" i="22" s="1"/>
  <c r="M40" i="22" s="1"/>
  <c r="M36" i="15"/>
  <c r="L30" i="36"/>
  <c r="L39" i="36" s="1"/>
  <c r="K17" i="31"/>
  <c r="K33" i="31" s="1"/>
  <c r="L35" i="15"/>
  <c r="K20" i="13"/>
  <c r="K30" i="13" s="1"/>
  <c r="L23" i="22"/>
  <c r="L30" i="22" s="1"/>
  <c r="L39" i="22" s="1"/>
  <c r="L17" i="29"/>
  <c r="L33" i="29" s="1"/>
  <c r="L20" i="16"/>
  <c r="K20" i="31"/>
  <c r="K36" i="31" s="1"/>
  <c r="L20" i="23"/>
  <c r="L36" i="23" s="1"/>
  <c r="L17" i="24"/>
  <c r="L40" i="24" s="1"/>
  <c r="L21" i="16"/>
  <c r="K18" i="31"/>
  <c r="K34" i="31" s="1"/>
  <c r="L18" i="24"/>
  <c r="L41" i="24" s="1"/>
  <c r="L18" i="29"/>
  <c r="L34" i="29" s="1"/>
  <c r="L36" i="15"/>
  <c r="L24" i="22"/>
  <c r="L31" i="22" s="1"/>
  <c r="L40" i="22" s="1"/>
  <c r="L21" i="23"/>
  <c r="L37" i="23" s="1"/>
  <c r="L31" i="36"/>
  <c r="L40" i="36" s="1"/>
  <c r="L32" i="36"/>
  <c r="L41" i="36" s="1"/>
  <c r="L19" i="29"/>
  <c r="L35" i="29" s="1"/>
  <c r="K19" i="31"/>
  <c r="K35" i="31" s="1"/>
  <c r="L37" i="15"/>
  <c r="L22" i="16"/>
  <c r="L22" i="23"/>
  <c r="L38" i="23" s="1"/>
  <c r="L19" i="24"/>
  <c r="L42" i="24" s="1"/>
  <c r="L25" i="22"/>
  <c r="L32" i="22" s="1"/>
  <c r="L41" i="22" s="1"/>
  <c r="K25" i="22"/>
  <c r="K22" i="23"/>
  <c r="K22" i="16"/>
  <c r="K19" i="24"/>
  <c r="K37" i="15"/>
  <c r="J19" i="31"/>
  <c r="K19" i="29"/>
  <c r="P30" i="15"/>
  <c r="M25" i="22"/>
  <c r="M32" i="22" s="1"/>
  <c r="M41" i="22" s="1"/>
  <c r="M22" i="23"/>
  <c r="M38" i="23" s="1"/>
  <c r="M32" i="36"/>
  <c r="M41" i="36" s="1"/>
  <c r="M19" i="29"/>
  <c r="M35" i="29" s="1"/>
  <c r="L19" i="31"/>
  <c r="L35" i="31" s="1"/>
  <c r="M37" i="15"/>
  <c r="M22" i="16"/>
  <c r="M19" i="24"/>
  <c r="M42" i="24" s="1"/>
  <c r="M26" i="22"/>
  <c r="M33" i="22" s="1"/>
  <c r="M42" i="22" s="1"/>
  <c r="M23" i="16"/>
  <c r="M23" i="23"/>
  <c r="M39" i="23" s="1"/>
  <c r="M20" i="24"/>
  <c r="M43" i="24" s="1"/>
  <c r="M38" i="15"/>
  <c r="M33" i="36"/>
  <c r="M42" i="36" s="1"/>
  <c r="M20" i="29"/>
  <c r="M36" i="29" s="1"/>
  <c r="K21" i="16"/>
  <c r="J18" i="31"/>
  <c r="K36" i="15"/>
  <c r="K21" i="23"/>
  <c r="K18" i="24"/>
  <c r="P29" i="15"/>
  <c r="K18" i="29"/>
  <c r="K24" i="22"/>
  <c r="AC14" i="5" l="1"/>
  <c r="AE14" i="5"/>
  <c r="AD14" i="5"/>
  <c r="AE15" i="5"/>
  <c r="AD15" i="5"/>
  <c r="C26" i="20"/>
  <c r="D26" i="20"/>
  <c r="C27" i="20"/>
  <c r="D27" i="20"/>
  <c r="U15" i="5"/>
  <c r="AC15" i="5"/>
  <c r="B10" i="18"/>
  <c r="Y15" i="5"/>
  <c r="X15" i="5"/>
  <c r="V15" i="5"/>
  <c r="AA15" i="5"/>
  <c r="Z15" i="5"/>
  <c r="T15" i="5"/>
  <c r="Y14" i="5"/>
  <c r="T14" i="5"/>
  <c r="Z14" i="5"/>
  <c r="U14" i="5"/>
  <c r="V14" i="5"/>
  <c r="AA14" i="5"/>
  <c r="X14" i="5"/>
  <c r="P36" i="15"/>
  <c r="P37" i="15"/>
  <c r="K37" i="23"/>
  <c r="P21" i="23"/>
  <c r="O19" i="31"/>
  <c r="J35" i="31"/>
  <c r="D7" i="31"/>
  <c r="F7" i="31" s="1"/>
  <c r="E5" i="16"/>
  <c r="P20" i="16"/>
  <c r="K43" i="16"/>
  <c r="K39" i="16" s="1"/>
  <c r="K41" i="24"/>
  <c r="E6" i="24"/>
  <c r="H6" i="24" s="1"/>
  <c r="P18" i="24"/>
  <c r="P17" i="29"/>
  <c r="E5" i="29"/>
  <c r="K33" i="29"/>
  <c r="P19" i="29"/>
  <c r="K35" i="29"/>
  <c r="E7" i="29"/>
  <c r="G7" i="29" s="1"/>
  <c r="O18" i="31"/>
  <c r="J34" i="31"/>
  <c r="D6" i="31"/>
  <c r="F6" i="31" s="1"/>
  <c r="K42" i="24"/>
  <c r="E7" i="24"/>
  <c r="H7" i="24" s="1"/>
  <c r="P19" i="24"/>
  <c r="J33" i="31"/>
  <c r="O17" i="31"/>
  <c r="D5" i="31"/>
  <c r="P21" i="16"/>
  <c r="P23" i="36"/>
  <c r="K30" i="36"/>
  <c r="F5" i="36"/>
  <c r="P22" i="16"/>
  <c r="K38" i="23"/>
  <c r="P22" i="23"/>
  <c r="K40" i="24"/>
  <c r="P17" i="24"/>
  <c r="E5" i="24"/>
  <c r="P23" i="16"/>
  <c r="F6" i="22"/>
  <c r="K31" i="22"/>
  <c r="P24" i="22"/>
  <c r="P23" i="22"/>
  <c r="F5" i="22"/>
  <c r="K30" i="22"/>
  <c r="K39" i="23"/>
  <c r="P23" i="23"/>
  <c r="F7" i="22"/>
  <c r="P25" i="22"/>
  <c r="K32" i="22"/>
  <c r="L43" i="16"/>
  <c r="M44" i="15"/>
  <c r="O20" i="13"/>
  <c r="D5" i="13"/>
  <c r="J30" i="13"/>
  <c r="K33" i="22"/>
  <c r="F8" i="22"/>
  <c r="P26" i="22"/>
  <c r="M43" i="16"/>
  <c r="P35" i="15"/>
  <c r="E5" i="15"/>
  <c r="K44" i="15"/>
  <c r="K43" i="24"/>
  <c r="P20" i="24"/>
  <c r="E8" i="24"/>
  <c r="H8" i="24" s="1"/>
  <c r="P18" i="29"/>
  <c r="K34" i="29"/>
  <c r="E6" i="29"/>
  <c r="G6" i="29" s="1"/>
  <c r="K36" i="23"/>
  <c r="E5" i="23"/>
  <c r="P20" i="23"/>
  <c r="P38" i="15"/>
  <c r="P26" i="36"/>
  <c r="F8" i="36"/>
  <c r="K33" i="36"/>
  <c r="P24" i="36"/>
  <c r="K31" i="36"/>
  <c r="F6" i="36"/>
  <c r="L44" i="15"/>
  <c r="P25" i="36"/>
  <c r="F7" i="36"/>
  <c r="K32" i="36"/>
  <c r="E8" i="29"/>
  <c r="G8" i="29" s="1"/>
  <c r="K36" i="29"/>
  <c r="P20" i="29"/>
  <c r="D8" i="31"/>
  <c r="F8" i="31" s="1"/>
  <c r="O20" i="31"/>
  <c r="J36" i="31"/>
  <c r="K36" i="24" l="1"/>
  <c r="K32" i="23"/>
  <c r="C25" i="20"/>
  <c r="D25" i="20"/>
  <c r="C24" i="20"/>
  <c r="D24" i="20"/>
  <c r="J29" i="31"/>
  <c r="J51" i="31"/>
  <c r="J43" i="31"/>
  <c r="K46" i="23"/>
  <c r="K54" i="23"/>
  <c r="K41" i="29"/>
  <c r="K49" i="29"/>
  <c r="E8" i="22"/>
  <c r="H8" i="22" s="1"/>
  <c r="P33" i="22"/>
  <c r="K42" i="22"/>
  <c r="P30" i="22"/>
  <c r="E5" i="22"/>
  <c r="K39" i="22"/>
  <c r="K45" i="23"/>
  <c r="K53" i="23"/>
  <c r="K49" i="24"/>
  <c r="K57" i="24"/>
  <c r="K40" i="36"/>
  <c r="P31" i="36"/>
  <c r="E6" i="36"/>
  <c r="H6" i="36" s="1"/>
  <c r="F9" i="22"/>
  <c r="K48" i="24"/>
  <c r="K56" i="24"/>
  <c r="J39" i="13"/>
  <c r="J26" i="13"/>
  <c r="J34" i="13"/>
  <c r="F9" i="36"/>
  <c r="J41" i="31"/>
  <c r="J49" i="31"/>
  <c r="F5" i="13"/>
  <c r="D6" i="13"/>
  <c r="P30" i="36"/>
  <c r="K39" i="36"/>
  <c r="E5" i="36"/>
  <c r="K47" i="16"/>
  <c r="K52" i="16"/>
  <c r="P31" i="22"/>
  <c r="E6" i="22"/>
  <c r="H6" i="22" s="1"/>
  <c r="K40" i="22"/>
  <c r="P33" i="36"/>
  <c r="E8" i="36"/>
  <c r="H8" i="36" s="1"/>
  <c r="K42" i="36"/>
  <c r="K58" i="24"/>
  <c r="K50" i="24"/>
  <c r="H5" i="15"/>
  <c r="E6" i="15"/>
  <c r="E7" i="22"/>
  <c r="H7" i="22" s="1"/>
  <c r="K41" i="22"/>
  <c r="P32" i="22"/>
  <c r="F5" i="31"/>
  <c r="D9" i="31"/>
  <c r="J42" i="31"/>
  <c r="J50" i="31"/>
  <c r="H5" i="16"/>
  <c r="E6" i="16"/>
  <c r="K50" i="29"/>
  <c r="K42" i="29"/>
  <c r="K51" i="29"/>
  <c r="K43" i="29"/>
  <c r="P32" i="36"/>
  <c r="E7" i="36"/>
  <c r="H7" i="36" s="1"/>
  <c r="K41" i="36"/>
  <c r="K48" i="29"/>
  <c r="K40" i="29"/>
  <c r="K29" i="29"/>
  <c r="J40" i="31"/>
  <c r="J48" i="31"/>
  <c r="G5" i="29"/>
  <c r="E9" i="29"/>
  <c r="K48" i="15"/>
  <c r="K53" i="15"/>
  <c r="H5" i="24"/>
  <c r="E9" i="24"/>
  <c r="G5" i="23"/>
  <c r="G6" i="23" s="1"/>
  <c r="E6" i="23"/>
  <c r="K43" i="23"/>
  <c r="K51" i="23"/>
  <c r="K47" i="24"/>
  <c r="K55" i="24"/>
  <c r="K52" i="23"/>
  <c r="K44" i="23"/>
  <c r="L36" i="24" l="1"/>
  <c r="L29" i="29"/>
  <c r="L32" i="23"/>
  <c r="K35" i="22"/>
  <c r="P36" i="24"/>
  <c r="L47" i="16"/>
  <c r="L52" i="16"/>
  <c r="J5" i="16" s="1"/>
  <c r="J6" i="16" s="1"/>
  <c r="L39" i="16"/>
  <c r="J43" i="13"/>
  <c r="K54" i="22"/>
  <c r="K46" i="22"/>
  <c r="H6" i="15"/>
  <c r="K48" i="31"/>
  <c r="H5" i="31" s="1"/>
  <c r="I5" i="31" s="1"/>
  <c r="K40" i="31"/>
  <c r="K29" i="31"/>
  <c r="O29" i="31" s="1"/>
  <c r="H5" i="36"/>
  <c r="E9" i="36"/>
  <c r="H6" i="16"/>
  <c r="F6" i="13"/>
  <c r="K47" i="36"/>
  <c r="K55" i="36"/>
  <c r="H5" i="22"/>
  <c r="E9" i="22"/>
  <c r="L55" i="24"/>
  <c r="J5" i="24" s="1"/>
  <c r="K5" i="24" s="1"/>
  <c r="Y23" i="5" s="1"/>
  <c r="L47" i="24"/>
  <c r="L50" i="24"/>
  <c r="L58" i="24"/>
  <c r="J8" i="24" s="1"/>
  <c r="K8" i="24" s="1"/>
  <c r="Y26" i="5" s="1"/>
  <c r="J55" i="31"/>
  <c r="K55" i="29"/>
  <c r="L49" i="29"/>
  <c r="I6" i="29" s="1"/>
  <c r="J6" i="29" s="1"/>
  <c r="Z24" i="5" s="1"/>
  <c r="L41" i="29"/>
  <c r="G9" i="29"/>
  <c r="K53" i="29"/>
  <c r="F9" i="31"/>
  <c r="K60" i="24"/>
  <c r="L48" i="24"/>
  <c r="L56" i="24"/>
  <c r="J6" i="24" s="1"/>
  <c r="K6" i="24" s="1"/>
  <c r="K57" i="22"/>
  <c r="K49" i="22"/>
  <c r="L48" i="29"/>
  <c r="I5" i="29" s="1"/>
  <c r="J5" i="29" s="1"/>
  <c r="Z23" i="5" s="1"/>
  <c r="L40" i="29"/>
  <c r="K47" i="22"/>
  <c r="K55" i="22"/>
  <c r="H9" i="24"/>
  <c r="L54" i="23"/>
  <c r="L46" i="23"/>
  <c r="L43" i="23"/>
  <c r="L51" i="23"/>
  <c r="K48" i="36"/>
  <c r="K56" i="36"/>
  <c r="K49" i="31"/>
  <c r="H6" i="31" s="1"/>
  <c r="I6" i="31" s="1"/>
  <c r="AA24" i="5" s="1"/>
  <c r="E16" i="20" s="1"/>
  <c r="K41" i="31"/>
  <c r="L57" i="24"/>
  <c r="J7" i="24" s="1"/>
  <c r="K7" i="24" s="1"/>
  <c r="L49" i="24"/>
  <c r="L52" i="23"/>
  <c r="L44" i="23"/>
  <c r="K55" i="15"/>
  <c r="K57" i="15"/>
  <c r="K56" i="22"/>
  <c r="K48" i="22"/>
  <c r="K54" i="16"/>
  <c r="K26" i="13"/>
  <c r="O26" i="13" s="1"/>
  <c r="K34" i="13"/>
  <c r="K39" i="13"/>
  <c r="H5" i="13" s="1"/>
  <c r="H6" i="13" s="1"/>
  <c r="L53" i="23"/>
  <c r="L45" i="23"/>
  <c r="K51" i="31"/>
  <c r="H8" i="31" s="1"/>
  <c r="I8" i="31" s="1"/>
  <c r="AA26" i="5" s="1"/>
  <c r="E18" i="20" s="1"/>
  <c r="K43" i="31"/>
  <c r="K62" i="24"/>
  <c r="L50" i="29"/>
  <c r="I7" i="29" s="1"/>
  <c r="J7" i="29" s="1"/>
  <c r="Z25" i="5" s="1"/>
  <c r="L42" i="29"/>
  <c r="J53" i="31"/>
  <c r="K58" i="23"/>
  <c r="K54" i="36"/>
  <c r="K46" i="36"/>
  <c r="K35" i="36"/>
  <c r="K57" i="36"/>
  <c r="K49" i="36"/>
  <c r="K56" i="23"/>
  <c r="K42" i="31"/>
  <c r="K50" i="31"/>
  <c r="H7" i="31" s="1"/>
  <c r="I7" i="31" s="1"/>
  <c r="AA25" i="5" s="1"/>
  <c r="E17" i="20" s="1"/>
  <c r="L53" i="15"/>
  <c r="L55" i="15" s="1"/>
  <c r="L48" i="15"/>
  <c r="L51" i="29"/>
  <c r="I8" i="29" s="1"/>
  <c r="J8" i="29" s="1"/>
  <c r="Z26" i="5" s="1"/>
  <c r="L43" i="29"/>
  <c r="K56" i="16"/>
  <c r="J41" i="13"/>
  <c r="L35" i="22" l="1"/>
  <c r="K5" i="16"/>
  <c r="K6" i="16" s="1"/>
  <c r="M48" i="24"/>
  <c r="L6" i="24" s="1"/>
  <c r="K59" i="36"/>
  <c r="P57" i="24"/>
  <c r="P55" i="24"/>
  <c r="P53" i="15"/>
  <c r="I5" i="23"/>
  <c r="J5" i="23" s="1"/>
  <c r="J5" i="15"/>
  <c r="J6" i="15" s="1"/>
  <c r="AA23" i="5"/>
  <c r="E15" i="20" s="1"/>
  <c r="I9" i="31"/>
  <c r="J9" i="29"/>
  <c r="L57" i="15"/>
  <c r="K54" i="15"/>
  <c r="L56" i="23"/>
  <c r="L49" i="22"/>
  <c r="L57" i="22"/>
  <c r="P57" i="22" s="1"/>
  <c r="D16" i="20"/>
  <c r="H9" i="22"/>
  <c r="L40" i="31"/>
  <c r="J5" i="31" s="1"/>
  <c r="L48" i="31"/>
  <c r="O48" i="31" s="1"/>
  <c r="K52" i="29"/>
  <c r="L55" i="29"/>
  <c r="L55" i="36"/>
  <c r="J6" i="36" s="1"/>
  <c r="K6" i="36" s="1"/>
  <c r="L47" i="36"/>
  <c r="M54" i="23"/>
  <c r="P54" i="23" s="1"/>
  <c r="M46" i="23"/>
  <c r="I5" i="13"/>
  <c r="J52" i="31"/>
  <c r="K55" i="31"/>
  <c r="K59" i="22"/>
  <c r="K61" i="36"/>
  <c r="M53" i="23"/>
  <c r="P53" i="23" s="1"/>
  <c r="M45" i="23"/>
  <c r="M44" i="23"/>
  <c r="M52" i="23"/>
  <c r="P52" i="23" s="1"/>
  <c r="D18" i="20"/>
  <c r="K55" i="23"/>
  <c r="L58" i="23"/>
  <c r="K9" i="24"/>
  <c r="K8" i="16"/>
  <c r="D23" i="5" s="1"/>
  <c r="K11" i="16"/>
  <c r="T26" i="5" s="1"/>
  <c r="K9" i="16"/>
  <c r="T24" i="5" s="1"/>
  <c r="K10" i="16"/>
  <c r="T25" i="5" s="1"/>
  <c r="L54" i="22"/>
  <c r="J5" i="22" s="1"/>
  <c r="L46" i="22"/>
  <c r="L43" i="31"/>
  <c r="J8" i="31" s="1"/>
  <c r="L51" i="31"/>
  <c r="O51" i="31" s="1"/>
  <c r="L54" i="36"/>
  <c r="J5" i="36" s="1"/>
  <c r="L46" i="36"/>
  <c r="L35" i="36"/>
  <c r="M48" i="15"/>
  <c r="M49" i="24"/>
  <c r="L7" i="24" s="1"/>
  <c r="K61" i="22"/>
  <c r="K59" i="24"/>
  <c r="L62" i="24"/>
  <c r="K53" i="16"/>
  <c r="L56" i="16"/>
  <c r="M50" i="24"/>
  <c r="L8" i="24" s="1"/>
  <c r="M58" i="24"/>
  <c r="M60" i="24" s="1"/>
  <c r="J40" i="13"/>
  <c r="K43" i="13"/>
  <c r="M51" i="23"/>
  <c r="M43" i="23"/>
  <c r="K41" i="13"/>
  <c r="L41" i="31"/>
  <c r="J6" i="31" s="1"/>
  <c r="L49" i="31"/>
  <c r="O49" i="31" s="1"/>
  <c r="L47" i="22"/>
  <c r="L55" i="22"/>
  <c r="P55" i="22" s="1"/>
  <c r="L60" i="24"/>
  <c r="Y24" i="5"/>
  <c r="L34" i="13"/>
  <c r="L39" i="13"/>
  <c r="L41" i="13" s="1"/>
  <c r="Y25" i="5"/>
  <c r="L50" i="31"/>
  <c r="O50" i="31" s="1"/>
  <c r="L42" i="31"/>
  <c r="J7" i="31" s="1"/>
  <c r="P29" i="29"/>
  <c r="L53" i="29"/>
  <c r="M47" i="24"/>
  <c r="L5" i="24" s="1"/>
  <c r="H9" i="36"/>
  <c r="P39" i="16"/>
  <c r="L54" i="16"/>
  <c r="H9" i="31"/>
  <c r="M43" i="29"/>
  <c r="K8" i="29" s="1"/>
  <c r="M51" i="29"/>
  <c r="P51" i="29" s="1"/>
  <c r="P32" i="23"/>
  <c r="M42" i="29"/>
  <c r="K7" i="29" s="1"/>
  <c r="M50" i="29"/>
  <c r="P50" i="29" s="1"/>
  <c r="L48" i="22"/>
  <c r="L56" i="22"/>
  <c r="J7" i="22" s="1"/>
  <c r="K7" i="22" s="1"/>
  <c r="X25" i="5" s="1"/>
  <c r="M48" i="29"/>
  <c r="M40" i="29"/>
  <c r="K5" i="29" s="1"/>
  <c r="J9" i="24"/>
  <c r="P56" i="24"/>
  <c r="L57" i="36"/>
  <c r="P57" i="36" s="1"/>
  <c r="L49" i="36"/>
  <c r="D17" i="20"/>
  <c r="L48" i="36"/>
  <c r="L56" i="36"/>
  <c r="J7" i="36" s="1"/>
  <c r="K7" i="36" s="1"/>
  <c r="I9" i="29"/>
  <c r="M41" i="29"/>
  <c r="K6" i="29" s="1"/>
  <c r="M49" i="29"/>
  <c r="P49" i="29" s="1"/>
  <c r="K53" i="31"/>
  <c r="M47" i="16"/>
  <c r="M52" i="16"/>
  <c r="L5" i="16" l="1"/>
  <c r="D24" i="5"/>
  <c r="D25" i="5"/>
  <c r="J8" i="22"/>
  <c r="K8" i="22" s="1"/>
  <c r="X26" i="5" s="1"/>
  <c r="M49" i="36"/>
  <c r="P55" i="36"/>
  <c r="M47" i="22"/>
  <c r="M46" i="22"/>
  <c r="P56" i="22"/>
  <c r="I6" i="23"/>
  <c r="O39" i="13"/>
  <c r="M48" i="22"/>
  <c r="L7" i="22" s="1"/>
  <c r="M49" i="22"/>
  <c r="P54" i="22"/>
  <c r="K5" i="15"/>
  <c r="K9" i="15" s="1"/>
  <c r="S24" i="5" s="1"/>
  <c r="M46" i="36"/>
  <c r="M47" i="36"/>
  <c r="L6" i="36" s="1"/>
  <c r="AC24" i="5"/>
  <c r="K5" i="5"/>
  <c r="D5" i="5"/>
  <c r="L52" i="29"/>
  <c r="M55" i="29"/>
  <c r="M52" i="29" s="1"/>
  <c r="M54" i="16"/>
  <c r="P52" i="16"/>
  <c r="P54" i="36"/>
  <c r="M57" i="15"/>
  <c r="M54" i="15" s="1"/>
  <c r="L54" i="15"/>
  <c r="C17" i="20"/>
  <c r="M56" i="23"/>
  <c r="L61" i="22"/>
  <c r="K58" i="22"/>
  <c r="L59" i="22"/>
  <c r="C15" i="20"/>
  <c r="P35" i="22"/>
  <c r="J8" i="36"/>
  <c r="K8" i="36" s="1"/>
  <c r="L53" i="31"/>
  <c r="K5" i="23"/>
  <c r="J10" i="23"/>
  <c r="U25" i="5" s="1"/>
  <c r="J6" i="23"/>
  <c r="J11" i="23"/>
  <c r="U26" i="5" s="1"/>
  <c r="J8" i="23"/>
  <c r="J9" i="23"/>
  <c r="U24" i="5" s="1"/>
  <c r="L59" i="24"/>
  <c r="M62" i="24"/>
  <c r="M59" i="24" s="1"/>
  <c r="K58" i="36"/>
  <c r="L61" i="36"/>
  <c r="K40" i="13"/>
  <c r="L43" i="13"/>
  <c r="L40" i="13" s="1"/>
  <c r="D26" i="5"/>
  <c r="M58" i="23"/>
  <c r="M55" i="23" s="1"/>
  <c r="L55" i="23"/>
  <c r="K52" i="31"/>
  <c r="L55" i="31"/>
  <c r="L52" i="31" s="1"/>
  <c r="C16" i="20"/>
  <c r="P58" i="24"/>
  <c r="C18" i="20"/>
  <c r="K5" i="22"/>
  <c r="X23" i="5" s="1"/>
  <c r="D15" i="20"/>
  <c r="M53" i="29"/>
  <c r="P48" i="29"/>
  <c r="K5" i="36"/>
  <c r="P56" i="36"/>
  <c r="C8" i="20"/>
  <c r="J5" i="13"/>
  <c r="I10" i="13"/>
  <c r="I8" i="13"/>
  <c r="I9" i="13"/>
  <c r="I11" i="13"/>
  <c r="I6" i="13"/>
  <c r="AC25" i="5"/>
  <c r="M48" i="36"/>
  <c r="L7" i="36" s="1"/>
  <c r="B17" i="20"/>
  <c r="P51" i="23"/>
  <c r="C7" i="20"/>
  <c r="J6" i="22"/>
  <c r="K6" i="22" s="1"/>
  <c r="X24" i="5" s="1"/>
  <c r="C9" i="20"/>
  <c r="L53" i="16"/>
  <c r="M56" i="16"/>
  <c r="M53" i="16" s="1"/>
  <c r="P35" i="36"/>
  <c r="L59" i="36"/>
  <c r="T23" i="5"/>
  <c r="K12" i="16"/>
  <c r="L8" i="22" l="1"/>
  <c r="D6" i="5"/>
  <c r="K6" i="5"/>
  <c r="T30" i="5" s="1"/>
  <c r="D7" i="5"/>
  <c r="K7" i="5"/>
  <c r="T31" i="5" s="1"/>
  <c r="C36" i="20"/>
  <c r="K6" i="15"/>
  <c r="C35" i="20"/>
  <c r="F17" i="20"/>
  <c r="C34" i="20"/>
  <c r="K10" i="15"/>
  <c r="S25" i="5" s="1"/>
  <c r="B8" i="20" s="1"/>
  <c r="K8" i="15"/>
  <c r="C23" i="5" s="1"/>
  <c r="J5" i="5" s="1"/>
  <c r="L5" i="15"/>
  <c r="K11" i="15"/>
  <c r="S26" i="5" s="1"/>
  <c r="B9" i="20" s="1"/>
  <c r="T29" i="5"/>
  <c r="F25" i="5"/>
  <c r="V26" i="5"/>
  <c r="E9" i="20" s="1"/>
  <c r="E36" i="20" s="1"/>
  <c r="B7" i="20"/>
  <c r="F23" i="5"/>
  <c r="V24" i="5"/>
  <c r="E7" i="20" s="1"/>
  <c r="E34" i="20" s="1"/>
  <c r="J9" i="22"/>
  <c r="U23" i="5"/>
  <c r="E23" i="5"/>
  <c r="J12" i="23"/>
  <c r="L58" i="22"/>
  <c r="M61" i="22"/>
  <c r="M58" i="22" s="1"/>
  <c r="D8" i="5"/>
  <c r="K8" i="5"/>
  <c r="T32" i="5" s="1"/>
  <c r="L6" i="22"/>
  <c r="L5" i="22"/>
  <c r="K9" i="22"/>
  <c r="C24" i="5"/>
  <c r="J6" i="5" s="1"/>
  <c r="E26" i="5"/>
  <c r="E25" i="5"/>
  <c r="B25" i="20"/>
  <c r="F25" i="20" s="1"/>
  <c r="J9" i="36"/>
  <c r="F24" i="5"/>
  <c r="V25" i="5"/>
  <c r="E8" i="20" s="1"/>
  <c r="E35" i="20" s="1"/>
  <c r="C6" i="20"/>
  <c r="C33" i="20" s="1"/>
  <c r="C39" i="20" s="1"/>
  <c r="AC23" i="5"/>
  <c r="K9" i="36"/>
  <c r="L5" i="36"/>
  <c r="AC26" i="5"/>
  <c r="L8" i="36"/>
  <c r="B18" i="20"/>
  <c r="F18" i="20" s="1"/>
  <c r="L58" i="36"/>
  <c r="M61" i="36"/>
  <c r="M58" i="36" s="1"/>
  <c r="E24" i="5"/>
  <c r="V23" i="5"/>
  <c r="E6" i="20" s="1"/>
  <c r="E33" i="20" s="1"/>
  <c r="I12" i="13"/>
  <c r="F26" i="5" s="1"/>
  <c r="B26" i="20"/>
  <c r="F26" i="20" s="1"/>
  <c r="C40" i="20" l="1"/>
  <c r="C41" i="20"/>
  <c r="C25" i="5"/>
  <c r="J7" i="5" s="1"/>
  <c r="AG15" i="5"/>
  <c r="C26" i="5"/>
  <c r="S23" i="5"/>
  <c r="AG14" i="5" s="1"/>
  <c r="K12" i="15"/>
  <c r="AG17" i="5"/>
  <c r="AG16" i="5"/>
  <c r="L8" i="5"/>
  <c r="U32" i="5" s="1"/>
  <c r="E8" i="5"/>
  <c r="C5" i="5"/>
  <c r="M6" i="5"/>
  <c r="V30" i="5" s="1"/>
  <c r="F6" i="5"/>
  <c r="C6" i="5"/>
  <c r="S30" i="5"/>
  <c r="E5" i="5"/>
  <c r="L5" i="5"/>
  <c r="U29" i="5" s="1"/>
  <c r="D6" i="20"/>
  <c r="D33" i="20" s="1"/>
  <c r="B35" i="20"/>
  <c r="B15" i="20"/>
  <c r="F15" i="20" s="1"/>
  <c r="D9" i="20"/>
  <c r="D36" i="20" s="1"/>
  <c r="D7" i="20"/>
  <c r="D34" i="20" s="1"/>
  <c r="B27" i="20"/>
  <c r="F27" i="20" s="1"/>
  <c r="B16" i="20"/>
  <c r="F16" i="20" s="1"/>
  <c r="F5" i="5"/>
  <c r="M5" i="5"/>
  <c r="V29" i="5" s="1"/>
  <c r="E6" i="5"/>
  <c r="L6" i="5"/>
  <c r="U30" i="5" s="1"/>
  <c r="F8" i="5"/>
  <c r="M8" i="5"/>
  <c r="V32" i="5" s="1"/>
  <c r="B24" i="20"/>
  <c r="F24" i="20" s="1"/>
  <c r="L7" i="5"/>
  <c r="U31" i="5" s="1"/>
  <c r="E7" i="5"/>
  <c r="D8" i="20"/>
  <c r="D35" i="20" s="1"/>
  <c r="C42" i="20"/>
  <c r="M7" i="5"/>
  <c r="V31" i="5" s="1"/>
  <c r="F7" i="5"/>
  <c r="J8" i="5" l="1"/>
  <c r="S32" i="5" s="1"/>
  <c r="S31" i="5"/>
  <c r="C7" i="5"/>
  <c r="H7" i="5" s="1"/>
  <c r="C8" i="5"/>
  <c r="H8" i="5" s="1"/>
  <c r="B34" i="20"/>
  <c r="F34" i="20" s="1"/>
  <c r="F7" i="20"/>
  <c r="F8" i="20"/>
  <c r="D42" i="20"/>
  <c r="D40" i="20"/>
  <c r="S29" i="5"/>
  <c r="B36" i="20"/>
  <c r="F36" i="20" s="1"/>
  <c r="F9" i="20"/>
  <c r="B6" i="20"/>
  <c r="F6" i="20" s="1"/>
  <c r="H5" i="5"/>
  <c r="D41" i="20"/>
  <c r="E39" i="20"/>
  <c r="D39" i="20"/>
  <c r="H6" i="5"/>
  <c r="E40" i="20"/>
  <c r="E41" i="20"/>
  <c r="F35" i="20"/>
  <c r="E42" i="20"/>
  <c r="B41" i="20" l="1"/>
  <c r="B40" i="20"/>
  <c r="B42" i="20"/>
  <c r="N5" i="5"/>
  <c r="B33" i="20"/>
  <c r="B39" i="20" s="1"/>
  <c r="N7" i="5"/>
  <c r="G35" i="20"/>
  <c r="G34" i="20"/>
  <c r="G36" i="20"/>
  <c r="N8" i="5"/>
  <c r="N6" i="5"/>
  <c r="F33" i="20" l="1"/>
  <c r="G33" i="20" s="1"/>
</calcChain>
</file>

<file path=xl/sharedStrings.xml><?xml version="1.0" encoding="utf-8"?>
<sst xmlns="http://schemas.openxmlformats.org/spreadsheetml/2006/main" count="1132" uniqueCount="335">
  <si>
    <t>Low Income</t>
  </si>
  <si>
    <t>Common/General</t>
  </si>
  <si>
    <t>Allocated Program Costs</t>
  </si>
  <si>
    <t>Over/(Under)</t>
  </si>
  <si>
    <t>PCR</t>
  </si>
  <si>
    <t>Total</t>
  </si>
  <si>
    <t>PPC</t>
  </si>
  <si>
    <t>Service Class</t>
  </si>
  <si>
    <t>FORECASTED</t>
  </si>
  <si>
    <t>TDR</t>
  </si>
  <si>
    <t>Interest</t>
  </si>
  <si>
    <t>INPUTS</t>
  </si>
  <si>
    <t>Starting Balance</t>
  </si>
  <si>
    <t>Program Cost Rate</t>
  </si>
  <si>
    <t>4. Total Interest</t>
  </si>
  <si>
    <t>5. Total Interest</t>
  </si>
  <si>
    <t>PTD</t>
  </si>
  <si>
    <t>OA</t>
  </si>
  <si>
    <t>OAR</t>
  </si>
  <si>
    <t>NPC</t>
  </si>
  <si>
    <t>NTD</t>
  </si>
  <si>
    <t>NOA</t>
  </si>
  <si>
    <t>cumulative check</t>
  </si>
  <si>
    <t>monthly GL interest check</t>
  </si>
  <si>
    <t>Residential</t>
  </si>
  <si>
    <t>Non-Residential</t>
  </si>
  <si>
    <t>2. PPC</t>
  </si>
  <si>
    <t>Residential/Non-Residential %</t>
  </si>
  <si>
    <t>DSIM($/kWh)</t>
  </si>
  <si>
    <t>2. PTD</t>
  </si>
  <si>
    <t xml:space="preserve">INPUTS </t>
  </si>
  <si>
    <t>1. Actual/Forecasted Program Costs</t>
  </si>
  <si>
    <t>ACTUAL</t>
  </si>
  <si>
    <t>3. Actual/Forecasted Revenues - Program Costs Only</t>
  </si>
  <si>
    <t>Allocated Actual Program Costs (calculated)</t>
  </si>
  <si>
    <t>Regulatory Asset/(Liability) (calculated)</t>
  </si>
  <si>
    <t>Interest Carrying Cost (calculated)</t>
  </si>
  <si>
    <t>PE (kWh)</t>
  </si>
  <si>
    <t>Defined Terms</t>
  </si>
  <si>
    <t>EP = Effective Period (six months beginning July 2014) and each six month period thereafter</t>
  </si>
  <si>
    <t>PCR = Program Costs Reconciliation for the current EP</t>
  </si>
  <si>
    <t>OA = Ordered Adjustment</t>
  </si>
  <si>
    <t>RP = Recovery Period (six months beginning August 2014) and each six month period thereafter</t>
  </si>
  <si>
    <t>1. PE - Recovery Period Forecasted Billed kWh Sales</t>
  </si>
  <si>
    <t>Billed kWh Sales</t>
  </si>
  <si>
    <t>Billed Revenues</t>
  </si>
  <si>
    <t>2. Actual/Forecasted Billed KWh Sales - Reduced for Opt-Out</t>
  </si>
  <si>
    <t>TDR = Throughput Disincentive Reconciliation in the current EP</t>
  </si>
  <si>
    <t>5. Short-Term Interest Rate</t>
  </si>
  <si>
    <t>6. Current Tariff Rate</t>
  </si>
  <si>
    <t>6. Actual program cost rate component of the tariff rate</t>
  </si>
  <si>
    <t>(Over)/Under (calculated)</t>
  </si>
  <si>
    <t>Cumulative (Over)/Under (calculated)</t>
  </si>
  <si>
    <t>TD</t>
  </si>
  <si>
    <t>Beginning Over/(Under)</t>
  </si>
  <si>
    <t>TD Rate</t>
  </si>
  <si>
    <t>NEO</t>
  </si>
  <si>
    <t>EO</t>
  </si>
  <si>
    <t>EOR</t>
  </si>
  <si>
    <t>Cycle 2 Program Costs Reconciliation (PCR) Calculation</t>
  </si>
  <si>
    <t>Cycle 2 Throughput Disincentive TD Reconciliation (TDR) Calculation</t>
  </si>
  <si>
    <t>2. Actual Revenues - TD Only</t>
  </si>
  <si>
    <t>1. Actual/Forecasted TD</t>
  </si>
  <si>
    <t>Cycle 2 Projected Throughput Disincentive (PTD) TD Calculation</t>
  </si>
  <si>
    <t>1. Forecasted kWh Sales Impact</t>
  </si>
  <si>
    <t>3. kWh Sales Impact</t>
  </si>
  <si>
    <t>7. Current Tariff Rate</t>
  </si>
  <si>
    <t>4. Actual/Forecasted TD</t>
  </si>
  <si>
    <t>7. Actual TD rate component of the tariff rate</t>
  </si>
  <si>
    <t>Cumulative kWh Sales Impact</t>
  </si>
  <si>
    <t>EO Rate</t>
  </si>
  <si>
    <t>OA Rate</t>
  </si>
  <si>
    <t>PPC-cycle 1</t>
  </si>
  <si>
    <t>PTD-cycle 1</t>
  </si>
  <si>
    <t>PPC-cycle 2</t>
  </si>
  <si>
    <t>PTD-cycle 2</t>
  </si>
  <si>
    <t>PCR-cycle 1</t>
  </si>
  <si>
    <t>TDR-cycle 1</t>
  </si>
  <si>
    <t>PCR-cycle 2</t>
  </si>
  <si>
    <t>TDR-cycle 2</t>
  </si>
  <si>
    <t>EO-cycle 1</t>
  </si>
  <si>
    <t>EOR-cycle 1</t>
  </si>
  <si>
    <t>1. Ordered Adjustment</t>
  </si>
  <si>
    <t>2. Carrying Costs on OA</t>
  </si>
  <si>
    <t>1. Actual/Forecasted Earnings Opportunity</t>
  </si>
  <si>
    <t>2. Actual Revenues - EO Only</t>
  </si>
  <si>
    <t>3. Actual/Forecasted EO Amortization</t>
  </si>
  <si>
    <t>2. Actual Revenues - OA Only</t>
  </si>
  <si>
    <t>1. Actual/Forecasted Ordered Adjustments</t>
  </si>
  <si>
    <t>3. Actual/Forecasted Ordered Adjustments</t>
  </si>
  <si>
    <t>OA-cycle 2</t>
  </si>
  <si>
    <t>OAR-cycle 2</t>
  </si>
  <si>
    <t>6. Actual EO rate component of the tariff rate</t>
  </si>
  <si>
    <t>Cycle 2 Ordered Adjustments Reconciliation (OAR) Calculation</t>
  </si>
  <si>
    <t>Cycle 2 Ordered Adjustment (OA) Calculation</t>
  </si>
  <si>
    <t>Cycle 2 Earnings Opportunity (EO) Calculation</t>
  </si>
  <si>
    <t>5. Total Earnings Opportunity plus Carrying Costs</t>
  </si>
  <si>
    <t>1. Total Earnings Opportunity</t>
  </si>
  <si>
    <t>2. EO TD Ex Post Gross Adjustment</t>
  </si>
  <si>
    <t>4. Carrying Costs @ AFUDC Rate</t>
  </si>
  <si>
    <t>EO-cycle 2</t>
  </si>
  <si>
    <t>3. EO TD NTG Adjustment</t>
  </si>
  <si>
    <t>6. Amortization Over 24 Month Recovery Period</t>
  </si>
  <si>
    <t>EOR-cycle 2</t>
  </si>
  <si>
    <t>Non-Residential SGS</t>
  </si>
  <si>
    <t>Non-Residential MGS</t>
  </si>
  <si>
    <t>Non-Residential LGS</t>
  </si>
  <si>
    <t>Non-Residential LPS</t>
  </si>
  <si>
    <t>Cycle 2 kWh Participation</t>
  </si>
  <si>
    <t>Total Non-Residential</t>
  </si>
  <si>
    <t>Cycle 3 Projected Program Costs (PPC) Calculation</t>
  </si>
  <si>
    <t>Cycle 3 Projected Throughput Disincentive (PTD) TD Calculation</t>
  </si>
  <si>
    <t>PPC-cycle 3</t>
  </si>
  <si>
    <t>PTD-cycle 3</t>
  </si>
  <si>
    <t>EO-cycle 3</t>
  </si>
  <si>
    <t>OA-cycle 3</t>
  </si>
  <si>
    <t>PCR-cycle 3</t>
  </si>
  <si>
    <t>TDR-cycle 3</t>
  </si>
  <si>
    <t>EOR-cycle 3</t>
  </si>
  <si>
    <t>OAR-cycle 3</t>
  </si>
  <si>
    <t>7. Cycle 2 kWh Participation</t>
  </si>
  <si>
    <t>6. Short-Term Interest Rate</t>
  </si>
  <si>
    <t>8. Cycle 2 kWh Participation</t>
  </si>
  <si>
    <t>6. Actual OA rate component of the tariff rate</t>
  </si>
  <si>
    <t>Cycle 2</t>
  </si>
  <si>
    <t>Cycle 3</t>
  </si>
  <si>
    <t>Total DSIM</t>
  </si>
  <si>
    <t>NOA ($/kWh)</t>
  </si>
  <si>
    <t>NEO ($/kWh)</t>
  </si>
  <si>
    <t>NTD ($/kWh)</t>
  </si>
  <si>
    <t>NPC ($/kWh)</t>
  </si>
  <si>
    <t>Rate Schedule</t>
  </si>
  <si>
    <t>Non-Residential - SGS</t>
  </si>
  <si>
    <t>Non-Residential - MGS</t>
  </si>
  <si>
    <t>Non-Residential - LGS</t>
  </si>
  <si>
    <t>Non-Residential - LPS</t>
  </si>
  <si>
    <t>Cycle 3 Program Costs Reconciliation (PCR) Calculation</t>
  </si>
  <si>
    <t>1. Allocated Actual Program Costs</t>
  </si>
  <si>
    <t>Cycle 3 Throughput Disincentive TD Reconciliation (TDR) Calculation</t>
  </si>
  <si>
    <t>Cycle 2 Earnings Opportunity Reconciliation (EOR) Calculation</t>
  </si>
  <si>
    <t>PTD = Projected Throughput Disincentive in the upcoming EP plus the succeeding EP</t>
  </si>
  <si>
    <t>PPC = Projected Program Costs in the upcoming EP plus the succeeding EP</t>
  </si>
  <si>
    <t>EO = Earnings Opportunity amortized in the upcoming EP plus the succeeding EP</t>
  </si>
  <si>
    <t>EOR = Earnings Opportunity Reconciliation in the current EP</t>
  </si>
  <si>
    <t>OAR = Ordered Adjustment Reconciliation in the current EP</t>
  </si>
  <si>
    <t>NTD = Net Throughput Disincentive for the upcoming EP plus the succeeding EP (PTD + TDR)</t>
  </si>
  <si>
    <t>NPC = Net Program Costs for the upcoming EP plus the succeeding EP (PPC + PCR)</t>
  </si>
  <si>
    <t>NEO = Net Earnings Opportunity for the upcoming EP plus the succeeding EP (EO + EOR)</t>
  </si>
  <si>
    <t>Res</t>
  </si>
  <si>
    <t>SGS</t>
  </si>
  <si>
    <t>MGS</t>
  </si>
  <si>
    <t>LGS</t>
  </si>
  <si>
    <t>LPS</t>
  </si>
  <si>
    <t>DSIM ($/kWh)</t>
  </si>
  <si>
    <t>Cycle 2 - Total</t>
  </si>
  <si>
    <t>1. Total Earnings Opportunity - Source: Metro EO Calculation PY1-PY3 v2.xlsx, Metro EO Calculation PY4.xlsx</t>
  </si>
  <si>
    <t>5. Total Earnings Opportunity plus Carrying Costs - Source: Sum of Columns 1. through 4.</t>
  </si>
  <si>
    <t>1.  Actual monthly EO - Source: Sum of Line 3.
    Forecasted monthly EO - Source: Sum of Line 3.</t>
  </si>
  <si>
    <t>Cycle 3 - Total</t>
  </si>
  <si>
    <t>Cycle 3 Earnings Opportunity (EO) Calculation</t>
  </si>
  <si>
    <t>6. Amortization Over 12 Month Recovery Period</t>
  </si>
  <si>
    <t>Cycle 2 - Program Years 1 to 3 (including EO TD Adjustments through March 2019) (Amortize March 2020-February 2022)</t>
  </si>
  <si>
    <t>Cycle 2 - Program Year 4 (including EO TD Adjustments April 2019 to December 2021) (Amortize February 2021-January 2023)</t>
  </si>
  <si>
    <t>Cycle 2 - EO TD Adjustments January - November 2022 (Amortize August 2021-July 2023)</t>
  </si>
  <si>
    <t>Cycle 2 - EO TD Adjustments Carrying Costs May - October 2022 (Amortize February 2022-January 2024)</t>
  </si>
  <si>
    <t>Cycle 3 - Program Year 1 (including EO TD Adjustments through October 2021) (Amortize February 2022-January 2023)</t>
  </si>
  <si>
    <t>Cycle 3 Earnings Opportunity Reconciliation (EOR) Calculation</t>
  </si>
  <si>
    <t>Cycle 2 - EO TD Adjustments Carrying Costs November 2021 - April 2022 (Amortize August 2022-July 2024)</t>
  </si>
  <si>
    <t>Cycle 3 - Program Year 1 EO TD Adjustments November 2021 - April 2022 (Amortize August 2022 - July 2023)</t>
  </si>
  <si>
    <t>1. &amp; 3. Actual monthly Ordered Adjustments - Source: None</t>
  </si>
  <si>
    <t>Cycle 3 Ordered Adjustment (OA) Calculation</t>
  </si>
  <si>
    <t>Cycle 3 Ordered Adjustments Reconciliation (OAR) Calculation</t>
  </si>
  <si>
    <t>2. Forecasted Throughput Disincentive - Source: None, TD reset effective December 2022</t>
  </si>
  <si>
    <t>1. Ordered Adjustment - Program Costs</t>
  </si>
  <si>
    <t>2. Ordered Adjustment - Throughput Disincentive</t>
  </si>
  <si>
    <t>3. Carrying Costs on OA</t>
  </si>
  <si>
    <t>Cycle 2 - EO TD Adjustments Carrying Costs May 2022 - November 2022 (Amortize February 2023-January 2025)</t>
  </si>
  <si>
    <t>Cycle 3 - Program Year 1 EO TD Adjustments May 2022 - November 2022 (Amortize February 2023 - January 2024)</t>
  </si>
  <si>
    <t>Allocation</t>
  </si>
  <si>
    <t>Cycle 3 - Program Year 2 (including EO TD Adjustments through December 2022) (Amortize August 2023-July 2024)</t>
  </si>
  <si>
    <t>Cycle 2 - EO TD Adjustments December 2022 (Amortize August 2023-July 2025)</t>
  </si>
  <si>
    <t>7. Cycle 2 kWh Participation - Source: Metro Cycle 2 Monthly TD Calc 122022 01092023.xlsx</t>
  </si>
  <si>
    <t>8. Cycle 2 kWh Participation - Source: Metro Cycle 2 Monthly TD Calc 122022 01092023.xlsx</t>
  </si>
  <si>
    <t>3. Actual/Forecasted EO Amortization - Source:  EO Cycle 2 tab column G divided by remaining months on EO Cycle 2 tab.</t>
  </si>
  <si>
    <t>3. Actual/Forecasted EO Amortization - Source:  EO Cycle 3 tab column G divided by remaining months on EO Cycle 3 tab.</t>
  </si>
  <si>
    <t>NOA = Net Ordered Adjustment for the upcoming EP plus the succeeding EP (OA + OAR)</t>
  </si>
  <si>
    <t xml:space="preserve">PE = Projected Energy, in kWh to be delivered during the upcoming RP plus the succeeding RP </t>
  </si>
  <si>
    <t>1. Actual monthly program costs allocated to customer classes: Residential, Small General Service, Medium General Service, Large General Service and Large Power Service - Source: None
    Forecasted monthly program costs allocated to customer classes: Residential, Small General Service, Medium General Service, Large General Service and Large Power Service - Source: None</t>
  </si>
  <si>
    <t>Tab</t>
  </si>
  <si>
    <t>Tariff Tables</t>
  </si>
  <si>
    <t>Summary Description</t>
  </si>
  <si>
    <t>Summary of Sources</t>
  </si>
  <si>
    <t>Program Costs, Throughput Disincentive, Earnings Opportunity and Ordered Adjustments from subsidiary tabs listed below</t>
  </si>
  <si>
    <t>DSIM Cycle Tables</t>
  </si>
  <si>
    <t>Analysis of DSIM rates by Customer Class by MEEIA Cycle and Cost Components</t>
  </si>
  <si>
    <t>Tariff Tables tab</t>
  </si>
  <si>
    <t>PPC Cycle 3</t>
  </si>
  <si>
    <t>PCR Cycle 2</t>
  </si>
  <si>
    <t>PCR Cycle 3</t>
  </si>
  <si>
    <t>PTD Cycle 2</t>
  </si>
  <si>
    <t>PTD Cycle 3</t>
  </si>
  <si>
    <t>TDR Cycle 2</t>
  </si>
  <si>
    <t>TDR Cycle 3</t>
  </si>
  <si>
    <t>The Company analyzes monthly DSIM rider revenues billed by customer class and DSIM cost component per the DSIM tariffs (PPC, PCR, PTD, TDR, EO, EOR, OA and OAR). Interest is calculated on the over or under recovered Program Costs at the short-term borrowing rates defined in the DSIM tariffs.</t>
  </si>
  <si>
    <t>The Company analyzes monthly DSIM rider revenues billed by MEEIA Cycle, customer class and DSIM cost component per the DSIM tariffs (PPC, PCR, PTD, TDR, EO, EOR, OA and OAR). Each month the Company analyzes actual program costs by program which are mapped or allocated to customer classes.  Monthly DSIM rider revenues billed are compared to actual Program Costs to determine current over or under recovery which is accumulated by customer class.  Interest is calculated on the over or under recovered Program Costs at the short-term borrowing rates defined in the DSIM tariffs.</t>
  </si>
  <si>
    <t>EO Cycle 2</t>
  </si>
  <si>
    <t>EO Cycle 3</t>
  </si>
  <si>
    <t>EOR Cycle 2</t>
  </si>
  <si>
    <t>EOR Cycle 3</t>
  </si>
  <si>
    <t>OA Cycle 2</t>
  </si>
  <si>
    <t>OA Cycle 3</t>
  </si>
  <si>
    <t>OAR Cycle 2</t>
  </si>
  <si>
    <t>OAR Cycle 3</t>
  </si>
  <si>
    <t>The Company analyzes monthly DSIM rider revenues billed by customer class and DSIM cost component per the DSIM tariffs (PPC, PCR, PTD, TDR, EO, EOR, OA and OAR). Interest is calculated on the over or under recovered Ordered Adjustments at the short-term borrowing rates defined in the DSIM tariffs.</t>
  </si>
  <si>
    <t>1. Ordered Adjustment - Source: None</t>
  </si>
  <si>
    <t>2. Carrying Costs on OA - Source: None</t>
  </si>
  <si>
    <t>The Company analyzes monthly DSIM rider revenues billed by customer class and DSIM cost component per the DSIM tariffs (PPC, PCR, PTD, TDR, EO, EOR, OA and OAR). Pursuant to DSIM tariffs the Company calculates monthly Throughput Disincentive for Cycle 3 based on cumulative reported deemed kWh savings by MEEIA program and customer class, monthly loadshapes per program, current margin rates per customer class and Net to Gross (NTG) Factors in the tariff. As noted above, Cycle 3 Throughput Disincentive was adjusted after December 2022 to reflect the cumulative kWh savings through the true-up date of the recent rate cases (May 31, 2023) and updated margin rates concurrent with the new rates effective in January 2023. Interest is calculated on the over or under recovered Throughput Disincentive at the short-term borrowing rates defined in the DSIM tariffs.</t>
  </si>
  <si>
    <t>The Company analyzes monthly DSIM rider revenues billed by customer class and DSIM cost component per the DSIM tariffs (PPC, PCR, PTD, TDR, EO, EOR, OA and OAR). Pursuant to DSIM tariffs the Company calculates monthly Throughput Disincentive for Cycle 2 based on cumulative reported deemed kWh savings by MEEIA program and customer class, monthly loadshapes per program, current margin rates per customer class and Net to Gross (NTG) Factors in the tariff. As noted above, Cycle 2 Throughput Disincentive was reset to zero after December 2022 concurrent with the new rates effective in January 2023. Interest is calculated on the over or under recovered Throughput Disincentive at the short-term borrowing rates defined in the DSIM tariffs.</t>
  </si>
  <si>
    <t>The Company analyzes monthly DSIM rider revenues billed by customer class and DSIM cost component per the DSIM tariffs (PPC, PCR, PTD, TDR, EO, EOR, OA and OAR). Pursuant to the DSIM tariffs Earnings Opportunity, including EO TD Adjustments are amortized over 24 months. Interest is calculated on the over or under recovered Earnings Opportunity at the short-term borrowing rates defined in the DSIM tariffs.</t>
  </si>
  <si>
    <t>The Company analyzes monthly DSIM rider revenues billed by customer class and DSIM cost component per the DSIM tariffs (PPC, PCR, PTD, TDR, EO, EOR, OA and OAR). Pursuant to the DSIM tariffs Earnings Opportunity, including EO TD Adjustments are amortized over 12 months. Interest is calculated on the over or under recovered Earnings Opportunity at the short-term borrowing rates defined in the DSIM tariffs.</t>
  </si>
  <si>
    <t>Earnings Opportunity awards are calculated for each program year following the finalization of the Evaluation, Measurement &amp; Verification (EM&amp;V) by applying the EO Matrix in the DSIM tariffs to the evaluated, net verified kWh and kW savings and other factors.  Additionally, the EO TD Ex Post Gross and Net to Gross Adjustments are calculated by recomputing Throughput Disincentive using the EM&amp;V reported kWh savings with carrying costs.  These calculated amounts are amortized into the DSIM rates over 24 months. This update includes Cycle 2 EO TD Adjustments with carrying costs through December 2022 as noted in the Throughput Disincentive calculation above plus continued amortization of previously reported amounts from prior updates as appropriate.</t>
  </si>
  <si>
    <t>1. Ordered Adjustment - Program Costs - Source: None</t>
  </si>
  <si>
    <t>2. Ordered Adjustment - Throughput Disincentive - Source: None</t>
  </si>
  <si>
    <t>3. Carrying Costs on OA - Source: None</t>
  </si>
  <si>
    <t>1. Forecasted kWh savings by customer classes: Residential, Small General Service, Medium General Service, Large General Service and Large Power Service - Source: None, TD reset effective December 2022</t>
  </si>
  <si>
    <t>3. Actual kWh Sales Impact - Source:  None, TD reset effective December 2022
    Forecasted kWh Sales Impact - Source: None</t>
  </si>
  <si>
    <t>1. &amp; 4. Actual monthly TD - Source: None, TD reset effective December 2022
    Forecasted monthly TD - Source: None, TD reset effective December 2022</t>
  </si>
  <si>
    <t>2. EO TD Ex Post Gross Adjustment -  Source: TD Model Metro PY1-3 122022.xlsx, TD Model PY4 122022.xlsx. These are final amounts as reported in 6/1/2023 filing.</t>
  </si>
  <si>
    <t>3. EO TD NTG Adjustment -  Source: TD Model Metro PY1-3 122022.xlsx, TD Model PY4 122022.xlsx. Theses are final amounts as reported in 6/1/2023 filing.</t>
  </si>
  <si>
    <t>4. Carrying Costs @ AFUDC Rate -  Source: TD Model Metro PY1-3 122022.xlsx, TD Model PY4 122022.xlsx. These are final amounts as reported in 6/1/2023 filing.</t>
  </si>
  <si>
    <t>Cycle 3 - Program Year 1 EO TD Adjustments December 2022 - April 2023 (Amortize February 2024 - January 2025)</t>
  </si>
  <si>
    <t>Cycle 3 - Program Year 3 (including EO TD Adjustments through October 2023) (Amortize February 2024 -January 2025)</t>
  </si>
  <si>
    <t>2. EO TD Ex Post Gross Adjustment -  Source: Metro Cycle 3 PY1 EO TD Adj Calc.xlsx, Metro Cycle 3 PY2 EO TD Adj Calc.xlsx, Metro Cycle 3 PY3 EO TD Adj Calc.xlsx</t>
  </si>
  <si>
    <t>3. EO TD NTG Adjustment -  Source: Metro Cycle 3 PY1 EO TD Adj Calc.xlsx, Metro Cycle 3 PY2 EO TD Adj Calc.xlsx, Metro Cycle 3 PY3 EO TD Adj Calc.xlsx</t>
  </si>
  <si>
    <t>4. Carrying Costs @ AFUDC Rate -  Source: Metro Cycle 3 PY1 EO TD Adj Calc.xlsx, Metro Cycle 3 PY2 EO TD Adj Calc.xlsx, Metro Cycle 3 PY3 EO TD Adj Calc.xlsx</t>
  </si>
  <si>
    <t>Cycle 2 Throughput Disincentive was reset to zero after December 2022 concurrent with the new retail rates effective in January 2023. Interest is calculated on the over or under recovered Throughput Disincentive at the short-term borrowing rates defined in the DSIM tariffs.</t>
  </si>
  <si>
    <t>For next rider filing, reversal of Forecast to input in column C</t>
  </si>
  <si>
    <t>PPC-cycle 4</t>
  </si>
  <si>
    <t>PTD-cycle 4</t>
  </si>
  <si>
    <t>EO-cycle 4</t>
  </si>
  <si>
    <t>OA-cycle 4</t>
  </si>
  <si>
    <t>Cycle 4</t>
  </si>
  <si>
    <t>PCR-cycle 4</t>
  </si>
  <si>
    <t>TDR-cycle 4</t>
  </si>
  <si>
    <t>EOR-cycle 4</t>
  </si>
  <si>
    <t>OAR-cycle 4</t>
  </si>
  <si>
    <t>PCR Cycle 4</t>
  </si>
  <si>
    <t>Program Cost Reconciliation for Cycle 4 planning costs through December 2023 compares the DSIM revenues billed for the Cycle 4 cost components to actual planning costs incurred plus the carryforward of under or over recovered Cycle 4 planning costs.</t>
  </si>
  <si>
    <t>Cycle 3 - Program Year 3 EO TD Adjustments November 2023 through April 2024 (Amortize August 2024 - July 2025)</t>
  </si>
  <si>
    <t>1. Total Earnings Opportunity - Source: Metro EO Calculated Cycle 3 PY1.xlsx, Metro EO Calculated Cycle 3 PY2.xlsx, Metro EO Calculated Cycle 3 PY3.xlsx, Metro EO Calculated Cycle 3 PY4.xlsx</t>
  </si>
  <si>
    <t>Cycle 3 - Program Year 4 (Amortize August 2024 -July 2025)</t>
  </si>
  <si>
    <t>Cycle 4 Program Costs Reconciliation (PCR) Calculation</t>
  </si>
  <si>
    <t>3. Actual monthly billed revenues by customer classes: Residential, Small General Service, Medium General Service, Large General Service and Large Power Service (program cost revenues only) - Source: Metro MEEIA 2024 Revenue Analysis.xlsx
    Forecasted monthly billed revenues by customer classes: Residential, Small General Service, Medium General Service, Large General Service and Large Power Service (program cost revenues only) - Source: calculated = Forecasted billed kWh sales X tariff rate</t>
  </si>
  <si>
    <t>2. Actual monthly billed revenues by customer classes: Residential, Small General Service, Medium General Service, Large General Service and Large Power Service (TD revenues only) - Source: Metro MEEIA 2024 Revenue Analysis.xlsx
Forecasted monthly billed revenues by customer classes: Residential, Small General Service, Medium General Service, Large General Service and Large Power Service (TD revenues only) - Source: calculated = Forecasted billed kWh sales X tariff rate</t>
  </si>
  <si>
    <t>3. Actual monthly billed revenues by customer classes: Residential, Small General Service, Medium General Service, Large General Service and Large Power Service (program cost revenues only)  - Source: Metro MEEIA 2024 Revenue Analysis.xlsx
    Forecasted monthly billed revenues by customer classes: Residential, Small General Service, Medium General Service, Large General Service and Large Power Service (program cost revenues only) - Source: calculated = Forecasted billed kWh sales X tariff rate</t>
  </si>
  <si>
    <t>2. Actual monthly billed revenues by customer classes: Residential, Small General Service, Medium General Service, Large General Service and Large Power Service (TD revenues only)  - Source: Metro MEEIA 2024 Revenue Analysis.xlsx
Forecasted monthly billed revenues by customer classes: Residential, Small General Service, Medium General Service, Large General Service and Large Power Service (TD revenues only) - Source: calculated = Forecasted billed kWh sales X tariff rate</t>
  </si>
  <si>
    <t>2. Actual monthly billed revenues by customer classes: Residential, Small General Service, Medium General Service, Large General Service and Large Power Service (EO revenues only)  - Source: Metro MEEIA 2024 Revenue Analysis.xlsx
Forecasted monthly billed revenues by customer classes: Residential, Small General Service, Medium General Service, Large General Service and Large Power Service (EO revenues only) - Source: calculated = Forecasted billed kWh sales X tariff rate</t>
  </si>
  <si>
    <t>2. Actual monthly billed revenues by customer classes: Residential, Small General Service, Medium General Service, Large General Service and Large Power Service (OA revenues only)  - Source: Metro MEEIA 2024 Revenue Analysis.xlsx
Forecasted monthly billed revenues by customer classes: Residential, Small General Service, Medium General Service, Large General Service and Large Power Service (OA revenues only) - Source: calculated = Forecasted billed kWh sales X tariff rate</t>
  </si>
  <si>
    <t>4. Total monthly interest - Source: calculated</t>
  </si>
  <si>
    <t>5. Total monthly interest - Source: calculated</t>
  </si>
  <si>
    <t>2. Forecasted Throughput Disincentive -Sum of 3., 4., and 5.</t>
  </si>
  <si>
    <t>5. Monthly Short-Term Borrowing Rate - Source: none</t>
  </si>
  <si>
    <t>2. Forecasted program costs by customer class - Source: Sum of 3.</t>
  </si>
  <si>
    <t>Calculation of DSIM Rates by Customer Class Effective February 1, 2025 through January 31, 2026</t>
  </si>
  <si>
    <t>Projected Program Costs for Cycle 3 for the period January 2025 through December 2025 and projected billed kWh sales for the period February 2025 through January 2026</t>
  </si>
  <si>
    <t>The Company updates a forecast of program costs and throughput disincentive, among other items, based on actual reported results through October 2024 and forecasted results through the remainder of Cycle 3. Program costs by customer class are summarized from that forecast. Projected billed kWh sales by customer class (net of opt outs) are extracted from the Company budget.</t>
  </si>
  <si>
    <t>Program Cost Reconciliation for Cycle 2 for the period May 2024 through October 2024 compares the DSIM revenues billed for the Cycle 2 cost components to the carryforward of under or over recovered Cycle 2 Program Costs.</t>
  </si>
  <si>
    <t>Projected Throughput Disincentive for Cycle 2 for the period January 2025 through December 2025.</t>
  </si>
  <si>
    <t>Projected Throughput Disincentive for Cycle 2 for the period January 2025 through December 2025 are zero due to the rebasing of cumulative kWh savings in the most recent rates effective January 2023.</t>
  </si>
  <si>
    <t>Projected Throughput Disincentive for Cycle 3 for the period January 2025 through December 2025</t>
  </si>
  <si>
    <t xml:space="preserve">The Company updates a forecast of program costs and throughput disincentive, among other items, based on actual reported results through October 2024 and forecasted results through the remainder of Cycle 3. Throughput Disincentive by customer class is summarized from that forecast. </t>
  </si>
  <si>
    <t>Throughput Disincentive Reconciliation for Cycle 3 for the period May 2024 through October 2024 compares the DSIM revenues billed for the Cycle 3 cost components to calculated Throughput Disincentive for Cycle 3 and the carryforward of under or over recovered Cycle 3 Throughput Disincentive.</t>
  </si>
  <si>
    <t>Earnings Opportunity Cycle 2, including EO TD Ex Post Gross and Net to Gross Adjustments (EO TD Adjustments) for the period January 2025 through December 2025</t>
  </si>
  <si>
    <t>Earnings Opportunity Reconciliation for Cycle 2 for the period May 2024 through October 2024 compares the DSIM revenues billed for the Cycle 2 cost components to amortization of EO Cycle 2 above and the carryforward of under or over recovered Cycle 2 Earnings Opportunity.</t>
  </si>
  <si>
    <t>Ordered Adjustments for Cycle 2 for the period January 2025 through December 2025</t>
  </si>
  <si>
    <t>None - There were no additional Ordered Adjustments for Cycle 2 for the period January 2025 through December 2025</t>
  </si>
  <si>
    <t>Ordered Adjustments for Cycle 3 for the period January 2025 through December 2025</t>
  </si>
  <si>
    <t>None - There were no additional Ordered Adjustments for Cycle 3 for the period January 2025 through December 2025</t>
  </si>
  <si>
    <t>Ordered Adjustments Reconciliation for Cycle 2 for the period May 2024 through October 2024 compares the DSIM revenues billed for the Cycle 2 cost components to the carryforward of under or over recovered Cycle 2 Ordered Adjustments.</t>
  </si>
  <si>
    <t>Ordered Adjustments Reconciliation for Cycle 3 for the period May 2024 through October 2024 compares the DSIM revenues billed for the Cycle 3 cost components to the carryforward of under or over recovered Cycle 3 Ordered Adjustments.</t>
  </si>
  <si>
    <t>Evergy Metro, Inc. - DSIM Rider Update Filed 12/01/2024</t>
  </si>
  <si>
    <t>Projections for Cycle 3 January 2025 - December 2025 DSIM</t>
  </si>
  <si>
    <t>3. Cycle 3 PY5 Extension- January 2025 - December 2025</t>
  </si>
  <si>
    <t>Cumulative Over/Under Carryover From 06/01/2024 Filing</t>
  </si>
  <si>
    <t>Reverse May 2024 - July 2024 Forecast From 06/01/2024 Filing</t>
  </si>
  <si>
    <t>5. Monthly Short-Term Borrowing Rate - Source: Metro ST Borrowing Rates May24-Oct24.xlsx</t>
  </si>
  <si>
    <t>6. Monthly Short-Term Borrowing Rate - Source: Metro ST Borrowing Rates May24-Oct24.xlsx</t>
  </si>
  <si>
    <t>2. Actual monthly billed revenues by customer classes: Residential, Small General Service, Medium General Service, Large General Service and Large Power Service (EO revenues only) - Metro MEEIA 2024 Revenue Analysis.xlsx
Forecasted monthly billed revenues by customer classes: Residential, Small General Service, Medium General Service, Large General Service and Large Power Service (EO revenues only) - Source: calculated = Forecasted billed kWh sales X tariff rate</t>
  </si>
  <si>
    <t>(A)</t>
  </si>
  <si>
    <t>1. &amp; 4. Actual monthly TD - Source: Metro Cycle 3 Monthly TD Calc 102024 11182024- for forecast.xlsx
    Forecasted monthly TD  - Source: Metro Cycle 3 Monthly TD Calc 102024 11182024- for forecast.xlsx</t>
  </si>
  <si>
    <t>3 &amp; 4. Actual kWh Sales Impact and TD - Source: Metro Cycle 3 Monthly TD Calc 102024 11182024- for forecast.xlsx
    Forecasted kWh Sales Impact and TD - Source: Metro Cycle 3 Monthly TD Calc 102024 11182024- for forecast.xlsx</t>
  </si>
  <si>
    <t>Cycle 4 Projected Throughput Disincentive (PTD) TD Calculation</t>
  </si>
  <si>
    <t>1. Forecasted kWh savings by customer classes: Residential, Small General Service, Medium General Service, Large General Service and Large Power Service - Source: Metro Cycle 3 Monthly TD Calc 102024 11182024- for forecast.xlsx</t>
  </si>
  <si>
    <t>3. Forecasted Throughput Disincentive - Source: Metro Cycle 3 Monthly TD Calc 102024 11182024- for forecast.xlsx</t>
  </si>
  <si>
    <t>4. Forecasted Throughput Disincentive - Source: Metro Cycle 3 Monthly TD Calc 102024 11182024- for forecast.xlsx</t>
  </si>
  <si>
    <t>5. Forecasted Throughput Disincentive - Source: Metro Cycle 3 Monthly TD Calc 102024 11182024- for forecast.xlsx</t>
  </si>
  <si>
    <t>5. Cycle 3 Forecast- January 2025 - December 2025</t>
  </si>
  <si>
    <t>4. Cycle 3 Extension - January 2025 - December 2025</t>
  </si>
  <si>
    <t>Cycle 4 Projected Program Costs (PPC) Calculation</t>
  </si>
  <si>
    <t>3. Cycle 4 PY1- January 2025 - December 2025</t>
  </si>
  <si>
    <t>Cycle 4 - Total</t>
  </si>
  <si>
    <t>Cycle 4 Earnings Opportunity (EO) Calculation</t>
  </si>
  <si>
    <t xml:space="preserve">1. Total Earnings Opportunity - Source: </t>
  </si>
  <si>
    <t xml:space="preserve">2. EO TD Ex Post Gross Adjustment -  Source: </t>
  </si>
  <si>
    <t xml:space="preserve">3. EO TD NTG Adjustment -  Source: </t>
  </si>
  <si>
    <t xml:space="preserve">4. Carrying Costs @ AFUDC Rate -  Source: </t>
  </si>
  <si>
    <t xml:space="preserve">6. Amortization Over 12 Month Recovery Period - Source: </t>
  </si>
  <si>
    <t>Projections for Cycle 4 January 2025 - December 2025 DSIM</t>
  </si>
  <si>
    <t>1. Actual monthly program costs allocated to customer classes: Residential, Small General Service, Medium General Service, Large General Service and Large Power Service - Source: n/a</t>
  </si>
  <si>
    <t>Cycle 4 - Program Year 1 through December 2025 (Amortize February 2027-January 2028)</t>
  </si>
  <si>
    <t>Cycle 4 - Program Year 2 through December 2026 (Amortize February 2028-January 2029)</t>
  </si>
  <si>
    <t>Cycle 4 - Program Year 3 through December 2027 (Amortize February 2029-January 2030)</t>
  </si>
  <si>
    <t>1. Actual monthly program costs allocated to customer classes: Residential, Small General Service, Medium General Service, Large General Service and Large Power Service - Source: 05 2024 Metro Spend Allocations Worksheet FINAL.xlsx, 06 2024 Metro Spend Allocations Worksheet FINAL.xlsx, 07 2024 Metro Spend Allocations Worksheet FINAL.xlsx, 08 2024 Metro Spend Allocations Worksheet FINAL.xlsx, 09 2024 Metro Spend Allocations Worksheet FINAL.xlsx, 10 2024 Metro Spend Allocations Worksheet FINAL.xlsx
    Forecasted monthly program costsallocated to customer classes: Residential, Small General Service, Medium General Service, Large General Service and Large Power Service - Source: Metro Program Costs by Customer Class 2024 Ext 112024-062025.xlsx</t>
  </si>
  <si>
    <t>3. Forecasted program costs by customer class - Source: Metro Program Costs by Customer Class 2024 Ext 112024-062025.xlsx</t>
  </si>
  <si>
    <t>PPC Cycle 4</t>
  </si>
  <si>
    <t>Projected Program Costs for Cycle 4 for the period January 2025 through December 2025 and projected billed kWh sales for the period February 2025 through January 2026</t>
  </si>
  <si>
    <t>PTD Cycle 4</t>
  </si>
  <si>
    <t>Projected Throughput Disincentive for Cycle 4 for the period January 2025 through December 2025</t>
  </si>
  <si>
    <t>The Company creates a forecast of program costs and throughput disincentive, among other items, based on modeled assumptions used for the MEEIA 4 filing (EO-2023-0369). Program costs by customer class is summarized from that forecast. Projected billed kWh sales by customer class (net of opt outs) are extracted from the Company budget.</t>
  </si>
  <si>
    <t xml:space="preserve">The Company updates a forecast of program costs and throughput disincentive, among other items, based on modeled assumptions used for the MEEIA 4 filing (EO-2023-0369). Throughput Disincentive by customer class is summarized from that forecast. </t>
  </si>
  <si>
    <t>Earnings Opportunity Reconciliation for Cycle 3 for the period May 2024 through October 2024 compares the DSIM revenues billed for the Cycle 3 cost components to amortization of EO Cycle 3 above and the carryforward of under or over recovered Cycle 3 Earnings Opportunity.</t>
  </si>
  <si>
    <t>(A) PY3 retroactive EO TD correction to PAYS average measure life from 1 year to 13 years</t>
  </si>
  <si>
    <t>Cycle 3 - Program Year 3 EO TD Adjustments May 2024 through Oct 2024 (Amortize February 2025 - January 2026)</t>
  </si>
  <si>
    <t>1. Forecasted kWh by  Residential, Small General Service, Medium General Service, Large General Service and Large Power Service (Reduced for Opt-Out) - Source: Billed kWh projection 20241120- Metro.xlsx</t>
  </si>
  <si>
    <t>2. Actual monthly kWh billed sales by customer classes: Residential, Small General Service, Medium General Service, Large General Service and Large Power Service (reduced for opt-out) - Source: Metro MEEIA 2024 Revenue Analysis.xlsx
    Forecasted monthly kWh billed sales by customer classes: Residential, Small General Service, Medium General Service, Large General Service and Large Power Service (reduced for opt-out) - Source: Billed kWh projection 20241120- Metro.xlsx</t>
  </si>
  <si>
    <t>Program Cost Reconciliation for Cycle 3 for the period May 2024 through October 2024 compares the DSIM revenues billed for the Cycle 3 cost components to actual program costs incurred plus the carryforward of under or over recovered Cycle 3 Program Costs.</t>
  </si>
  <si>
    <t>Earnings Opportunity Cycle 3, including EO TD Ex Post Gross and Net to Gross Adjustments (EO TD Adjustments) for the period January 2025 through December 2025</t>
  </si>
  <si>
    <t>6. Amortization Over 24 Month Recovery Period - Source: 
- EO TD Adjustments Carrying Costs May 2022 - November 2022 Column 5 divided by 24 times 1
- EO TD Adjustments December 2022 Column 5 divided by 24 times 7</t>
  </si>
  <si>
    <t>6. Amortization Over 12 Month Recovery Period - Source: Column 5
- Program Year 1 EO TD Adjustments December 2022 - April 2023 divided by 12 times 1 month in forecast period
- Program Year 3 including EO TD Adjustments through October 2023 divided by 12 times 1 month in forecast period
- Program Year 3 EO TD Adjustments November 2023 through April 2024 divided by 12 times 7 months in forecast period
- Program Year 3 EO TD Adjustments May 2024 through October 2024 divided by 12 times 11 months in forecast period
- Program Year 4 through April 2024 divided by 12 times 7 months in forecast period</t>
  </si>
  <si>
    <t>2. Forecasted Throughput Disincentive -Sum of 3.</t>
  </si>
  <si>
    <t>3. Forecasted program costs by customer class - Source: CONF_MEEIA 4 Portfolio Analysis 11052024 SXM- Metro new 11222024.xlsx</t>
  </si>
  <si>
    <t>1. Forecasted kWh savings by customer classes: Residential, Small General Service, Medium General Service, Large General Service and Large Power Service - Source: CONF_MEEIA 4 Portfolio Analysis 11052024 SXM- Metro new 11222024.xlsx</t>
  </si>
  <si>
    <t>3. Forecasted Throughput Disincentive - Source: CONF_MEEIA 4 Portfolio Analysis 11052024 SXM- Metro new 11222024.xlsx</t>
  </si>
  <si>
    <t>(A) Retroactive adjustments to actual TD from December 2023 through April 2024- During the EM&amp;V process for Program Year 4 (2023), it was identified that LED and smart thermostat deemed kWh savings were incorrectly claimed. As a result, ineligible deemed kWh savings totaling 25,627 were reversed from December 2023 and prospective actual TD and carrying costs were recalculated.</t>
  </si>
  <si>
    <t>Earnings Opportunity awards are calculated for Cycle 3 program years 1-3 following the finalization of the Evaluation, Measurement &amp; Verification (EM&amp;V) by applying the EO Matrix in the DSIM tariffs to the evaluated, net verified kWh and kW savings and other factors.  Earnings Opportunity awards are calculated for Cycle 3 program years 4-5 by applying the EO Matrix in the DSIM tariffs based on each program year's respective spend and demand response events. Additionally, the EO TD Ex Post Gross and Net to Gross Adjustments are calculated by recomputing Throughput Disincentive using the EM&amp;V reported kWh savings with carrying costs.  These calculated amounts are amortized into the DSIM rates over 12 months. This update includes Cycle 3 Earnings Opportunity for program year 3 (2022) based on the final EM&amp;V results approved in  EO TD Adjustments with carrying costs through October 2024 plus continued amortization of previously reported amounts from prior updates as appropriate.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</si>
</sst>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yy;@"/>
    <numFmt numFmtId="165" formatCode="_(&quot;$&quot;* #,##0_);_(&quot;$&quot;* \(#,##0\);_(&quot;$&quot;* &quot;-&quot;??_);_(@_)"/>
    <numFmt numFmtId="166" formatCode="&quot;$&quot;#,##0.00"/>
    <numFmt numFmtId="167" formatCode="_(* #,##0_);_(* \(#,##0\);_(* &quot;-&quot;??_);_(@_)"/>
    <numFmt numFmtId="168" formatCode="0.000%"/>
    <numFmt numFmtId="169" formatCode="0.0000%"/>
    <numFmt numFmtId="170" formatCode="_(&quot;$&quot;* #,##0.00000_);_(&quot;$&quot;* \(#,##0.00000\);_(&quot;$&quot;* &quot;-&quot;?????_);_(@_)"/>
    <numFmt numFmtId="171" formatCode="0.000000%"/>
    <numFmt numFmtId="172" formatCode="_(&quot;$&quot;* #,##0.0000000_);_(&quot;$&quot;* \(#,##0.0000000\);_(&quot;$&quot;* &quot;-&quot;_);_(@_)"/>
    <numFmt numFmtId="173" formatCode="mm/dd/yy;@"/>
    <numFmt numFmtId="174" formatCode="_(* #,##0.000000_);_(* \(#,##0.000000\);_(* &quot;-&quot;??_);_(@_)"/>
    <numFmt numFmtId="175" formatCode="#,##0.00000_);\(#,##0.00000\)"/>
    <numFmt numFmtId="176" formatCode="0.0%"/>
    <numFmt numFmtId="177" formatCode="_(&quot;$&quot;* #,##0.0000_);_(&quot;$&quot;* \(#,##0.0000\);_(&quot;$&quot;* &quot;-&quot;??_);_(@_)"/>
    <numFmt numFmtId="178" formatCode="mmm\-yyyy"/>
    <numFmt numFmtId="179" formatCode="_(&quot;$&quot;* #,##0.00_);_(&quot;$&quot;* \(#,##0.00\);_(&quot;$&quot;* &quot;-&quot;_);_(@_)"/>
  </numFmts>
  <fonts count="49"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b/>
      <u/>
      <sz val="11"/>
      <color theme="1"/>
      <name val="Calibri"/>
      <family val="2"/>
      <scheme val="minor"/>
    </font>
    <font>
      <sz val="10"/>
      <color theme="1"/>
      <name val="Courier New"/>
      <family val="3"/>
    </font>
    <font>
      <sz val="10"/>
      <color rgb="FF000000"/>
      <name val="Courier New"/>
      <family val="3"/>
    </font>
    <font>
      <sz val="10"/>
      <name val="Arial"/>
      <family val="2"/>
    </font>
    <font>
      <b/>
      <sz val="11"/>
      <color rgb="FF3F3F3F"/>
      <name val="Calibri"/>
      <family val="2"/>
      <scheme val="minor"/>
    </font>
    <font>
      <b/>
      <sz val="11"/>
      <color rgb="FFFA7D00"/>
      <name val="Calibri"/>
      <family val="2"/>
      <scheme val="minor"/>
    </font>
    <font>
      <sz val="11"/>
      <color rgb="FFFA7D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FF0000"/>
      <name val="Calibri"/>
      <family val="2"/>
      <scheme val="minor"/>
    </font>
    <font>
      <sz val="11"/>
      <color theme="0"/>
      <name val="Calibri"/>
      <family val="2"/>
      <scheme val="minor"/>
    </font>
    <font>
      <sz val="11"/>
      <color indexed="8"/>
      <name val="Calibri"/>
      <family val="2"/>
    </font>
    <font>
      <sz val="10"/>
      <color indexed="0"/>
      <name val="Arial"/>
      <family val="2"/>
    </font>
    <font>
      <u/>
      <sz val="6"/>
      <color indexed="12"/>
      <name val="Arial"/>
      <family val="2"/>
    </font>
    <font>
      <u/>
      <sz val="8.5"/>
      <color indexed="12"/>
      <name val="Arial"/>
      <family val="2"/>
    </font>
    <font>
      <sz val="10"/>
      <name val="MS Sans Serif"/>
      <family val="2"/>
    </font>
    <font>
      <u/>
      <sz val="8"/>
      <color rgb="FF0000FF"/>
      <name val="Calibri"/>
      <family val="2"/>
      <scheme val="minor"/>
    </font>
    <font>
      <u/>
      <sz val="8"/>
      <color rgb="FF800080"/>
      <name val="Calibri"/>
      <family val="2"/>
      <scheme val="minor"/>
    </font>
    <font>
      <u/>
      <sz val="11"/>
      <color theme="10"/>
      <name val="Calibri"/>
      <family val="2"/>
      <scheme val="minor"/>
    </font>
    <font>
      <b/>
      <sz val="10"/>
      <color theme="1"/>
      <name val="Courier New"/>
      <family val="3"/>
    </font>
    <font>
      <b/>
      <u/>
      <sz val="10"/>
      <color theme="1"/>
      <name val="Courier New"/>
      <family val="3"/>
    </font>
    <font>
      <b/>
      <sz val="11"/>
      <color rgb="FF9C0006"/>
      <name val="Calibri"/>
      <family val="2"/>
      <scheme val="minor"/>
    </font>
    <font>
      <b/>
      <sz val="11"/>
      <name val="Calibri"/>
      <family val="2"/>
      <scheme val="minor"/>
    </font>
    <font>
      <b/>
      <i/>
      <sz val="10"/>
      <name val="Arial"/>
      <family val="2"/>
    </font>
    <font>
      <i/>
      <sz val="10"/>
      <name val="Arial"/>
      <family val="2"/>
    </font>
    <font>
      <sz val="10"/>
      <name val="Courier New"/>
      <family val="3"/>
    </font>
    <font>
      <u val="singleAccounting"/>
      <sz val="11"/>
      <color theme="1"/>
      <name val="Calibri"/>
      <family val="2"/>
      <scheme val="minor"/>
    </font>
    <font>
      <sz val="11"/>
      <name val="Calibri"/>
      <family val="2"/>
      <scheme val="minor"/>
    </font>
    <font>
      <b/>
      <sz val="10"/>
      <name val="Courier New"/>
      <family val="3"/>
    </font>
    <font>
      <sz val="10"/>
      <color rgb="FFFF00FF"/>
      <name val="Courier New"/>
      <family val="3"/>
    </font>
    <font>
      <sz val="8"/>
      <name val="Calibri"/>
      <family val="2"/>
      <scheme val="minor"/>
    </font>
    <font>
      <b/>
      <sz val="11"/>
      <color rgb="FF0000FF"/>
      <name val="Calibri"/>
      <family val="2"/>
      <scheme val="minor"/>
    </font>
    <font>
      <sz val="10"/>
      <color rgb="FF006600"/>
      <name val="Courier New"/>
      <family val="3"/>
    </font>
    <font>
      <sz val="11"/>
      <color rgb="FF0000CC"/>
      <name val="Calibri"/>
      <family val="2"/>
      <scheme val="minor"/>
    </font>
    <font>
      <sz val="11"/>
      <color rgb="FFC00000"/>
      <name val="Calibri"/>
      <family val="2"/>
      <scheme val="minor"/>
    </font>
    <font>
      <b/>
      <sz val="11"/>
      <color rgb="FF0000CC"/>
      <name val="Calibri"/>
      <family val="2"/>
      <scheme val="minor"/>
    </font>
    <font>
      <b/>
      <sz val="11"/>
      <color rgb="FFC00000"/>
      <name val="Calibri"/>
      <family val="2"/>
      <scheme val="minor"/>
    </font>
    <font>
      <sz val="11"/>
      <color rgb="FFFF00FF"/>
      <name val="Calibri"/>
      <family val="2"/>
      <scheme val="minor"/>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2F2F2"/>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4"/>
        <bgColor indexed="64"/>
      </patternFill>
    </fill>
    <fill>
      <patternFill patternType="solid">
        <fgColor indexed="47"/>
        <bgColor indexed="64"/>
      </patternFill>
    </fill>
    <fill>
      <patternFill patternType="solid">
        <fgColor rgb="FFFFCC99"/>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1" tint="0.499984740745262"/>
        <bgColor indexed="64"/>
      </patternFill>
    </fill>
    <fill>
      <patternFill patternType="solid">
        <fgColor rgb="FF92D050"/>
        <bgColor indexed="64"/>
      </patternFill>
    </fill>
    <fill>
      <patternFill patternType="solid">
        <fgColor rgb="FFFFFF00"/>
        <bgColor indexed="64"/>
      </patternFill>
    </fill>
  </fills>
  <borders count="77">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7F7F7F"/>
      </left>
      <right style="medium">
        <color indexed="64"/>
      </right>
      <top style="thin">
        <color rgb="FF7F7F7F"/>
      </top>
      <bottom style="medium">
        <color indexed="64"/>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style="double">
        <color rgb="FF3F3F3F"/>
      </left>
      <right style="medium">
        <color indexed="64"/>
      </right>
      <top style="double">
        <color rgb="FF3F3F3F"/>
      </top>
      <bottom style="double">
        <color rgb="FF3F3F3F"/>
      </bottom>
      <diagonal/>
    </border>
    <border>
      <left/>
      <right/>
      <top/>
      <bottom style="double">
        <color rgb="FFFF8001"/>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style="medium">
        <color indexed="64"/>
      </right>
      <top style="thin">
        <color rgb="FF7F7F7F"/>
      </top>
      <bottom style="thin">
        <color rgb="FF7F7F7F"/>
      </bottom>
      <diagonal/>
    </border>
    <border>
      <left style="double">
        <color rgb="FF3F3F3F"/>
      </left>
      <right/>
      <top style="double">
        <color rgb="FF3F3F3F"/>
      </top>
      <bottom style="double">
        <color rgb="FF3F3F3F"/>
      </bottom>
      <diagonal/>
    </border>
    <border>
      <left style="medium">
        <color indexed="64"/>
      </left>
      <right style="double">
        <color rgb="FF3F3F3F"/>
      </right>
      <top style="double">
        <color rgb="FF3F3F3F"/>
      </top>
      <bottom style="double">
        <color rgb="FF3F3F3F"/>
      </bottom>
      <diagonal/>
    </border>
    <border>
      <left/>
      <right/>
      <top/>
      <bottom style="thin">
        <color rgb="FF7F7F7F"/>
      </bottom>
      <diagonal/>
    </border>
    <border>
      <left/>
      <right style="medium">
        <color indexed="64"/>
      </right>
      <top/>
      <bottom style="thin">
        <color rgb="FF7F7F7F"/>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right style="medium">
        <color indexed="64"/>
      </right>
      <top style="medium">
        <color indexed="64"/>
      </top>
      <bottom style="thin">
        <color theme="0" tint="-0.34998626667073579"/>
      </bottom>
      <diagonal/>
    </border>
    <border>
      <left style="double">
        <color rgb="FF3F3F3F"/>
      </left>
      <right style="medium">
        <color rgb="FF3F3F3F"/>
      </right>
      <top style="double">
        <color rgb="FF3F3F3F"/>
      </top>
      <bottom style="double">
        <color rgb="FF3F3F3F"/>
      </bottom>
      <diagonal/>
    </border>
    <border>
      <left style="thin">
        <color rgb="FF7F7F7F"/>
      </left>
      <right/>
      <top style="thin">
        <color rgb="FF7F7F7F"/>
      </top>
      <bottom style="medium">
        <color indexed="64"/>
      </bottom>
      <diagonal/>
    </border>
    <border>
      <left style="medium">
        <color auto="1"/>
      </left>
      <right style="thin">
        <color rgb="FF7F7F7F"/>
      </right>
      <top style="thin">
        <color rgb="FF7F7F7F"/>
      </top>
      <bottom style="double">
        <color rgb="FF3F3F3F"/>
      </bottom>
      <diagonal/>
    </border>
    <border>
      <left style="medium">
        <color auto="1"/>
      </left>
      <right style="medium">
        <color indexed="64"/>
      </right>
      <top style="medium">
        <color auto="1"/>
      </top>
      <bottom style="thin">
        <color rgb="FF7F7F7F"/>
      </bottom>
      <diagonal/>
    </border>
    <border>
      <left style="medium">
        <color auto="1"/>
      </left>
      <right style="medium">
        <color indexed="64"/>
      </right>
      <top style="thin">
        <color rgb="FF7F7F7F"/>
      </top>
      <bottom style="medium">
        <color auto="1"/>
      </bottom>
      <diagonal/>
    </border>
    <border>
      <left style="medium">
        <color auto="1"/>
      </left>
      <right/>
      <top style="thin">
        <color rgb="FF7F7F7F"/>
      </top>
      <bottom/>
      <diagonal/>
    </border>
    <border>
      <left/>
      <right style="thin">
        <color rgb="FF7F7F7F"/>
      </right>
      <top style="thin">
        <color rgb="FF7F7F7F"/>
      </top>
      <bottom style="medium">
        <color indexed="64"/>
      </bottom>
      <diagonal/>
    </border>
    <border>
      <left style="medium">
        <color indexed="64"/>
      </left>
      <right style="double">
        <color rgb="FF3F3F3F"/>
      </right>
      <top/>
      <bottom style="double">
        <color rgb="FF3F3F3F"/>
      </bottom>
      <diagonal/>
    </border>
    <border>
      <left style="thin">
        <color theme="0" tint="-0.34998626667073579"/>
      </left>
      <right/>
      <top style="thin">
        <color theme="0" tint="-0.34998626667073579"/>
      </top>
      <bottom style="thin">
        <color theme="0" tint="-0.34998626667073579"/>
      </bottom>
      <diagonal/>
    </border>
    <border>
      <left/>
      <right/>
      <top style="thin">
        <color rgb="FF7F7F7F"/>
      </top>
      <bottom style="thin">
        <color rgb="FF7F7F7F"/>
      </bottom>
      <diagonal/>
    </border>
    <border>
      <left style="thin">
        <color theme="0" tint="-0.34998626667073579"/>
      </left>
      <right/>
      <top style="thin">
        <color theme="0" tint="-0.34998626667073579"/>
      </top>
      <bottom style="medium">
        <color indexed="64"/>
      </bottom>
      <diagonal/>
    </border>
    <border>
      <left style="medium">
        <color rgb="FF3F3F3F"/>
      </left>
      <right style="double">
        <color rgb="FF3F3F3F"/>
      </right>
      <top style="double">
        <color rgb="FF3F3F3F"/>
      </top>
      <bottom style="double">
        <color rgb="FF3F3F3F"/>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style="medium">
        <color indexed="64"/>
      </bottom>
      <diagonal/>
    </border>
    <border>
      <left/>
      <right/>
      <top style="double">
        <color rgb="FF3F3F3F"/>
      </top>
      <bottom style="double">
        <color rgb="FF3F3F3F"/>
      </bottom>
      <diagonal/>
    </border>
    <border>
      <left/>
      <right style="double">
        <color rgb="FF3F3F3F"/>
      </right>
      <top style="double">
        <color rgb="FF3F3F3F"/>
      </top>
      <bottom style="double">
        <color rgb="FF3F3F3F"/>
      </bottom>
      <diagonal/>
    </border>
    <border>
      <left/>
      <right style="medium">
        <color indexed="64"/>
      </right>
      <top style="thin">
        <color rgb="FF7F7F7F"/>
      </top>
      <bottom style="medium">
        <color indexed="64"/>
      </bottom>
      <diagonal/>
    </border>
    <border>
      <left style="medium">
        <color indexed="64"/>
      </left>
      <right/>
      <top style="thin">
        <color rgb="FF7F7F7F"/>
      </top>
      <bottom style="thin">
        <color rgb="FF7F7F7F"/>
      </bottom>
      <diagonal/>
    </border>
    <border>
      <left style="thin">
        <color theme="0" tint="-0.24994659260841701"/>
      </left>
      <right style="thin">
        <color rgb="FF7F7F7F"/>
      </right>
      <top style="thin">
        <color rgb="FF7F7F7F"/>
      </top>
      <bottom style="thin">
        <color rgb="FF7F7F7F"/>
      </bottom>
      <diagonal/>
    </border>
    <border>
      <left style="medium">
        <color indexed="64"/>
      </left>
      <right/>
      <top style="thin">
        <color rgb="FF7F7F7F"/>
      </top>
      <bottom style="medium">
        <color indexed="64"/>
      </bottom>
      <diagonal/>
    </border>
    <border>
      <left style="thin">
        <color indexed="64"/>
      </left>
      <right style="thin">
        <color rgb="FF7F7F7F"/>
      </right>
      <top style="thin">
        <color rgb="FF7F7F7F"/>
      </top>
      <bottom style="thin">
        <color rgb="FF7F7F7F"/>
      </bottom>
      <diagonal/>
    </border>
    <border>
      <left style="thin">
        <color indexed="64"/>
      </left>
      <right/>
      <top/>
      <bottom/>
      <diagonal/>
    </border>
    <border>
      <left style="thin">
        <color indexed="64"/>
      </left>
      <right style="thin">
        <color rgb="FF7F7F7F"/>
      </right>
      <top style="thin">
        <color rgb="FF7F7F7F"/>
      </top>
      <bottom style="medium">
        <color indexed="64"/>
      </bottom>
      <diagonal/>
    </border>
    <border>
      <left style="thin">
        <color indexed="64"/>
      </left>
      <right/>
      <top style="medium">
        <color indexed="64"/>
      </top>
      <bottom style="medium">
        <color indexed="64"/>
      </bottom>
      <diagonal/>
    </border>
    <border>
      <left style="medium">
        <color indexed="64"/>
      </left>
      <right/>
      <top style="double">
        <color rgb="FF3F3F3F"/>
      </top>
      <bottom style="double">
        <color rgb="FF3F3F3F"/>
      </bottom>
      <diagonal/>
    </border>
    <border>
      <left style="thin">
        <color indexed="64"/>
      </left>
      <right/>
      <top style="medium">
        <color indexed="64"/>
      </top>
      <bottom/>
      <diagonal/>
    </border>
    <border>
      <left style="thin">
        <color indexed="64"/>
      </left>
      <right style="double">
        <color rgb="FF3F3F3F"/>
      </right>
      <top style="double">
        <color rgb="FF3F3F3F"/>
      </top>
      <bottom style="double">
        <color rgb="FF3F3F3F"/>
      </bottom>
      <diagonal/>
    </border>
    <border>
      <left style="thin">
        <color indexed="64"/>
      </left>
      <right/>
      <top/>
      <bottom style="medium">
        <color indexed="64"/>
      </bottom>
      <diagonal/>
    </border>
    <border>
      <left style="thin">
        <color indexed="64"/>
      </left>
      <right/>
      <top style="medium">
        <color indexed="64"/>
      </top>
      <bottom style="thin">
        <color rgb="FF7F7F7F"/>
      </bottom>
      <diagonal/>
    </border>
    <border>
      <left style="thin">
        <color indexed="64"/>
      </left>
      <right style="thin">
        <color indexed="64"/>
      </right>
      <top style="thin">
        <color indexed="64"/>
      </top>
      <bottom style="thin">
        <color indexed="64"/>
      </bottom>
      <diagonal/>
    </border>
    <border>
      <left style="thin">
        <color rgb="FF3F3F3F"/>
      </left>
      <right style="thin">
        <color rgb="FF3F3F3F"/>
      </right>
      <top style="thin">
        <color rgb="FF3F3F3F"/>
      </top>
      <bottom/>
      <diagonal/>
    </border>
    <border>
      <left style="medium">
        <color auto="1"/>
      </left>
      <right style="medium">
        <color indexed="64"/>
      </right>
      <top/>
      <bottom/>
      <diagonal/>
    </border>
    <border>
      <left style="medium">
        <color indexed="64"/>
      </left>
      <right style="thin">
        <color rgb="FF7F7F7F"/>
      </right>
      <top style="thin">
        <color rgb="FF7F7F7F"/>
      </top>
      <bottom/>
      <diagonal/>
    </border>
    <border>
      <left/>
      <right style="thin">
        <color rgb="FF7F7F7F"/>
      </right>
      <top style="thin">
        <color rgb="FF7F7F7F"/>
      </top>
      <bottom/>
      <diagonal/>
    </border>
    <border>
      <left style="thin">
        <color indexed="64"/>
      </left>
      <right/>
      <top style="thin">
        <color indexed="64"/>
      </top>
      <bottom style="thin">
        <color indexed="64"/>
      </bottom>
      <diagonal/>
    </border>
    <border>
      <left style="medium">
        <color indexed="64"/>
      </left>
      <right style="thin">
        <color theme="0" tint="-0.34998626667073579"/>
      </right>
      <top style="thin">
        <color theme="0" tint="-0.34998626667073579"/>
      </top>
      <bottom style="thin">
        <color theme="0" tint="-0.34998626667073579"/>
      </bottom>
      <diagonal/>
    </border>
  </borders>
  <cellStyleXfs count="302">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5" fillId="5" borderId="1" applyNumberFormat="0" applyAlignment="0" applyProtection="0"/>
    <xf numFmtId="0" fontId="6" fillId="6" borderId="2" applyNumberFormat="0" applyAlignment="0" applyProtection="0"/>
    <xf numFmtId="0" fontId="7" fillId="0" borderId="0" applyNumberFormat="0" applyFill="0" applyBorder="0" applyAlignment="0" applyProtection="0"/>
    <xf numFmtId="43" fontId="12" fillId="0" borderId="0" applyFont="0" applyFill="0" applyBorder="0" applyAlignment="0" applyProtection="0"/>
    <xf numFmtId="0" fontId="1" fillId="0" borderId="0"/>
    <xf numFmtId="44" fontId="1" fillId="0" borderId="0" applyFont="0" applyFill="0" applyBorder="0" applyAlignment="0" applyProtection="0"/>
    <xf numFmtId="0" fontId="13" fillId="7" borderId="17" applyNumberFormat="0" applyAlignment="0" applyProtection="0"/>
    <xf numFmtId="0" fontId="14" fillId="7" borderId="1" applyNumberFormat="0" applyAlignment="0" applyProtection="0"/>
    <xf numFmtId="0" fontId="1" fillId="8" borderId="18" applyNumberFormat="0" applyFont="0" applyAlignment="0" applyProtection="0"/>
    <xf numFmtId="0" fontId="15" fillId="0" borderId="25" applyNumberFormat="0" applyFill="0" applyAlignment="0" applyProtection="0"/>
    <xf numFmtId="0" fontId="16" fillId="0" borderId="0" applyNumberFormat="0" applyFill="0" applyBorder="0" applyAlignment="0" applyProtection="0"/>
    <xf numFmtId="0" fontId="17" fillId="0" borderId="27" applyNumberFormat="0" applyFill="0" applyAlignment="0" applyProtection="0"/>
    <xf numFmtId="0" fontId="18" fillId="0" borderId="28" applyNumberFormat="0" applyFill="0" applyAlignment="0" applyProtection="0"/>
    <xf numFmtId="0" fontId="19" fillId="0" borderId="29"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8" fillId="0" borderId="30" applyNumberFormat="0" applyFill="0" applyAlignment="0" applyProtection="0"/>
    <xf numFmtId="0" fontId="2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1" fillId="32" borderId="0" applyNumberFormat="0" applyBorder="0" applyAlignment="0" applyProtection="0"/>
    <xf numFmtId="0" fontId="1" fillId="0" borderId="0"/>
    <xf numFmtId="0" fontId="12" fillId="0" borderId="0"/>
    <xf numFmtId="9" fontId="12" fillId="0" borderId="0" applyFont="0" applyFill="0" applyBorder="0" applyAlignment="0" applyProtection="0"/>
    <xf numFmtId="44" fontId="12" fillId="0" borderId="0" applyFont="0" applyFill="0" applyBorder="0" applyAlignment="0" applyProtection="0"/>
    <xf numFmtId="0" fontId="1" fillId="0" borderId="0"/>
    <xf numFmtId="43" fontId="1" fillId="0" borderId="0" applyFont="0" applyFill="0" applyBorder="0" applyAlignment="0" applyProtection="0"/>
    <xf numFmtId="0" fontId="1" fillId="8" borderId="1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43" fontId="22" fillId="0" borderId="0" applyFont="0" applyFill="0" applyBorder="0" applyAlignment="0" applyProtection="0"/>
    <xf numFmtId="44" fontId="2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2" fillId="0" borderId="0"/>
    <xf numFmtId="0" fontId="12" fillId="0" borderId="0"/>
    <xf numFmtId="0" fontId="12" fillId="0" borderId="0"/>
    <xf numFmtId="0" fontId="1" fillId="0" borderId="0"/>
    <xf numFmtId="0" fontId="1" fillId="0" borderId="0"/>
    <xf numFmtId="0" fontId="12" fillId="0" borderId="0"/>
    <xf numFmtId="44" fontId="12"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12" fillId="33" borderId="0" applyNumberFormat="0" applyAlignment="0">
      <alignment horizontal="right"/>
    </xf>
    <xf numFmtId="0" fontId="12" fillId="34" borderId="0" applyNumberFormat="0" applyAlignment="0"/>
    <xf numFmtId="0" fontId="2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12" fillId="0" borderId="0"/>
    <xf numFmtId="0" fontId="12" fillId="0" borderId="0"/>
    <xf numFmtId="0" fontId="12" fillId="0" borderId="0"/>
    <xf numFmtId="0" fontId="12" fillId="0" borderId="0"/>
    <xf numFmtId="0" fontId="12" fillId="0" borderId="0"/>
    <xf numFmtId="0" fontId="12" fillId="0" borderId="0"/>
    <xf numFmtId="0" fontId="26"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26" fillId="0" borderId="0" applyFont="0" applyFill="0" applyBorder="0" applyAlignment="0" applyProtection="0"/>
    <xf numFmtId="9" fontId="1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9" fontId="22" fillId="0" borderId="0" applyFont="0" applyFill="0" applyBorder="0" applyAlignment="0" applyProtection="0"/>
    <xf numFmtId="44" fontId="1" fillId="0" borderId="0" applyFont="0" applyFill="0" applyBorder="0" applyAlignment="0" applyProtection="0"/>
    <xf numFmtId="0" fontId="12" fillId="0" borderId="0"/>
    <xf numFmtId="0" fontId="12" fillId="0" borderId="0"/>
    <xf numFmtId="0" fontId="12" fillId="0" borderId="0"/>
    <xf numFmtId="0" fontId="12" fillId="0" borderId="0"/>
    <xf numFmtId="44" fontId="12"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12" fillId="33" borderId="0" applyNumberFormat="0" applyAlignment="0">
      <alignment horizontal="right"/>
    </xf>
    <xf numFmtId="0" fontId="12" fillId="34" borderId="0" applyNumberFormat="0" applyAlignment="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2" fillId="0" borderId="0"/>
    <xf numFmtId="0" fontId="12" fillId="0" borderId="0"/>
    <xf numFmtId="44" fontId="1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44" fontId="12" fillId="0" borderId="0" applyFon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29" fillId="0" borderId="0" applyNumberFormat="0" applyFill="0" applyBorder="0" applyAlignment="0" applyProtection="0"/>
    <xf numFmtId="0" fontId="1" fillId="0" borderId="0"/>
    <xf numFmtId="0" fontId="27" fillId="0" borderId="0" applyNumberFormat="0" applyFill="0" applyBorder="0" applyAlignment="0" applyProtection="0"/>
    <xf numFmtId="0" fontId="1" fillId="0" borderId="0"/>
  </cellStyleXfs>
  <cellXfs count="396">
    <xf numFmtId="0" fontId="0" fillId="0" borderId="0" xfId="0"/>
    <xf numFmtId="164" fontId="0" fillId="0" borderId="0" xfId="0" applyNumberFormat="1"/>
    <xf numFmtId="0" fontId="7" fillId="0" borderId="0" xfId="8"/>
    <xf numFmtId="0" fontId="8" fillId="0" borderId="0" xfId="0" applyFont="1"/>
    <xf numFmtId="44" fontId="0" fillId="0" borderId="0" xfId="0" applyNumberFormat="1"/>
    <xf numFmtId="10" fontId="0" fillId="0" borderId="0" xfId="2" applyNumberFormat="1" applyFont="1"/>
    <xf numFmtId="0" fontId="8" fillId="0" borderId="0" xfId="0" applyFont="1" applyAlignment="1">
      <alignment horizontal="center"/>
    </xf>
    <xf numFmtId="44" fontId="8" fillId="0" borderId="0" xfId="0" applyNumberFormat="1" applyFont="1"/>
    <xf numFmtId="166" fontId="0" fillId="0" borderId="0" xfId="0" applyNumberFormat="1"/>
    <xf numFmtId="0" fontId="9" fillId="0" borderId="0" xfId="0" applyFont="1" applyAlignment="1">
      <alignment horizontal="left"/>
    </xf>
    <xf numFmtId="0" fontId="0" fillId="0" borderId="9" xfId="0" applyBorder="1"/>
    <xf numFmtId="0" fontId="0" fillId="0" borderId="10" xfId="0" applyBorder="1"/>
    <xf numFmtId="44" fontId="0" fillId="0" borderId="9" xfId="0" applyNumberFormat="1" applyBorder="1"/>
    <xf numFmtId="44" fontId="0" fillId="0" borderId="10" xfId="0" applyNumberFormat="1" applyBorder="1"/>
    <xf numFmtId="164" fontId="0" fillId="0" borderId="7" xfId="0" applyNumberFormat="1" applyBorder="1"/>
    <xf numFmtId="164" fontId="0" fillId="0" borderId="8" xfId="0" applyNumberFormat="1" applyBorder="1"/>
    <xf numFmtId="165" fontId="5" fillId="5" borderId="13" xfId="6" applyNumberFormat="1" applyBorder="1"/>
    <xf numFmtId="0" fontId="0" fillId="0" borderId="0" xfId="0" applyBorder="1"/>
    <xf numFmtId="0" fontId="7" fillId="0" borderId="0" xfId="8" applyBorder="1"/>
    <xf numFmtId="164" fontId="0" fillId="0" borderId="12" xfId="0" applyNumberFormat="1" applyBorder="1"/>
    <xf numFmtId="0" fontId="8" fillId="0" borderId="0" xfId="0" applyFont="1" applyAlignment="1">
      <alignment horizontal="right"/>
    </xf>
    <xf numFmtId="10" fontId="0" fillId="0" borderId="0" xfId="0" applyNumberFormat="1"/>
    <xf numFmtId="165" fontId="14" fillId="7" borderId="1" xfId="13" applyNumberFormat="1"/>
    <xf numFmtId="167" fontId="5" fillId="5" borderId="1" xfId="6" applyNumberFormat="1"/>
    <xf numFmtId="167" fontId="14" fillId="7" borderId="1" xfId="13" applyNumberFormat="1"/>
    <xf numFmtId="165" fontId="13" fillId="7" borderId="17" xfId="12" applyNumberFormat="1"/>
    <xf numFmtId="165" fontId="5" fillId="5" borderId="15" xfId="11" applyNumberFormat="1" applyFont="1" applyFill="1" applyBorder="1"/>
    <xf numFmtId="165" fontId="6" fillId="6" borderId="2" xfId="7" applyNumberFormat="1"/>
    <xf numFmtId="165" fontId="0" fillId="0" borderId="9" xfId="0" applyNumberFormat="1" applyBorder="1"/>
    <xf numFmtId="165" fontId="0" fillId="0" borderId="10" xfId="0" applyNumberFormat="1" applyBorder="1"/>
    <xf numFmtId="0" fontId="8" fillId="0" borderId="0" xfId="0" applyFont="1" applyFill="1" applyBorder="1" applyAlignment="1">
      <alignment horizontal="right"/>
    </xf>
    <xf numFmtId="165" fontId="0" fillId="0" borderId="0" xfId="0" applyNumberFormat="1" applyBorder="1"/>
    <xf numFmtId="44" fontId="6" fillId="6" borderId="2" xfId="7" applyNumberFormat="1"/>
    <xf numFmtId="165" fontId="5" fillId="0" borderId="0" xfId="11" applyNumberFormat="1" applyFont="1" applyFill="1" applyBorder="1"/>
    <xf numFmtId="165" fontId="4" fillId="0" borderId="0" xfId="11" applyNumberFormat="1" applyFont="1" applyFill="1" applyBorder="1"/>
    <xf numFmtId="10" fontId="5" fillId="0" borderId="0" xfId="2" applyNumberFormat="1" applyFont="1" applyFill="1" applyBorder="1"/>
    <xf numFmtId="165" fontId="5" fillId="0" borderId="9" xfId="6" applyNumberFormat="1" applyFill="1" applyBorder="1"/>
    <xf numFmtId="165" fontId="5" fillId="0" borderId="0" xfId="6" applyNumberFormat="1" applyFill="1" applyBorder="1"/>
    <xf numFmtId="37" fontId="4" fillId="0" borderId="10" xfId="5" applyNumberFormat="1" applyFill="1" applyBorder="1"/>
    <xf numFmtId="0" fontId="0" fillId="0" borderId="0" xfId="0" applyFill="1"/>
    <xf numFmtId="165" fontId="14" fillId="7" borderId="13" xfId="13" applyNumberFormat="1" applyBorder="1"/>
    <xf numFmtId="165" fontId="14" fillId="7" borderId="1" xfId="13" applyNumberFormat="1" applyBorder="1"/>
    <xf numFmtId="44" fontId="6" fillId="6" borderId="2" xfId="7" applyNumberFormat="1" applyBorder="1"/>
    <xf numFmtId="0" fontId="0" fillId="0" borderId="11" xfId="0" applyBorder="1"/>
    <xf numFmtId="0" fontId="0" fillId="0" borderId="26" xfId="0" applyBorder="1"/>
    <xf numFmtId="0" fontId="0" fillId="0" borderId="6" xfId="0" applyBorder="1"/>
    <xf numFmtId="0" fontId="0" fillId="0" borderId="0" xfId="0"/>
    <xf numFmtId="165" fontId="0" fillId="0" borderId="0" xfId="0" applyNumberFormat="1"/>
    <xf numFmtId="0" fontId="8" fillId="0" borderId="0" xfId="0" applyFont="1" applyAlignment="1">
      <alignment horizontal="center"/>
    </xf>
    <xf numFmtId="165" fontId="14" fillId="7" borderId="31" xfId="13" applyNumberFormat="1" applyBorder="1"/>
    <xf numFmtId="44" fontId="6" fillId="6" borderId="32" xfId="7" applyNumberFormat="1" applyBorder="1"/>
    <xf numFmtId="44" fontId="6" fillId="6" borderId="33" xfId="7" applyNumberFormat="1" applyBorder="1"/>
    <xf numFmtId="37" fontId="4" fillId="0" borderId="0" xfId="5" applyNumberFormat="1" applyFill="1" applyBorder="1"/>
    <xf numFmtId="0" fontId="8" fillId="35" borderId="0" xfId="0" applyFont="1" applyFill="1"/>
    <xf numFmtId="0" fontId="7" fillId="0" borderId="0" xfId="8" applyBorder="1" applyAlignment="1">
      <alignment horizontal="right"/>
    </xf>
    <xf numFmtId="165" fontId="5" fillId="5" borderId="1" xfId="6" applyNumberFormat="1" applyBorder="1"/>
    <xf numFmtId="44" fontId="0" fillId="0" borderId="0" xfId="0" applyNumberFormat="1" applyBorder="1"/>
    <xf numFmtId="44" fontId="0" fillId="0" borderId="34" xfId="0" applyNumberFormat="1" applyBorder="1"/>
    <xf numFmtId="44" fontId="0" fillId="0" borderId="35" xfId="0" applyNumberFormat="1" applyBorder="1"/>
    <xf numFmtId="3" fontId="14" fillId="7" borderId="23" xfId="13" applyNumberFormat="1" applyBorder="1" applyAlignment="1">
      <alignment horizontal="right"/>
    </xf>
    <xf numFmtId="165" fontId="4" fillId="0" borderId="10" xfId="11" applyNumberFormat="1" applyFont="1" applyFill="1" applyBorder="1"/>
    <xf numFmtId="165" fontId="14" fillId="7" borderId="14" xfId="13" applyNumberFormat="1" applyBorder="1"/>
    <xf numFmtId="44" fontId="6" fillId="6" borderId="24" xfId="7" applyNumberFormat="1" applyBorder="1"/>
    <xf numFmtId="0" fontId="8" fillId="0" borderId="0" xfId="0" applyFont="1" applyFill="1"/>
    <xf numFmtId="165" fontId="5" fillId="0" borderId="9" xfId="11" applyNumberFormat="1" applyFont="1" applyFill="1" applyBorder="1"/>
    <xf numFmtId="10" fontId="5" fillId="0" borderId="9" xfId="2" applyNumberFormat="1" applyFont="1" applyFill="1" applyBorder="1"/>
    <xf numFmtId="165" fontId="5" fillId="0" borderId="12" xfId="11" applyNumberFormat="1" applyFont="1" applyFill="1" applyBorder="1"/>
    <xf numFmtId="44" fontId="0" fillId="0" borderId="9" xfId="0" applyNumberFormat="1" applyFill="1" applyBorder="1"/>
    <xf numFmtId="44" fontId="0" fillId="0" borderId="0" xfId="0" applyNumberFormat="1" applyFill="1" applyBorder="1"/>
    <xf numFmtId="0" fontId="8" fillId="36" borderId="0" xfId="0" applyFont="1" applyFill="1"/>
    <xf numFmtId="0" fontId="8" fillId="0" borderId="0" xfId="0" applyFont="1" applyAlignment="1">
      <alignment horizontal="center" wrapText="1"/>
    </xf>
    <xf numFmtId="169" fontId="0" fillId="0" borderId="9" xfId="0" applyNumberFormat="1" applyBorder="1"/>
    <xf numFmtId="170" fontId="5" fillId="5" borderId="23" xfId="6" applyNumberFormat="1" applyBorder="1"/>
    <xf numFmtId="10" fontId="5" fillId="5" borderId="23" xfId="6" applyNumberFormat="1" applyBorder="1"/>
    <xf numFmtId="41" fontId="5" fillId="5" borderId="13" xfId="6" applyNumberFormat="1" applyBorder="1"/>
    <xf numFmtId="41" fontId="5" fillId="5" borderId="1" xfId="6" applyNumberFormat="1" applyBorder="1"/>
    <xf numFmtId="165" fontId="4" fillId="4" borderId="37" xfId="11" applyNumberFormat="1" applyFont="1" applyFill="1" applyBorder="1"/>
    <xf numFmtId="3" fontId="4" fillId="4" borderId="37" xfId="5" applyNumberFormat="1" applyBorder="1"/>
    <xf numFmtId="165" fontId="4" fillId="4" borderId="36" xfId="5" applyNumberFormat="1" applyBorder="1"/>
    <xf numFmtId="165" fontId="4" fillId="4" borderId="37" xfId="5" applyNumberFormat="1" applyBorder="1"/>
    <xf numFmtId="41" fontId="4" fillId="4" borderId="37" xfId="5" applyNumberFormat="1" applyBorder="1"/>
    <xf numFmtId="165" fontId="4" fillId="4" borderId="38" xfId="5" applyNumberFormat="1" applyBorder="1"/>
    <xf numFmtId="165" fontId="4" fillId="4" borderId="38" xfId="11" applyNumberFormat="1" applyFont="1" applyFill="1" applyBorder="1"/>
    <xf numFmtId="171" fontId="0" fillId="0" borderId="0" xfId="2" applyNumberFormat="1" applyFont="1" applyBorder="1"/>
    <xf numFmtId="171" fontId="0" fillId="0" borderId="9" xfId="2" applyNumberFormat="1" applyFont="1" applyBorder="1"/>
    <xf numFmtId="171" fontId="0" fillId="0" borderId="10" xfId="2" applyNumberFormat="1" applyFont="1" applyBorder="1"/>
    <xf numFmtId="42" fontId="5" fillId="5" borderId="1" xfId="6" applyNumberFormat="1"/>
    <xf numFmtId="0" fontId="30" fillId="0" borderId="3" xfId="0" applyFont="1" applyBorder="1" applyAlignment="1">
      <alignment vertical="center" wrapText="1"/>
    </xf>
    <xf numFmtId="0" fontId="30" fillId="0" borderId="3"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5" xfId="0" applyFont="1" applyBorder="1" applyAlignment="1">
      <alignment vertical="center" wrapText="1"/>
    </xf>
    <xf numFmtId="0" fontId="7" fillId="0" borderId="9" xfId="8" applyBorder="1"/>
    <xf numFmtId="171" fontId="0" fillId="0" borderId="10" xfId="0" applyNumberFormat="1" applyBorder="1"/>
    <xf numFmtId="0" fontId="31" fillId="0" borderId="0" xfId="0" applyFont="1" applyFill="1" applyBorder="1" applyAlignment="1">
      <alignment vertical="center" wrapText="1"/>
    </xf>
    <xf numFmtId="0" fontId="30" fillId="0" borderId="0" xfId="0" applyFont="1" applyFill="1" applyBorder="1" applyAlignment="1">
      <alignment vertical="center"/>
    </xf>
    <xf numFmtId="164" fontId="0" fillId="0" borderId="39" xfId="0" applyNumberFormat="1" applyBorder="1"/>
    <xf numFmtId="44" fontId="6" fillId="6" borderId="40" xfId="7" applyNumberFormat="1" applyBorder="1"/>
    <xf numFmtId="165" fontId="5" fillId="0" borderId="13" xfId="6" applyNumberFormat="1" applyFill="1" applyBorder="1"/>
    <xf numFmtId="165" fontId="0" fillId="0" borderId="9" xfId="0" applyNumberFormat="1" applyFill="1" applyBorder="1"/>
    <xf numFmtId="0" fontId="0" fillId="0" borderId="9" xfId="0" applyFill="1" applyBorder="1"/>
    <xf numFmtId="165" fontId="14" fillId="0" borderId="13" xfId="13" applyNumberFormat="1" applyFill="1" applyBorder="1"/>
    <xf numFmtId="0" fontId="7" fillId="0" borderId="9" xfId="8" applyFill="1" applyBorder="1"/>
    <xf numFmtId="165" fontId="5" fillId="0" borderId="15" xfId="11" applyNumberFormat="1" applyFont="1" applyFill="1" applyBorder="1"/>
    <xf numFmtId="171" fontId="0" fillId="0" borderId="9" xfId="0" applyNumberFormat="1" applyFill="1" applyBorder="1"/>
    <xf numFmtId="164" fontId="0" fillId="0" borderId="7" xfId="0" applyNumberFormat="1" applyFill="1" applyBorder="1"/>
    <xf numFmtId="171" fontId="0" fillId="0" borderId="9" xfId="2" applyNumberFormat="1" applyFont="1" applyFill="1" applyBorder="1"/>
    <xf numFmtId="44" fontId="6" fillId="0" borderId="33" xfId="7" applyNumberFormat="1" applyFill="1" applyBorder="1"/>
    <xf numFmtId="165" fontId="14" fillId="7" borderId="22" xfId="13" applyNumberFormat="1" applyBorder="1"/>
    <xf numFmtId="165" fontId="5" fillId="37" borderId="1" xfId="6" applyNumberFormat="1" applyFill="1" applyBorder="1"/>
    <xf numFmtId="165" fontId="5" fillId="37" borderId="22" xfId="6" applyNumberFormat="1" applyFill="1" applyBorder="1"/>
    <xf numFmtId="41" fontId="5" fillId="37" borderId="1" xfId="6" applyNumberFormat="1" applyFill="1" applyBorder="1"/>
    <xf numFmtId="165" fontId="5" fillId="37" borderId="16" xfId="11" applyNumberFormat="1" applyFont="1" applyFill="1" applyBorder="1"/>
    <xf numFmtId="165" fontId="5" fillId="37" borderId="41" xfId="11" applyNumberFormat="1" applyFont="1" applyFill="1" applyBorder="1"/>
    <xf numFmtId="167" fontId="6" fillId="0" borderId="33" xfId="1" applyNumberFormat="1" applyFont="1" applyFill="1" applyBorder="1"/>
    <xf numFmtId="0" fontId="0" fillId="0" borderId="3" xfId="0" applyBorder="1" applyAlignment="1">
      <alignment horizontal="center" wrapText="1"/>
    </xf>
    <xf numFmtId="165" fontId="14" fillId="7" borderId="19" xfId="13" applyNumberFormat="1" applyBorder="1"/>
    <xf numFmtId="0" fontId="0" fillId="0" borderId="45" xfId="0" applyBorder="1"/>
    <xf numFmtId="165" fontId="5" fillId="5" borderId="23" xfId="6" applyNumberFormat="1" applyBorder="1"/>
    <xf numFmtId="165" fontId="5" fillId="5" borderId="46" xfId="11" applyNumberFormat="1" applyFont="1" applyFill="1" applyBorder="1"/>
    <xf numFmtId="165" fontId="14" fillId="7" borderId="23" xfId="13" applyNumberFormat="1" applyBorder="1"/>
    <xf numFmtId="44" fontId="6" fillId="6" borderId="47" xfId="7" applyNumberFormat="1" applyBorder="1"/>
    <xf numFmtId="41" fontId="5" fillId="37" borderId="22" xfId="6" applyNumberFormat="1" applyFill="1" applyBorder="1"/>
    <xf numFmtId="42" fontId="0" fillId="0" borderId="0" xfId="0" applyNumberFormat="1"/>
    <xf numFmtId="42" fontId="0" fillId="0" borderId="0" xfId="0" applyNumberFormat="1" applyAlignment="1">
      <alignment horizontal="right"/>
    </xf>
    <xf numFmtId="42" fontId="10" fillId="0" borderId="6" xfId="0" applyNumberFormat="1" applyFont="1" applyBorder="1" applyAlignment="1">
      <alignment horizontal="right"/>
    </xf>
    <xf numFmtId="42" fontId="11" fillId="0" borderId="6" xfId="0" applyNumberFormat="1" applyFont="1" applyBorder="1" applyAlignment="1">
      <alignment horizontal="right"/>
    </xf>
    <xf numFmtId="0" fontId="30" fillId="0" borderId="4" xfId="0" applyFont="1" applyBorder="1" applyAlignment="1">
      <alignment horizontal="center" vertical="center" wrapText="1"/>
    </xf>
    <xf numFmtId="42" fontId="30" fillId="0" borderId="4" xfId="0" applyNumberFormat="1" applyFont="1" applyBorder="1" applyAlignment="1">
      <alignment horizontal="center"/>
    </xf>
    <xf numFmtId="170" fontId="10" fillId="0" borderId="6" xfId="0" applyNumberFormat="1" applyFont="1" applyFill="1" applyBorder="1" applyAlignment="1">
      <alignment vertical="center"/>
    </xf>
    <xf numFmtId="170" fontId="0" fillId="0" borderId="0" xfId="0" applyNumberFormat="1" applyFill="1" applyAlignment="1"/>
    <xf numFmtId="170" fontId="10" fillId="0" borderId="4" xfId="0" applyNumberFormat="1" applyFont="1" applyFill="1" applyBorder="1" applyAlignment="1">
      <alignment vertical="center"/>
    </xf>
    <xf numFmtId="42" fontId="5" fillId="37" borderId="1" xfId="6" applyNumberFormat="1" applyFill="1" applyBorder="1"/>
    <xf numFmtId="42" fontId="5" fillId="37" borderId="41" xfId="6" applyNumberFormat="1" applyFill="1" applyBorder="1"/>
    <xf numFmtId="41" fontId="14" fillId="7" borderId="1" xfId="13" applyNumberFormat="1"/>
    <xf numFmtId="41" fontId="6" fillId="6" borderId="2" xfId="7" applyNumberFormat="1"/>
    <xf numFmtId="165" fontId="4" fillId="4" borderId="48" xfId="11" applyNumberFormat="1" applyFont="1" applyFill="1" applyBorder="1"/>
    <xf numFmtId="3" fontId="4" fillId="4" borderId="48" xfId="5" applyNumberFormat="1" applyBorder="1"/>
    <xf numFmtId="165" fontId="4" fillId="4" borderId="50" xfId="5" applyNumberFormat="1" applyBorder="1"/>
    <xf numFmtId="165" fontId="4" fillId="4" borderId="48" xfId="5" applyNumberFormat="1" applyBorder="1"/>
    <xf numFmtId="41" fontId="4" fillId="4" borderId="48" xfId="5" applyNumberFormat="1" applyBorder="1"/>
    <xf numFmtId="165" fontId="4" fillId="4" borderId="50" xfId="11" applyNumberFormat="1" applyFont="1" applyFill="1" applyBorder="1"/>
    <xf numFmtId="0" fontId="8" fillId="0" borderId="0" xfId="0" applyFont="1" applyAlignment="1">
      <alignment horizontal="left" vertical="center" wrapText="1"/>
    </xf>
    <xf numFmtId="44" fontId="6" fillId="6" borderId="51" xfId="7" applyNumberFormat="1" applyBorder="1"/>
    <xf numFmtId="165" fontId="5" fillId="0" borderId="11" xfId="6" applyNumberFormat="1" applyFill="1" applyBorder="1"/>
    <xf numFmtId="43" fontId="5" fillId="0" borderId="12" xfId="1" applyFont="1" applyFill="1" applyBorder="1"/>
    <xf numFmtId="43" fontId="5" fillId="0" borderId="0" xfId="1" applyFont="1" applyFill="1" applyBorder="1"/>
    <xf numFmtId="0" fontId="0" fillId="0" borderId="0" xfId="0" applyFill="1" applyBorder="1"/>
    <xf numFmtId="0" fontId="8" fillId="0" borderId="0" xfId="0" applyFont="1" applyFill="1" applyAlignment="1">
      <alignment horizontal="center" wrapText="1"/>
    </xf>
    <xf numFmtId="0" fontId="0" fillId="39" borderId="19" xfId="0" applyFill="1" applyBorder="1" applyAlignment="1">
      <alignment horizontal="center" wrapText="1"/>
    </xf>
    <xf numFmtId="43" fontId="8" fillId="0" borderId="0" xfId="1" applyNumberFormat="1" applyFont="1" applyAlignment="1">
      <alignment horizontal="center"/>
    </xf>
    <xf numFmtId="42" fontId="8" fillId="0" borderId="0" xfId="1" applyNumberFormat="1" applyFont="1" applyAlignment="1">
      <alignment horizontal="center"/>
    </xf>
    <xf numFmtId="42" fontId="11" fillId="0" borderId="0" xfId="0" applyNumberFormat="1" applyFont="1" applyBorder="1" applyAlignment="1">
      <alignment horizontal="right" wrapText="1"/>
    </xf>
    <xf numFmtId="170" fontId="0" fillId="0" borderId="0" xfId="0" applyNumberFormat="1"/>
    <xf numFmtId="172" fontId="0" fillId="0" borderId="0" xfId="0" applyNumberFormat="1"/>
    <xf numFmtId="165" fontId="4" fillId="4" borderId="52" xfId="5" applyNumberFormat="1" applyBorder="1"/>
    <xf numFmtId="41" fontId="4" fillId="4" borderId="53" xfId="5" applyNumberFormat="1" applyBorder="1"/>
    <xf numFmtId="165" fontId="4" fillId="4" borderId="53" xfId="5" applyNumberFormat="1" applyBorder="1"/>
    <xf numFmtId="165" fontId="4" fillId="4" borderId="54" xfId="11" applyNumberFormat="1" applyFont="1" applyFill="1" applyBorder="1"/>
    <xf numFmtId="165" fontId="14" fillId="7" borderId="49" xfId="13" applyNumberFormat="1" applyBorder="1"/>
    <xf numFmtId="44" fontId="6" fillId="6" borderId="55" xfId="7" applyNumberFormat="1" applyBorder="1"/>
    <xf numFmtId="44" fontId="6" fillId="6" borderId="56" xfId="7" applyNumberFormat="1" applyBorder="1"/>
    <xf numFmtId="165" fontId="5" fillId="5" borderId="14" xfId="6" applyNumberFormat="1" applyBorder="1"/>
    <xf numFmtId="0" fontId="7" fillId="0" borderId="10" xfId="8" applyBorder="1"/>
    <xf numFmtId="165" fontId="5" fillId="5" borderId="31" xfId="6" applyNumberFormat="1" applyBorder="1"/>
    <xf numFmtId="44" fontId="0" fillId="0" borderId="10" xfId="0" applyNumberFormat="1" applyFill="1" applyBorder="1"/>
    <xf numFmtId="44" fontId="7" fillId="0" borderId="10" xfId="8" applyNumberFormat="1" applyFill="1" applyBorder="1"/>
    <xf numFmtId="41" fontId="5" fillId="5" borderId="14" xfId="6" applyNumberFormat="1" applyBorder="1"/>
    <xf numFmtId="165" fontId="5" fillId="0" borderId="10" xfId="6" applyNumberFormat="1" applyFill="1" applyBorder="1"/>
    <xf numFmtId="165" fontId="5" fillId="5" borderId="57" xfId="11" applyNumberFormat="1" applyFont="1" applyFill="1" applyBorder="1"/>
    <xf numFmtId="165" fontId="5" fillId="0" borderId="10" xfId="11" applyNumberFormat="1" applyFont="1" applyFill="1" applyBorder="1"/>
    <xf numFmtId="10" fontId="5" fillId="0" borderId="10" xfId="2" applyNumberFormat="1" applyFont="1" applyFill="1" applyBorder="1"/>
    <xf numFmtId="165" fontId="4" fillId="4" borderId="53" xfId="11" applyNumberFormat="1" applyFont="1" applyFill="1" applyBorder="1"/>
    <xf numFmtId="3" fontId="4" fillId="4" borderId="53" xfId="5" applyNumberFormat="1" applyBorder="1"/>
    <xf numFmtId="165" fontId="4" fillId="4" borderId="54" xfId="5" applyNumberFormat="1" applyBorder="1"/>
    <xf numFmtId="42" fontId="5" fillId="5" borderId="14" xfId="1" applyNumberFormat="1" applyFont="1" applyFill="1" applyBorder="1"/>
    <xf numFmtId="165" fontId="5" fillId="5" borderId="21" xfId="11" applyNumberFormat="1" applyFont="1" applyFill="1" applyBorder="1"/>
    <xf numFmtId="41" fontId="5" fillId="5" borderId="31" xfId="6" applyNumberFormat="1" applyBorder="1"/>
    <xf numFmtId="0" fontId="8" fillId="0" borderId="0" xfId="0" applyFont="1" applyAlignment="1">
      <alignment horizontal="left" vertical="center" wrapText="1"/>
    </xf>
    <xf numFmtId="172" fontId="11" fillId="0" borderId="6" xfId="0" applyNumberFormat="1" applyFont="1" applyFill="1" applyBorder="1" applyAlignment="1">
      <alignment horizontal="right"/>
    </xf>
    <xf numFmtId="172" fontId="0" fillId="0" borderId="0" xfId="0" applyNumberFormat="1" applyFill="1"/>
    <xf numFmtId="172" fontId="30" fillId="0" borderId="4" xfId="0" applyNumberFormat="1" applyFont="1" applyFill="1" applyBorder="1" applyAlignment="1">
      <alignment horizontal="center"/>
    </xf>
    <xf numFmtId="41" fontId="5" fillId="5" borderId="58" xfId="6" applyNumberFormat="1" applyBorder="1"/>
    <xf numFmtId="42" fontId="5" fillId="5" borderId="13" xfId="6" applyNumberFormat="1" applyBorder="1"/>
    <xf numFmtId="42" fontId="5" fillId="37" borderId="22" xfId="6" applyNumberFormat="1" applyFill="1" applyBorder="1"/>
    <xf numFmtId="41" fontId="5" fillId="5" borderId="59" xfId="6" applyNumberFormat="1" applyBorder="1"/>
    <xf numFmtId="43" fontId="0" fillId="0" borderId="0" xfId="1" applyFont="1"/>
    <xf numFmtId="171" fontId="0" fillId="0" borderId="0" xfId="0" applyNumberFormat="1"/>
    <xf numFmtId="0" fontId="8" fillId="0" borderId="0" xfId="0" applyFont="1" applyFill="1" applyAlignment="1">
      <alignment horizontal="left" vertical="center" wrapText="1"/>
    </xf>
    <xf numFmtId="165" fontId="5" fillId="0" borderId="58" xfId="6" applyNumberFormat="1" applyFill="1" applyBorder="1"/>
    <xf numFmtId="41" fontId="5" fillId="0" borderId="58" xfId="6" applyNumberFormat="1" applyFill="1" applyBorder="1"/>
    <xf numFmtId="165" fontId="5" fillId="0" borderId="61" xfId="6" applyNumberFormat="1" applyFill="1" applyBorder="1"/>
    <xf numFmtId="0" fontId="0" fillId="0" borderId="62" xfId="0" applyFill="1" applyBorder="1"/>
    <xf numFmtId="44" fontId="0" fillId="0" borderId="62" xfId="0" applyNumberFormat="1" applyFill="1" applyBorder="1"/>
    <xf numFmtId="41" fontId="5" fillId="0" borderId="61" xfId="6" applyNumberFormat="1" applyFill="1" applyBorder="1"/>
    <xf numFmtId="165" fontId="5" fillId="0" borderId="62" xfId="6" applyNumberFormat="1" applyFill="1" applyBorder="1"/>
    <xf numFmtId="165" fontId="5" fillId="0" borderId="63" xfId="11" applyNumberFormat="1" applyFont="1" applyFill="1" applyBorder="1"/>
    <xf numFmtId="165" fontId="14" fillId="0" borderId="58" xfId="13" applyNumberFormat="1" applyFill="1" applyBorder="1"/>
    <xf numFmtId="44" fontId="6" fillId="0" borderId="65" xfId="7" applyNumberFormat="1" applyFill="1" applyBorder="1"/>
    <xf numFmtId="165" fontId="5" fillId="0" borderId="66" xfId="11" applyNumberFormat="1" applyFont="1" applyFill="1" applyBorder="1"/>
    <xf numFmtId="10" fontId="5" fillId="0" borderId="62" xfId="2" applyNumberFormat="1" applyFont="1" applyFill="1" applyBorder="1"/>
    <xf numFmtId="165" fontId="14" fillId="0" borderId="61" xfId="13" applyNumberFormat="1" applyFill="1" applyBorder="1"/>
    <xf numFmtId="171" fontId="0" fillId="0" borderId="62" xfId="0" applyNumberFormat="1" applyFill="1" applyBorder="1"/>
    <xf numFmtId="171" fontId="0" fillId="0" borderId="62" xfId="2" applyNumberFormat="1" applyFont="1" applyFill="1" applyBorder="1"/>
    <xf numFmtId="44" fontId="6" fillId="0" borderId="67" xfId="7" applyNumberFormat="1" applyFill="1" applyBorder="1"/>
    <xf numFmtId="0" fontId="0" fillId="0" borderId="62" xfId="0" applyBorder="1"/>
    <xf numFmtId="165" fontId="5" fillId="0" borderId="68" xfId="6" applyNumberFormat="1" applyFill="1" applyBorder="1"/>
    <xf numFmtId="164" fontId="0" fillId="0" borderId="69" xfId="0" applyNumberFormat="1" applyFill="1" applyBorder="1"/>
    <xf numFmtId="173" fontId="0" fillId="0" borderId="0" xfId="0" applyNumberFormat="1"/>
    <xf numFmtId="171" fontId="0" fillId="0" borderId="0" xfId="2" applyNumberFormat="1" applyFont="1"/>
    <xf numFmtId="43" fontId="37" fillId="0" borderId="0" xfId="1" applyFont="1"/>
    <xf numFmtId="44" fontId="13" fillId="7" borderId="17" xfId="12" applyNumberFormat="1"/>
    <xf numFmtId="44" fontId="14" fillId="7" borderId="1" xfId="13" applyNumberFormat="1"/>
    <xf numFmtId="44" fontId="6" fillId="6" borderId="2" xfId="1" applyNumberFormat="1" applyFont="1" applyFill="1" applyBorder="1"/>
    <xf numFmtId="0" fontId="7" fillId="0" borderId="0" xfId="8" applyFill="1" applyBorder="1" applyAlignment="1">
      <alignment horizontal="right"/>
    </xf>
    <xf numFmtId="43" fontId="6" fillId="0" borderId="0" xfId="1" applyFont="1" applyFill="1" applyBorder="1"/>
    <xf numFmtId="165" fontId="13" fillId="7" borderId="71" xfId="12" applyNumberFormat="1" applyBorder="1"/>
    <xf numFmtId="42" fontId="14" fillId="7" borderId="70" xfId="13" applyNumberFormat="1" applyBorder="1"/>
    <xf numFmtId="172" fontId="11" fillId="0" borderId="6" xfId="0" quotePrefix="1" applyNumberFormat="1" applyFont="1" applyFill="1" applyBorder="1" applyAlignment="1">
      <alignment horizontal="right"/>
    </xf>
    <xf numFmtId="174" fontId="0" fillId="0" borderId="0" xfId="1" applyNumberFormat="1" applyFont="1"/>
    <xf numFmtId="10" fontId="5" fillId="5" borderId="1" xfId="2" applyNumberFormat="1" applyFont="1" applyFill="1" applyBorder="1"/>
    <xf numFmtId="10" fontId="14" fillId="7" borderId="1" xfId="2" applyNumberFormat="1" applyFont="1" applyFill="1" applyBorder="1"/>
    <xf numFmtId="44" fontId="8" fillId="0" borderId="0" xfId="0" applyNumberFormat="1" applyFont="1" applyAlignment="1">
      <alignment wrapText="1"/>
    </xf>
    <xf numFmtId="165" fontId="6" fillId="0" borderId="0" xfId="1" applyNumberFormat="1" applyFont="1" applyFill="1" applyBorder="1"/>
    <xf numFmtId="165" fontId="6" fillId="0" borderId="0" xfId="7" applyNumberFormat="1" applyFill="1" applyBorder="1"/>
    <xf numFmtId="41" fontId="6" fillId="0" borderId="0" xfId="7" applyNumberFormat="1" applyFill="1" applyBorder="1"/>
    <xf numFmtId="165" fontId="13" fillId="7" borderId="70" xfId="12" applyNumberFormat="1" applyBorder="1"/>
    <xf numFmtId="165" fontId="14" fillId="7" borderId="70" xfId="13" applyNumberFormat="1" applyBorder="1"/>
    <xf numFmtId="0" fontId="8" fillId="0" borderId="70" xfId="0" applyFont="1" applyBorder="1" applyAlignment="1">
      <alignment horizontal="center"/>
    </xf>
    <xf numFmtId="0" fontId="8" fillId="0" borderId="0" xfId="0" applyFont="1" applyFill="1" applyAlignment="1">
      <alignment horizontal="left" vertical="center" wrapText="1"/>
    </xf>
    <xf numFmtId="0" fontId="8" fillId="0" borderId="0" xfId="0" applyFont="1" applyAlignment="1">
      <alignment horizontal="left" vertical="center" wrapText="1"/>
    </xf>
    <xf numFmtId="175" fontId="10" fillId="0" borderId="6" xfId="1" applyNumberFormat="1" applyFont="1" applyFill="1" applyBorder="1" applyAlignment="1">
      <alignment vertical="center"/>
    </xf>
    <xf numFmtId="175" fontId="10" fillId="0" borderId="6" xfId="1" applyNumberFormat="1" applyFont="1" applyBorder="1" applyAlignment="1">
      <alignment horizontal="right" vertical="center"/>
    </xf>
    <xf numFmtId="175" fontId="11" fillId="0" borderId="6" xfId="1" applyNumberFormat="1" applyFont="1" applyBorder="1" applyAlignment="1">
      <alignment horizontal="right" vertical="center"/>
    </xf>
    <xf numFmtId="175" fontId="0" fillId="0" borderId="0" xfId="0" applyNumberFormat="1"/>
    <xf numFmtId="172" fontId="36" fillId="0" borderId="6" xfId="0" quotePrefix="1" applyNumberFormat="1" applyFont="1" applyFill="1" applyBorder="1" applyAlignment="1">
      <alignment horizontal="right"/>
    </xf>
    <xf numFmtId="172" fontId="38" fillId="0" borderId="0" xfId="0" applyNumberFormat="1" applyFont="1"/>
    <xf numFmtId="172" fontId="36" fillId="0" borderId="6" xfId="0" applyNumberFormat="1" applyFont="1" applyFill="1" applyBorder="1" applyAlignment="1">
      <alignment horizontal="right"/>
    </xf>
    <xf numFmtId="172" fontId="38" fillId="0" borderId="0" xfId="0" applyNumberFormat="1" applyFont="1" applyFill="1"/>
    <xf numFmtId="172" fontId="39" fillId="0" borderId="4" xfId="0" applyNumberFormat="1" applyFont="1" applyFill="1" applyBorder="1" applyAlignment="1">
      <alignment horizontal="center"/>
    </xf>
    <xf numFmtId="172" fontId="39" fillId="0" borderId="4" xfId="0" applyNumberFormat="1" applyFont="1" applyBorder="1" applyAlignment="1">
      <alignment horizontal="center"/>
    </xf>
    <xf numFmtId="44" fontId="14" fillId="7" borderId="22" xfId="13" applyNumberFormat="1" applyBorder="1"/>
    <xf numFmtId="44" fontId="14" fillId="7" borderId="1" xfId="13" applyNumberFormat="1" applyBorder="1"/>
    <xf numFmtId="41" fontId="14" fillId="7" borderId="70" xfId="13" applyNumberFormat="1" applyBorder="1"/>
    <xf numFmtId="0" fontId="8" fillId="0" borderId="0" xfId="0" applyFont="1" applyAlignment="1">
      <alignment horizontal="left"/>
    </xf>
    <xf numFmtId="170" fontId="0" fillId="0" borderId="0" xfId="0" applyNumberFormat="1" applyFill="1" applyBorder="1"/>
    <xf numFmtId="174" fontId="0" fillId="0" borderId="0" xfId="1" applyNumberFormat="1" applyFont="1" applyFill="1" applyBorder="1"/>
    <xf numFmtId="0" fontId="34" fillId="0" borderId="0" xfId="0" applyFont="1" applyFill="1" applyBorder="1"/>
    <xf numFmtId="0" fontId="35" fillId="0" borderId="0" xfId="0" applyFont="1" applyFill="1" applyBorder="1"/>
    <xf numFmtId="168" fontId="0" fillId="0" borderId="0" xfId="2" applyNumberFormat="1" applyFont="1" applyFill="1" applyBorder="1"/>
    <xf numFmtId="0" fontId="35" fillId="0" borderId="0" xfId="0" applyFont="1" applyFill="1" applyBorder="1" applyAlignment="1">
      <alignment horizontal="left" indent="1"/>
    </xf>
    <xf numFmtId="168" fontId="0" fillId="0" borderId="0" xfId="0" applyNumberFormat="1" applyFill="1" applyBorder="1"/>
    <xf numFmtId="176" fontId="0" fillId="0" borderId="0" xfId="2" applyNumberFormat="1" applyFont="1"/>
    <xf numFmtId="170" fontId="36" fillId="0" borderId="4" xfId="0" applyNumberFormat="1" applyFont="1" applyFill="1" applyBorder="1" applyAlignment="1">
      <alignment vertical="center"/>
    </xf>
    <xf numFmtId="165" fontId="5" fillId="0" borderId="23" xfId="6" applyNumberFormat="1" applyFill="1" applyBorder="1"/>
    <xf numFmtId="165" fontId="0" fillId="0" borderId="0" xfId="0" applyNumberFormat="1" applyFill="1" applyBorder="1"/>
    <xf numFmtId="0" fontId="7" fillId="0" borderId="0" xfId="8" applyFill="1" applyBorder="1"/>
    <xf numFmtId="41" fontId="5" fillId="0" borderId="23" xfId="6" applyNumberFormat="1" applyFill="1" applyBorder="1"/>
    <xf numFmtId="165" fontId="5" fillId="0" borderId="46" xfId="11" applyNumberFormat="1" applyFont="1" applyFill="1" applyBorder="1"/>
    <xf numFmtId="171" fontId="0" fillId="0" borderId="0" xfId="0" applyNumberFormat="1" applyFill="1" applyBorder="1"/>
    <xf numFmtId="165" fontId="14" fillId="7" borderId="74" xfId="13" applyNumberFormat="1" applyBorder="1"/>
    <xf numFmtId="167" fontId="6" fillId="0" borderId="56" xfId="1" applyNumberFormat="1" applyFont="1" applyFill="1" applyBorder="1"/>
    <xf numFmtId="44" fontId="6" fillId="0" borderId="56" xfId="7" applyNumberFormat="1" applyFill="1" applyBorder="1"/>
    <xf numFmtId="164" fontId="0" fillId="0" borderId="12" xfId="0" applyNumberFormat="1" applyFill="1" applyBorder="1"/>
    <xf numFmtId="165" fontId="5" fillId="0" borderId="26" xfId="6" applyNumberFormat="1" applyFill="1" applyBorder="1"/>
    <xf numFmtId="0" fontId="0" fillId="39" borderId="3" xfId="0" applyFill="1" applyBorder="1" applyAlignment="1">
      <alignment horizontal="center" wrapText="1"/>
    </xf>
    <xf numFmtId="43" fontId="8" fillId="0" borderId="0" xfId="1" applyNumberFormat="1" applyFont="1" applyAlignment="1">
      <alignment horizontal="center" wrapText="1"/>
    </xf>
    <xf numFmtId="0" fontId="8" fillId="0" borderId="0" xfId="0" applyFont="1" applyAlignment="1">
      <alignment wrapText="1"/>
    </xf>
    <xf numFmtId="44" fontId="33" fillId="7" borderId="17" xfId="12" applyNumberFormat="1" applyFont="1"/>
    <xf numFmtId="0" fontId="30" fillId="0" borderId="0" xfId="0" applyFont="1" applyFill="1" applyBorder="1" applyAlignment="1">
      <alignment horizontal="center" vertical="center" wrapText="1"/>
    </xf>
    <xf numFmtId="170" fontId="10" fillId="0" borderId="0" xfId="0" applyNumberFormat="1" applyFont="1" applyFill="1" applyBorder="1" applyAlignment="1">
      <alignment vertical="center"/>
    </xf>
    <xf numFmtId="170" fontId="0" fillId="0" borderId="0" xfId="0" applyNumberFormat="1" applyFill="1" applyBorder="1" applyAlignment="1"/>
    <xf numFmtId="170" fontId="40" fillId="0" borderId="0" xfId="0" applyNumberFormat="1" applyFont="1" applyFill="1" applyBorder="1" applyAlignment="1">
      <alignment vertical="center"/>
    </xf>
    <xf numFmtId="170" fontId="36" fillId="0" borderId="0" xfId="0" applyNumberFormat="1" applyFont="1" applyFill="1" applyBorder="1" applyAlignment="1">
      <alignment vertical="center"/>
    </xf>
    <xf numFmtId="0" fontId="8" fillId="0" borderId="0" xfId="0" applyFont="1" applyAlignment="1">
      <alignment horizontal="left" vertical="center" wrapText="1"/>
    </xf>
    <xf numFmtId="0" fontId="38" fillId="0" borderId="0" xfId="0" applyFont="1"/>
    <xf numFmtId="0" fontId="8" fillId="0" borderId="70" xfId="0" applyFont="1" applyBorder="1" applyAlignment="1">
      <alignment horizontal="center" wrapText="1"/>
    </xf>
    <xf numFmtId="44" fontId="33" fillId="0" borderId="0" xfId="1" applyNumberFormat="1" applyFont="1" applyAlignment="1">
      <alignment horizontal="right"/>
    </xf>
    <xf numFmtId="0" fontId="8" fillId="0" borderId="0" xfId="0" applyFont="1" applyFill="1" applyAlignment="1">
      <alignment wrapText="1"/>
    </xf>
    <xf numFmtId="0" fontId="8" fillId="0" borderId="0" xfId="0" applyFont="1" applyFill="1" applyAlignment="1"/>
    <xf numFmtId="42" fontId="14" fillId="7" borderId="1" xfId="13" applyNumberFormat="1"/>
    <xf numFmtId="0" fontId="8" fillId="0" borderId="0" xfId="0" applyFont="1" applyAlignment="1">
      <alignment horizontal="left" vertical="center" wrapText="1"/>
    </xf>
    <xf numFmtId="44" fontId="14" fillId="7" borderId="13" xfId="13" applyNumberFormat="1" applyBorder="1"/>
    <xf numFmtId="43" fontId="14" fillId="7" borderId="1" xfId="1" applyFont="1" applyFill="1" applyBorder="1"/>
    <xf numFmtId="44" fontId="8" fillId="0" borderId="0" xfId="0" applyNumberFormat="1" applyFont="1" applyFill="1" applyAlignment="1">
      <alignment wrapText="1"/>
    </xf>
    <xf numFmtId="167" fontId="33" fillId="0" borderId="33" xfId="1" applyNumberFormat="1" applyFont="1" applyFill="1" applyBorder="1"/>
    <xf numFmtId="44" fontId="33" fillId="0" borderId="33" xfId="7" applyNumberFormat="1" applyFont="1" applyFill="1" applyBorder="1"/>
    <xf numFmtId="0" fontId="8" fillId="0" borderId="0" xfId="0" applyFont="1" applyFill="1" applyAlignment="1">
      <alignment horizontal="left"/>
    </xf>
    <xf numFmtId="0" fontId="0" fillId="0" borderId="0" xfId="0" applyAlignment="1">
      <alignment wrapText="1"/>
    </xf>
    <xf numFmtId="165" fontId="5" fillId="5" borderId="58" xfId="6" applyNumberFormat="1" applyBorder="1"/>
    <xf numFmtId="165" fontId="5" fillId="5" borderId="70" xfId="6" applyNumberFormat="1" applyBorder="1"/>
    <xf numFmtId="165" fontId="5" fillId="5" borderId="75" xfId="6" applyNumberFormat="1" applyBorder="1"/>
    <xf numFmtId="165" fontId="4" fillId="4" borderId="76" xfId="11" applyNumberFormat="1" applyFont="1" applyFill="1" applyBorder="1"/>
    <xf numFmtId="177" fontId="0" fillId="0" borderId="0" xfId="0" applyNumberFormat="1"/>
    <xf numFmtId="178" fontId="0" fillId="0" borderId="0" xfId="0" applyNumberFormat="1"/>
    <xf numFmtId="41" fontId="0" fillId="0" borderId="0" xfId="0" applyNumberFormat="1"/>
    <xf numFmtId="165" fontId="42" fillId="7" borderId="13" xfId="13" applyNumberFormat="1" applyFont="1" applyBorder="1"/>
    <xf numFmtId="165" fontId="42" fillId="7" borderId="42" xfId="13" applyNumberFormat="1" applyFont="1" applyBorder="1"/>
    <xf numFmtId="165" fontId="42" fillId="7" borderId="43" xfId="13" applyNumberFormat="1" applyFont="1" applyBorder="1"/>
    <xf numFmtId="165" fontId="42" fillId="7" borderId="44" xfId="13" applyNumberFormat="1" applyFont="1" applyBorder="1"/>
    <xf numFmtId="165" fontId="42" fillId="7" borderId="72" xfId="13" applyNumberFormat="1" applyFont="1" applyBorder="1"/>
    <xf numFmtId="165" fontId="42" fillId="7" borderId="14" xfId="13" applyNumberFormat="1" applyFont="1" applyBorder="1"/>
    <xf numFmtId="165" fontId="42" fillId="0" borderId="13" xfId="13" applyNumberFormat="1" applyFont="1" applyFill="1" applyBorder="1"/>
    <xf numFmtId="42" fontId="43" fillId="0" borderId="6" xfId="0" applyNumberFormat="1" applyFont="1" applyBorder="1" applyAlignment="1">
      <alignment horizontal="right"/>
    </xf>
    <xf numFmtId="41" fontId="43" fillId="0" borderId="6" xfId="0" applyNumberFormat="1" applyFont="1" applyBorder="1" applyAlignment="1">
      <alignment vertical="center"/>
    </xf>
    <xf numFmtId="172" fontId="43" fillId="0" borderId="6" xfId="0" applyNumberFormat="1" applyFont="1" applyBorder="1" applyAlignment="1">
      <alignment horizontal="right"/>
    </xf>
    <xf numFmtId="172" fontId="43" fillId="0" borderId="6" xfId="0" applyNumberFormat="1" applyFont="1" applyFill="1" applyBorder="1" applyAlignment="1">
      <alignment horizontal="right"/>
    </xf>
    <xf numFmtId="172" fontId="43" fillId="0" borderId="6" xfId="0" quotePrefix="1" applyNumberFormat="1" applyFont="1" applyFill="1" applyBorder="1" applyAlignment="1">
      <alignment horizontal="right"/>
    </xf>
    <xf numFmtId="175" fontId="43" fillId="0" borderId="6" xfId="1" applyNumberFormat="1" applyFont="1" applyBorder="1" applyAlignment="1">
      <alignment horizontal="right" vertical="center"/>
    </xf>
    <xf numFmtId="175" fontId="36" fillId="0" borderId="6" xfId="1" applyNumberFormat="1" applyFont="1" applyBorder="1" applyAlignment="1">
      <alignment horizontal="right" vertical="center"/>
    </xf>
    <xf numFmtId="164" fontId="44" fillId="0" borderId="12" xfId="0" applyNumberFormat="1" applyFont="1" applyBorder="1"/>
    <xf numFmtId="0" fontId="8" fillId="0" borderId="0" xfId="0" applyFont="1" applyAlignment="1">
      <alignment horizontal="left" vertical="center" wrapText="1"/>
    </xf>
    <xf numFmtId="170" fontId="43" fillId="0" borderId="3" xfId="0" applyNumberFormat="1" applyFont="1" applyFill="1" applyBorder="1" applyAlignment="1">
      <alignment vertical="center"/>
    </xf>
    <xf numFmtId="0" fontId="0" fillId="41" borderId="0" xfId="0" applyFill="1"/>
    <xf numFmtId="165" fontId="0" fillId="0" borderId="0" xfId="0" quotePrefix="1" applyNumberFormat="1" applyFill="1" applyBorder="1"/>
    <xf numFmtId="179" fontId="14" fillId="7" borderId="70" xfId="13" applyNumberFormat="1" applyBorder="1"/>
    <xf numFmtId="179" fontId="0" fillId="0" borderId="0" xfId="0" applyNumberFormat="1"/>
    <xf numFmtId="179" fontId="13" fillId="7" borderId="17" xfId="12" applyNumberFormat="1"/>
    <xf numFmtId="179" fontId="13" fillId="7" borderId="71" xfId="12" applyNumberFormat="1" applyBorder="1"/>
    <xf numFmtId="0" fontId="8" fillId="0" borderId="0" xfId="0" applyFont="1" applyFill="1" applyAlignment="1">
      <alignment horizontal="left" wrapText="1"/>
    </xf>
    <xf numFmtId="0" fontId="8" fillId="0" borderId="0" xfId="0" applyFont="1" applyFill="1" applyAlignment="1">
      <alignment horizontal="left" vertical="center" wrapText="1"/>
    </xf>
    <xf numFmtId="171" fontId="44" fillId="0" borderId="0" xfId="2" applyNumberFormat="1" applyFont="1" applyBorder="1"/>
    <xf numFmtId="171" fontId="44" fillId="0" borderId="9" xfId="2" applyNumberFormat="1" applyFont="1" applyBorder="1"/>
    <xf numFmtId="171" fontId="44" fillId="0" borderId="10" xfId="0" applyNumberFormat="1" applyFont="1" applyBorder="1"/>
    <xf numFmtId="44" fontId="0" fillId="0" borderId="0" xfId="0" applyNumberFormat="1" applyFill="1"/>
    <xf numFmtId="172" fontId="40" fillId="0" borderId="6" xfId="0" applyNumberFormat="1" applyFont="1" applyBorder="1" applyAlignment="1">
      <alignment horizontal="right"/>
    </xf>
    <xf numFmtId="170" fontId="40" fillId="0" borderId="3" xfId="0" applyNumberFormat="1" applyFont="1" applyFill="1" applyBorder="1" applyAlignment="1">
      <alignment vertical="center"/>
    </xf>
    <xf numFmtId="3" fontId="0" fillId="0" borderId="0" xfId="0" applyNumberFormat="1"/>
    <xf numFmtId="4" fontId="0" fillId="0" borderId="0" xfId="0" applyNumberFormat="1"/>
    <xf numFmtId="0" fontId="8" fillId="0" borderId="0" xfId="0" quotePrefix="1" applyFont="1" applyFill="1"/>
    <xf numFmtId="0" fontId="8" fillId="0" borderId="0" xfId="0" applyFont="1" applyFill="1" applyAlignment="1">
      <alignment horizontal="left" vertical="center" wrapText="1"/>
    </xf>
    <xf numFmtId="0" fontId="8" fillId="0" borderId="0" xfId="0" applyFont="1" applyFill="1" applyAlignment="1">
      <alignment horizontal="left" wrapText="1"/>
    </xf>
    <xf numFmtId="0" fontId="8" fillId="0" borderId="0" xfId="0" applyFont="1" applyFill="1" applyAlignment="1">
      <alignment wrapText="1"/>
    </xf>
    <xf numFmtId="0" fontId="0" fillId="0" borderId="0" xfId="0" quotePrefix="1"/>
    <xf numFmtId="0" fontId="45" fillId="0" borderId="0" xfId="0" quotePrefix="1" applyFont="1"/>
    <xf numFmtId="0" fontId="44" fillId="39" borderId="64" xfId="0" quotePrefix="1" applyFont="1" applyFill="1" applyBorder="1" applyAlignment="1">
      <alignment horizontal="center" wrapText="1"/>
    </xf>
    <xf numFmtId="0" fontId="46" fillId="0" borderId="0" xfId="0" quotePrefix="1" applyFont="1"/>
    <xf numFmtId="43" fontId="0" fillId="0" borderId="0" xfId="0" applyNumberFormat="1"/>
    <xf numFmtId="165" fontId="5" fillId="0" borderId="60" xfId="11" applyNumberFormat="1" applyFont="1" applyFill="1" applyBorder="1"/>
    <xf numFmtId="165" fontId="42" fillId="0" borderId="58" xfId="13" applyNumberFormat="1" applyFont="1" applyFill="1" applyBorder="1"/>
    <xf numFmtId="0" fontId="47" fillId="0" borderId="0" xfId="0" applyFont="1"/>
    <xf numFmtId="165" fontId="5" fillId="35" borderId="1" xfId="6" applyNumberFormat="1" applyFill="1" applyBorder="1"/>
    <xf numFmtId="41" fontId="5" fillId="0" borderId="13" xfId="6" applyNumberFormat="1" applyFill="1" applyBorder="1"/>
    <xf numFmtId="165" fontId="42" fillId="0" borderId="73" xfId="13" applyNumberFormat="1" applyFont="1" applyFill="1" applyBorder="1"/>
    <xf numFmtId="165" fontId="42" fillId="0" borderId="42" xfId="13" applyNumberFormat="1" applyFont="1" applyFill="1" applyBorder="1"/>
    <xf numFmtId="0" fontId="8" fillId="0" borderId="70" xfId="0" applyFont="1" applyFill="1" applyBorder="1" applyAlignment="1">
      <alignment horizontal="center" wrapText="1"/>
    </xf>
    <xf numFmtId="0" fontId="9" fillId="0" borderId="0" xfId="0" applyFont="1" applyFill="1" applyAlignment="1">
      <alignment horizontal="left"/>
    </xf>
    <xf numFmtId="0" fontId="0" fillId="0" borderId="0" xfId="0" applyFill="1" applyAlignment="1">
      <alignment vertical="top"/>
    </xf>
    <xf numFmtId="0" fontId="0" fillId="0" borderId="0" xfId="0" quotePrefix="1" applyFill="1" applyAlignment="1">
      <alignment vertical="top"/>
    </xf>
    <xf numFmtId="174" fontId="30" fillId="0" borderId="0" xfId="0" applyNumberFormat="1" applyFont="1" applyFill="1" applyBorder="1" applyAlignment="1">
      <alignment horizontal="center" vertical="center" wrapText="1"/>
    </xf>
    <xf numFmtId="4" fontId="5" fillId="0" borderId="0" xfId="6" applyNumberFormat="1" applyFill="1" applyBorder="1"/>
    <xf numFmtId="4" fontId="5" fillId="0" borderId="9" xfId="6" applyNumberFormat="1" applyFill="1" applyBorder="1"/>
    <xf numFmtId="4" fontId="5" fillId="0" borderId="10" xfId="6" applyNumberFormat="1" applyFill="1" applyBorder="1"/>
    <xf numFmtId="0" fontId="44" fillId="39" borderId="3" xfId="0" applyFont="1" applyFill="1" applyBorder="1" applyAlignment="1">
      <alignment horizontal="center" wrapText="1"/>
    </xf>
    <xf numFmtId="165" fontId="5" fillId="37" borderId="1" xfId="6" applyNumberFormat="1" applyFont="1" applyFill="1" applyBorder="1"/>
    <xf numFmtId="41" fontId="5" fillId="37" borderId="1" xfId="6" applyNumberFormat="1" applyFont="1" applyFill="1" applyBorder="1"/>
    <xf numFmtId="42" fontId="5" fillId="5" borderId="13" xfId="6" applyNumberFormat="1" applyFont="1" applyBorder="1"/>
    <xf numFmtId="165" fontId="5" fillId="5" borderId="1" xfId="6" applyNumberFormat="1" applyFont="1" applyBorder="1"/>
    <xf numFmtId="0" fontId="44" fillId="39" borderId="3" xfId="0" quotePrefix="1" applyFont="1" applyFill="1" applyBorder="1" applyAlignment="1">
      <alignment horizontal="center" wrapText="1"/>
    </xf>
    <xf numFmtId="175" fontId="48" fillId="0" borderId="0" xfId="0" applyNumberFormat="1" applyFont="1"/>
    <xf numFmtId="0" fontId="0" fillId="0" borderId="0" xfId="0" applyFill="1" applyAlignment="1">
      <alignment wrapText="1"/>
    </xf>
    <xf numFmtId="0" fontId="8" fillId="0" borderId="70" xfId="0" applyFont="1" applyFill="1" applyBorder="1"/>
    <xf numFmtId="0" fontId="8" fillId="0" borderId="70" xfId="0" applyFont="1" applyFill="1" applyBorder="1" applyAlignment="1">
      <alignment wrapText="1"/>
    </xf>
    <xf numFmtId="0" fontId="8" fillId="0" borderId="70" xfId="0" applyFont="1" applyFill="1" applyBorder="1" applyAlignment="1">
      <alignment vertical="top"/>
    </xf>
    <xf numFmtId="0" fontId="0" fillId="0" borderId="70" xfId="0" applyFill="1" applyBorder="1" applyAlignment="1">
      <alignment vertical="top" wrapText="1"/>
    </xf>
    <xf numFmtId="14" fontId="0" fillId="0" borderId="0" xfId="0" quotePrefix="1" applyNumberFormat="1" applyFill="1" applyAlignment="1">
      <alignment vertical="top"/>
    </xf>
    <xf numFmtId="15" fontId="0" fillId="0" borderId="0" xfId="0" quotePrefix="1" applyNumberFormat="1" applyFill="1" applyAlignment="1">
      <alignment vertical="top"/>
    </xf>
    <xf numFmtId="0" fontId="0" fillId="0" borderId="0" xfId="0" quotePrefix="1" applyFill="1" applyBorder="1" applyAlignment="1">
      <alignment vertical="top" wrapText="1"/>
    </xf>
    <xf numFmtId="0" fontId="0" fillId="0" borderId="70" xfId="0" applyFont="1" applyFill="1" applyBorder="1" applyAlignment="1">
      <alignment vertical="top" wrapText="1"/>
    </xf>
    <xf numFmtId="0" fontId="45" fillId="0" borderId="0" xfId="0" applyFont="1" applyFill="1" applyAlignment="1">
      <alignment vertical="top"/>
    </xf>
    <xf numFmtId="0" fontId="8" fillId="0" borderId="0" xfId="0" applyFont="1" applyFill="1" applyAlignment="1">
      <alignment vertical="top"/>
    </xf>
    <xf numFmtId="0" fontId="0" fillId="0" borderId="0" xfId="0" applyFill="1" applyAlignment="1">
      <alignment vertical="top" wrapText="1"/>
    </xf>
    <xf numFmtId="0" fontId="0" fillId="0" borderId="10" xfId="0" applyFill="1" applyBorder="1"/>
    <xf numFmtId="0" fontId="8" fillId="0" borderId="0" xfId="0" applyFont="1" applyFill="1" applyAlignment="1">
      <alignment horizontal="center"/>
    </xf>
    <xf numFmtId="0" fontId="8" fillId="0" borderId="0" xfId="0" applyFont="1" applyFill="1" applyAlignment="1">
      <alignment horizontal="left" wrapText="1"/>
    </xf>
    <xf numFmtId="0" fontId="9" fillId="0" borderId="0" xfId="0" applyFont="1" applyAlignment="1">
      <alignment horizontal="center" wrapText="1"/>
    </xf>
    <xf numFmtId="0" fontId="8" fillId="0" borderId="0" xfId="0" applyFont="1" applyFill="1" applyAlignment="1">
      <alignment horizontal="left"/>
    </xf>
    <xf numFmtId="0" fontId="8" fillId="0" borderId="0" xfId="0" applyFont="1" applyFill="1" applyAlignment="1">
      <alignment horizontal="left" vertical="top" wrapText="1"/>
    </xf>
    <xf numFmtId="0" fontId="8" fillId="0" borderId="0" xfId="0" applyFont="1" applyAlignment="1">
      <alignment horizontal="left" wrapText="1"/>
    </xf>
    <xf numFmtId="0" fontId="32" fillId="3" borderId="19" xfId="4" applyFont="1" applyBorder="1" applyAlignment="1">
      <alignment horizontal="center"/>
    </xf>
    <xf numFmtId="0" fontId="32" fillId="3" borderId="20" xfId="4" applyFont="1" applyBorder="1" applyAlignment="1">
      <alignment horizontal="center"/>
    </xf>
    <xf numFmtId="0" fontId="32" fillId="3" borderId="4" xfId="4" applyFont="1" applyBorder="1" applyAlignment="1">
      <alignment horizontal="center"/>
    </xf>
    <xf numFmtId="0" fontId="8" fillId="0" borderId="0" xfId="0" applyFont="1" applyFill="1" applyAlignment="1">
      <alignment horizontal="left" vertical="center" wrapText="1"/>
    </xf>
    <xf numFmtId="0" fontId="8" fillId="38" borderId="20" xfId="0" applyFont="1" applyFill="1" applyBorder="1" applyAlignment="1">
      <alignment horizontal="center"/>
    </xf>
    <xf numFmtId="0" fontId="8" fillId="38" borderId="4" xfId="0" applyFont="1" applyFill="1" applyBorder="1" applyAlignment="1">
      <alignment horizontal="center"/>
    </xf>
    <xf numFmtId="0" fontId="8" fillId="0" borderId="19" xfId="0" applyFont="1" applyBorder="1" applyAlignment="1">
      <alignment horizontal="center"/>
    </xf>
    <xf numFmtId="0" fontId="8" fillId="0" borderId="20" xfId="0" applyFont="1" applyBorder="1" applyAlignment="1">
      <alignment horizontal="center"/>
    </xf>
    <xf numFmtId="0" fontId="8" fillId="0" borderId="4" xfId="0" applyFont="1" applyBorder="1" applyAlignment="1">
      <alignment horizontal="center"/>
    </xf>
    <xf numFmtId="0" fontId="8" fillId="40" borderId="0" xfId="0" applyFont="1" applyFill="1" applyAlignment="1">
      <alignment horizontal="left" vertical="center" wrapText="1"/>
    </xf>
    <xf numFmtId="0" fontId="8" fillId="0" borderId="0" xfId="0" applyFont="1" applyFill="1" applyAlignment="1">
      <alignment wrapText="1"/>
    </xf>
    <xf numFmtId="0" fontId="33" fillId="0" borderId="19" xfId="8" applyFont="1" applyBorder="1" applyAlignment="1">
      <alignment horizontal="center"/>
    </xf>
    <xf numFmtId="0" fontId="33" fillId="0" borderId="20" xfId="8" applyFont="1" applyBorder="1" applyAlignment="1">
      <alignment horizontal="center"/>
    </xf>
    <xf numFmtId="0" fontId="33" fillId="0" borderId="4" xfId="8" applyFont="1" applyBorder="1" applyAlignment="1">
      <alignment horizontal="center"/>
    </xf>
    <xf numFmtId="0" fontId="46" fillId="0" borderId="0" xfId="0" quotePrefix="1" applyFont="1" applyAlignment="1">
      <alignment vertical="top" wrapText="1"/>
    </xf>
    <xf numFmtId="0" fontId="0" fillId="0" borderId="0" xfId="0" applyAlignment="1">
      <alignment vertical="top" wrapText="1"/>
    </xf>
    <xf numFmtId="0" fontId="0" fillId="0" borderId="0" xfId="0" applyAlignment="1">
      <alignment wrapText="1"/>
    </xf>
    <xf numFmtId="0" fontId="0" fillId="0" borderId="0" xfId="0" applyFill="1" applyAlignment="1">
      <alignment horizontal="left" vertical="center" wrapText="1"/>
    </xf>
  </cellXfs>
  <cellStyles count="302">
    <cellStyle name="20% - Accent1" xfId="24" builtinId="30" customBuiltin="1"/>
    <cellStyle name="20% - Accent1 2" xfId="54" xr:uid="{00000000-0005-0000-0000-000001000000}"/>
    <cellStyle name="20% - Accent2" xfId="28" builtinId="34" customBuiltin="1"/>
    <cellStyle name="20% - Accent2 2" xfId="56" xr:uid="{00000000-0005-0000-0000-000003000000}"/>
    <cellStyle name="20% - Accent3" xfId="32" builtinId="38" customBuiltin="1"/>
    <cellStyle name="20% - Accent3 2" xfId="58" xr:uid="{00000000-0005-0000-0000-000005000000}"/>
    <cellStyle name="20% - Accent4" xfId="36" builtinId="42" customBuiltin="1"/>
    <cellStyle name="20% - Accent4 2" xfId="60" xr:uid="{00000000-0005-0000-0000-000007000000}"/>
    <cellStyle name="20% - Accent5" xfId="40" builtinId="46" customBuiltin="1"/>
    <cellStyle name="20% - Accent5 2" xfId="62" xr:uid="{00000000-0005-0000-0000-000009000000}"/>
    <cellStyle name="20% - Accent6" xfId="44" builtinId="50" customBuiltin="1"/>
    <cellStyle name="20% - Accent6 2" xfId="64" xr:uid="{00000000-0005-0000-0000-00000B000000}"/>
    <cellStyle name="40% - Accent1" xfId="25" builtinId="31" customBuiltin="1"/>
    <cellStyle name="40% - Accent1 2" xfId="55" xr:uid="{00000000-0005-0000-0000-00000D000000}"/>
    <cellStyle name="40% - Accent2" xfId="29" builtinId="35" customBuiltin="1"/>
    <cellStyle name="40% - Accent2 2" xfId="57" xr:uid="{00000000-0005-0000-0000-00000F000000}"/>
    <cellStyle name="40% - Accent3" xfId="33" builtinId="39" customBuiltin="1"/>
    <cellStyle name="40% - Accent3 2" xfId="59" xr:uid="{00000000-0005-0000-0000-000011000000}"/>
    <cellStyle name="40% - Accent4" xfId="37" builtinId="43" customBuiltin="1"/>
    <cellStyle name="40% - Accent4 2" xfId="61" xr:uid="{00000000-0005-0000-0000-000013000000}"/>
    <cellStyle name="40% - Accent5" xfId="41" builtinId="47" customBuiltin="1"/>
    <cellStyle name="40% - Accent5 2" xfId="63" xr:uid="{00000000-0005-0000-0000-000015000000}"/>
    <cellStyle name="40% - Accent6" xfId="45" builtinId="51" customBuiltin="1"/>
    <cellStyle name="40% - Accent6 2" xfId="65" xr:uid="{00000000-0005-0000-0000-000017000000}"/>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4" builtinId="27" customBuiltin="1"/>
    <cellStyle name="Calculation" xfId="13" builtinId="22" customBuiltin="1"/>
    <cellStyle name="Check Cell" xfId="7" builtinId="23" customBuiltin="1"/>
    <cellStyle name="Comma" xfId="1" builtinId="3"/>
    <cellStyle name="Comma 2" xfId="68" xr:uid="{00000000-0005-0000-0000-000028000000}"/>
    <cellStyle name="Comma 2 2" xfId="282" xr:uid="{00000000-0005-0000-0000-000029000000}"/>
    <cellStyle name="Comma 3" xfId="66" xr:uid="{00000000-0005-0000-0000-00002A000000}"/>
    <cellStyle name="Comma 3 2" xfId="9" xr:uid="{00000000-0005-0000-0000-00002B000000}"/>
    <cellStyle name="Comma 4" xfId="192" xr:uid="{00000000-0005-0000-0000-00002C000000}"/>
    <cellStyle name="Comma 5" xfId="52" xr:uid="{00000000-0005-0000-0000-00002D000000}"/>
    <cellStyle name="Currency" xfId="11" builtinId="4"/>
    <cellStyle name="Currency [0] 2" xfId="114" xr:uid="{00000000-0005-0000-0000-00002F000000}"/>
    <cellStyle name="Currency [0] 2 2" xfId="203" xr:uid="{00000000-0005-0000-0000-000030000000}"/>
    <cellStyle name="Currency 10" xfId="193" xr:uid="{00000000-0005-0000-0000-000031000000}"/>
    <cellStyle name="Currency 11" xfId="112" xr:uid="{00000000-0005-0000-0000-000032000000}"/>
    <cellStyle name="Currency 12" xfId="197" xr:uid="{00000000-0005-0000-0000-000033000000}"/>
    <cellStyle name="Currency 13" xfId="50" xr:uid="{00000000-0005-0000-0000-000034000000}"/>
    <cellStyle name="Currency 13 2" xfId="288" xr:uid="{00000000-0005-0000-0000-000035000000}"/>
    <cellStyle name="Currency 14" xfId="285" xr:uid="{00000000-0005-0000-0000-000036000000}"/>
    <cellStyle name="Currency 15" xfId="289" xr:uid="{00000000-0005-0000-0000-000037000000}"/>
    <cellStyle name="Currency 16" xfId="291" xr:uid="{00000000-0005-0000-0000-000038000000}"/>
    <cellStyle name="Currency 17" xfId="292" xr:uid="{00000000-0005-0000-0000-000039000000}"/>
    <cellStyle name="Currency 18" xfId="293" xr:uid="{00000000-0005-0000-0000-00003A000000}"/>
    <cellStyle name="Currency 19" xfId="294" xr:uid="{00000000-0005-0000-0000-00003B000000}"/>
    <cellStyle name="Currency 2" xfId="69" xr:uid="{00000000-0005-0000-0000-00003C000000}"/>
    <cellStyle name="Currency 2 2" xfId="111" xr:uid="{00000000-0005-0000-0000-00003D000000}"/>
    <cellStyle name="Currency 2 2 2" xfId="202" xr:uid="{00000000-0005-0000-0000-00003E000000}"/>
    <cellStyle name="Currency 2 3" xfId="280" xr:uid="{00000000-0005-0000-0000-00003F000000}"/>
    <cellStyle name="Currency 20" xfId="295" xr:uid="{00000000-0005-0000-0000-000040000000}"/>
    <cellStyle name="Currency 21" xfId="296" xr:uid="{00000000-0005-0000-0000-000041000000}"/>
    <cellStyle name="Currency 22" xfId="297" xr:uid="{00000000-0005-0000-0000-000042000000}"/>
    <cellStyle name="Currency 3" xfId="67" xr:uid="{00000000-0005-0000-0000-000043000000}"/>
    <cellStyle name="Currency 3 2" xfId="279" xr:uid="{00000000-0005-0000-0000-000044000000}"/>
    <cellStyle name="Currency 4" xfId="115" xr:uid="{00000000-0005-0000-0000-000045000000}"/>
    <cellStyle name="Currency 4 2" xfId="204" xr:uid="{00000000-0005-0000-0000-000046000000}"/>
    <cellStyle name="Currency 4 3" xfId="281" xr:uid="{00000000-0005-0000-0000-000047000000}"/>
    <cellStyle name="Currency 5" xfId="116" xr:uid="{00000000-0005-0000-0000-000048000000}"/>
    <cellStyle name="Currency 5 2" xfId="205" xr:uid="{00000000-0005-0000-0000-000049000000}"/>
    <cellStyle name="Currency 6" xfId="117" xr:uid="{00000000-0005-0000-0000-00004A000000}"/>
    <cellStyle name="Currency 6 2" xfId="206" xr:uid="{00000000-0005-0000-0000-00004B000000}"/>
    <cellStyle name="Currency 7" xfId="118" xr:uid="{00000000-0005-0000-0000-00004C000000}"/>
    <cellStyle name="Currency 7 2" xfId="207" xr:uid="{00000000-0005-0000-0000-00004D000000}"/>
    <cellStyle name="Currency 8" xfId="194" xr:uid="{00000000-0005-0000-0000-00004E000000}"/>
    <cellStyle name="Currency 9" xfId="195" xr:uid="{00000000-0005-0000-0000-00004F000000}"/>
    <cellStyle name="Data Field" xfId="119" xr:uid="{00000000-0005-0000-0000-000050000000}"/>
    <cellStyle name="Data Field 2" xfId="208" xr:uid="{00000000-0005-0000-0000-000051000000}"/>
    <cellStyle name="Data Name" xfId="120" xr:uid="{00000000-0005-0000-0000-000052000000}"/>
    <cellStyle name="Data Name 2" xfId="209" xr:uid="{00000000-0005-0000-0000-000053000000}"/>
    <cellStyle name="Explanatory Text" xfId="8" builtinId="53" customBuiltin="1"/>
    <cellStyle name="Followed Hyperlink" xfId="287" builtinId="9" customBuiltin="1"/>
    <cellStyle name="Good" xfId="3" builtinId="26" customBuiltin="1"/>
    <cellStyle name="Heading 1" xfId="17" builtinId="16" customBuiltin="1"/>
    <cellStyle name="Heading 2" xfId="18" builtinId="17" customBuiltin="1"/>
    <cellStyle name="Heading 3" xfId="19" builtinId="18" customBuiltin="1"/>
    <cellStyle name="Heading 4" xfId="20" builtinId="19" customBuiltin="1"/>
    <cellStyle name="Hyperlink" xfId="286" builtinId="8" customBuiltin="1"/>
    <cellStyle name="Hyperlink 2" xfId="121" xr:uid="{00000000-0005-0000-0000-00005C000000}"/>
    <cellStyle name="Hyperlink 3" xfId="122" xr:uid="{00000000-0005-0000-0000-00005D000000}"/>
    <cellStyle name="Hyperlink 4" xfId="300" xr:uid="{00000000-0005-0000-0000-00005E000000}"/>
    <cellStyle name="Hyperlink 5" xfId="298" xr:uid="{00000000-0005-0000-0000-00005F000000}"/>
    <cellStyle name="Input" xfId="6" builtinId="20" customBuiltin="1"/>
    <cellStyle name="Linked Cell" xfId="15" builtinId="24" customBuiltin="1"/>
    <cellStyle name="Neutral" xfId="5" builtinId="28" customBuiltin="1"/>
    <cellStyle name="Normal" xfId="0" builtinId="0"/>
    <cellStyle name="Normal 10" xfId="123" xr:uid="{00000000-0005-0000-0000-000064000000}"/>
    <cellStyle name="Normal 10 2" xfId="124" xr:uid="{00000000-0005-0000-0000-000065000000}"/>
    <cellStyle name="Normal 10 2 2" xfId="211" xr:uid="{00000000-0005-0000-0000-000066000000}"/>
    <cellStyle name="Normal 10 3" xfId="210" xr:uid="{00000000-0005-0000-0000-000067000000}"/>
    <cellStyle name="Normal 11" xfId="125" xr:uid="{00000000-0005-0000-0000-000068000000}"/>
    <cellStyle name="Normal 11 2" xfId="212" xr:uid="{00000000-0005-0000-0000-000069000000}"/>
    <cellStyle name="Normal 12" xfId="126" xr:uid="{00000000-0005-0000-0000-00006A000000}"/>
    <cellStyle name="Normal 12 2" xfId="213" xr:uid="{00000000-0005-0000-0000-00006B000000}"/>
    <cellStyle name="Normal 13" xfId="127" xr:uid="{00000000-0005-0000-0000-00006C000000}"/>
    <cellStyle name="Normal 13 2" xfId="214" xr:uid="{00000000-0005-0000-0000-00006D000000}"/>
    <cellStyle name="Normal 14" xfId="128" xr:uid="{00000000-0005-0000-0000-00006E000000}"/>
    <cellStyle name="Normal 14 2" xfId="215" xr:uid="{00000000-0005-0000-0000-00006F000000}"/>
    <cellStyle name="Normal 15" xfId="129" xr:uid="{00000000-0005-0000-0000-000070000000}"/>
    <cellStyle name="Normal 16" xfId="130" xr:uid="{00000000-0005-0000-0000-000071000000}"/>
    <cellStyle name="Normal 16 2" xfId="216" xr:uid="{00000000-0005-0000-0000-000072000000}"/>
    <cellStyle name="Normal 17" xfId="48" xr:uid="{00000000-0005-0000-0000-000073000000}"/>
    <cellStyle name="Normal 18" xfId="131" xr:uid="{00000000-0005-0000-0000-000074000000}"/>
    <cellStyle name="Normal 18 2" xfId="217" xr:uid="{00000000-0005-0000-0000-000075000000}"/>
    <cellStyle name="Normal 19" xfId="132" xr:uid="{00000000-0005-0000-0000-000076000000}"/>
    <cellStyle name="Normal 19 2" xfId="218" xr:uid="{00000000-0005-0000-0000-000077000000}"/>
    <cellStyle name="Normal 2" xfId="51" xr:uid="{00000000-0005-0000-0000-000078000000}"/>
    <cellStyle name="Normal 2 2" xfId="71" xr:uid="{00000000-0005-0000-0000-000079000000}"/>
    <cellStyle name="Normal 2 2 2" xfId="72" xr:uid="{00000000-0005-0000-0000-00007A000000}"/>
    <cellStyle name="Normal 2 2 3" xfId="73" xr:uid="{00000000-0005-0000-0000-00007B000000}"/>
    <cellStyle name="Normal 2 2 4" xfId="74" xr:uid="{00000000-0005-0000-0000-00007C000000}"/>
    <cellStyle name="Normal 2 2 5" xfId="75" xr:uid="{00000000-0005-0000-0000-00007D000000}"/>
    <cellStyle name="Normal 2 2 6" xfId="76" xr:uid="{00000000-0005-0000-0000-00007E000000}"/>
    <cellStyle name="Normal 2 2 7" xfId="77" xr:uid="{00000000-0005-0000-0000-00007F000000}"/>
    <cellStyle name="Normal 2 2 8" xfId="78" xr:uid="{00000000-0005-0000-0000-000080000000}"/>
    <cellStyle name="Normal 2 2 9" xfId="79" xr:uid="{00000000-0005-0000-0000-000081000000}"/>
    <cellStyle name="Normal 2 3" xfId="80" xr:uid="{00000000-0005-0000-0000-000082000000}"/>
    <cellStyle name="Normal 2 4" xfId="81" xr:uid="{00000000-0005-0000-0000-000083000000}"/>
    <cellStyle name="Normal 2 4 2" xfId="82" xr:uid="{00000000-0005-0000-0000-000084000000}"/>
    <cellStyle name="Normal 2 5" xfId="110" xr:uid="{00000000-0005-0000-0000-000085000000}"/>
    <cellStyle name="Normal 2 5 2" xfId="201" xr:uid="{00000000-0005-0000-0000-000086000000}"/>
    <cellStyle name="Normal 2 6" xfId="47" xr:uid="{00000000-0005-0000-0000-000087000000}"/>
    <cellStyle name="Normal 2 6 2" xfId="70" xr:uid="{00000000-0005-0000-0000-000088000000}"/>
    <cellStyle name="Normal 2 7" xfId="299" xr:uid="{00000000-0005-0000-0000-000089000000}"/>
    <cellStyle name="Normal 26" xfId="106" xr:uid="{00000000-0005-0000-0000-00008A000000}"/>
    <cellStyle name="Normal 26 2" xfId="199" xr:uid="{00000000-0005-0000-0000-00008B000000}"/>
    <cellStyle name="Normal 27" xfId="107" xr:uid="{00000000-0005-0000-0000-00008C000000}"/>
    <cellStyle name="Normal 27 2" xfId="200" xr:uid="{00000000-0005-0000-0000-00008D000000}"/>
    <cellStyle name="Normal 28" xfId="133" xr:uid="{00000000-0005-0000-0000-00008E000000}"/>
    <cellStyle name="Normal 28 2" xfId="219" xr:uid="{00000000-0005-0000-0000-00008F000000}"/>
    <cellStyle name="Normal 3" xfId="83" xr:uid="{00000000-0005-0000-0000-000090000000}"/>
    <cellStyle name="Normal 3 2" xfId="84" xr:uid="{00000000-0005-0000-0000-000091000000}"/>
    <cellStyle name="Normal 3 2 2" xfId="85" xr:uid="{00000000-0005-0000-0000-000092000000}"/>
    <cellStyle name="Normal 3 2 3" xfId="86" xr:uid="{00000000-0005-0000-0000-000093000000}"/>
    <cellStyle name="Normal 3 2 4" xfId="87" xr:uid="{00000000-0005-0000-0000-000094000000}"/>
    <cellStyle name="Normal 3 2 5" xfId="88" xr:uid="{00000000-0005-0000-0000-000095000000}"/>
    <cellStyle name="Normal 3 2 6" xfId="89" xr:uid="{00000000-0005-0000-0000-000096000000}"/>
    <cellStyle name="Normal 3 2 7" xfId="90" xr:uid="{00000000-0005-0000-0000-000097000000}"/>
    <cellStyle name="Normal 3 2 8" xfId="91" xr:uid="{00000000-0005-0000-0000-000098000000}"/>
    <cellStyle name="Normal 3 2 9" xfId="92" xr:uid="{00000000-0005-0000-0000-000099000000}"/>
    <cellStyle name="Normal 3 3" xfId="108" xr:uid="{00000000-0005-0000-0000-00009A000000}"/>
    <cellStyle name="Normal 3 40" xfId="109" xr:uid="{00000000-0005-0000-0000-00009B000000}"/>
    <cellStyle name="Normal 33" xfId="277" xr:uid="{00000000-0005-0000-0000-00009C000000}"/>
    <cellStyle name="Normal 35" xfId="301" xr:uid="{00000000-0005-0000-0000-00009D000000}"/>
    <cellStyle name="Normal 36" xfId="134" xr:uid="{00000000-0005-0000-0000-00009E000000}"/>
    <cellStyle name="Normal 36 2" xfId="220" xr:uid="{00000000-0005-0000-0000-00009F000000}"/>
    <cellStyle name="Normal 37" xfId="135" xr:uid="{00000000-0005-0000-0000-0000A0000000}"/>
    <cellStyle name="Normal 37 2" xfId="221" xr:uid="{00000000-0005-0000-0000-0000A1000000}"/>
    <cellStyle name="Normal 38" xfId="136" xr:uid="{00000000-0005-0000-0000-0000A2000000}"/>
    <cellStyle name="Normal 38 2" xfId="222" xr:uid="{00000000-0005-0000-0000-0000A3000000}"/>
    <cellStyle name="Normal 39" xfId="137" xr:uid="{00000000-0005-0000-0000-0000A4000000}"/>
    <cellStyle name="Normal 39 2" xfId="223" xr:uid="{00000000-0005-0000-0000-0000A5000000}"/>
    <cellStyle name="Normal 4" xfId="10" xr:uid="{00000000-0005-0000-0000-0000A6000000}"/>
    <cellStyle name="Normal 4 2" xfId="94" xr:uid="{00000000-0005-0000-0000-0000A7000000}"/>
    <cellStyle name="Normal 4 3" xfId="93" xr:uid="{00000000-0005-0000-0000-0000A8000000}"/>
    <cellStyle name="Normal 4 4" xfId="278" xr:uid="{00000000-0005-0000-0000-0000A9000000}"/>
    <cellStyle name="Normal 40" xfId="138" xr:uid="{00000000-0005-0000-0000-0000AA000000}"/>
    <cellStyle name="Normal 40 2" xfId="224" xr:uid="{00000000-0005-0000-0000-0000AB000000}"/>
    <cellStyle name="Normal 41" xfId="139" xr:uid="{00000000-0005-0000-0000-0000AC000000}"/>
    <cellStyle name="Normal 41 2" xfId="225" xr:uid="{00000000-0005-0000-0000-0000AD000000}"/>
    <cellStyle name="Normal 42" xfId="140" xr:uid="{00000000-0005-0000-0000-0000AE000000}"/>
    <cellStyle name="Normal 42 2" xfId="226" xr:uid="{00000000-0005-0000-0000-0000AF000000}"/>
    <cellStyle name="Normal 43" xfId="141" xr:uid="{00000000-0005-0000-0000-0000B0000000}"/>
    <cellStyle name="Normal 43 2" xfId="227" xr:uid="{00000000-0005-0000-0000-0000B1000000}"/>
    <cellStyle name="Normal 44" xfId="142" xr:uid="{00000000-0005-0000-0000-0000B2000000}"/>
    <cellStyle name="Normal 44 2" xfId="228" xr:uid="{00000000-0005-0000-0000-0000B3000000}"/>
    <cellStyle name="Normal 45" xfId="143" xr:uid="{00000000-0005-0000-0000-0000B4000000}"/>
    <cellStyle name="Normal 45 2" xfId="229" xr:uid="{00000000-0005-0000-0000-0000B5000000}"/>
    <cellStyle name="Normal 46" xfId="144" xr:uid="{00000000-0005-0000-0000-0000B6000000}"/>
    <cellStyle name="Normal 46 2" xfId="230" xr:uid="{00000000-0005-0000-0000-0000B7000000}"/>
    <cellStyle name="Normal 47" xfId="145" xr:uid="{00000000-0005-0000-0000-0000B8000000}"/>
    <cellStyle name="Normal 47 2" xfId="231" xr:uid="{00000000-0005-0000-0000-0000B9000000}"/>
    <cellStyle name="Normal 48" xfId="146" xr:uid="{00000000-0005-0000-0000-0000BA000000}"/>
    <cellStyle name="Normal 48 2" xfId="232" xr:uid="{00000000-0005-0000-0000-0000BB000000}"/>
    <cellStyle name="Normal 49" xfId="147" xr:uid="{00000000-0005-0000-0000-0000BC000000}"/>
    <cellStyle name="Normal 49 2" xfId="233" xr:uid="{00000000-0005-0000-0000-0000BD000000}"/>
    <cellStyle name="Normal 5" xfId="95" xr:uid="{00000000-0005-0000-0000-0000BE000000}"/>
    <cellStyle name="Normal 5 2" xfId="96" xr:uid="{00000000-0005-0000-0000-0000BF000000}"/>
    <cellStyle name="Normal 5 3" xfId="97" xr:uid="{00000000-0005-0000-0000-0000C0000000}"/>
    <cellStyle name="Normal 5 4" xfId="98" xr:uid="{00000000-0005-0000-0000-0000C1000000}"/>
    <cellStyle name="Normal 50" xfId="148" xr:uid="{00000000-0005-0000-0000-0000C2000000}"/>
    <cellStyle name="Normal 50 2" xfId="234" xr:uid="{00000000-0005-0000-0000-0000C3000000}"/>
    <cellStyle name="Normal 51" xfId="149" xr:uid="{00000000-0005-0000-0000-0000C4000000}"/>
    <cellStyle name="Normal 51 2" xfId="235" xr:uid="{00000000-0005-0000-0000-0000C5000000}"/>
    <cellStyle name="Normal 52" xfId="150" xr:uid="{00000000-0005-0000-0000-0000C6000000}"/>
    <cellStyle name="Normal 52 2" xfId="236" xr:uid="{00000000-0005-0000-0000-0000C7000000}"/>
    <cellStyle name="Normal 53" xfId="151" xr:uid="{00000000-0005-0000-0000-0000C8000000}"/>
    <cellStyle name="Normal 53 2" xfId="237" xr:uid="{00000000-0005-0000-0000-0000C9000000}"/>
    <cellStyle name="Normal 54" xfId="152" xr:uid="{00000000-0005-0000-0000-0000CA000000}"/>
    <cellStyle name="Normal 54 2" xfId="238" xr:uid="{00000000-0005-0000-0000-0000CB000000}"/>
    <cellStyle name="Normal 55" xfId="153" xr:uid="{00000000-0005-0000-0000-0000CC000000}"/>
    <cellStyle name="Normal 55 2" xfId="239" xr:uid="{00000000-0005-0000-0000-0000CD000000}"/>
    <cellStyle name="Normal 56" xfId="154" xr:uid="{00000000-0005-0000-0000-0000CE000000}"/>
    <cellStyle name="Normal 56 2" xfId="240" xr:uid="{00000000-0005-0000-0000-0000CF000000}"/>
    <cellStyle name="Normal 57" xfId="155" xr:uid="{00000000-0005-0000-0000-0000D0000000}"/>
    <cellStyle name="Normal 57 2" xfId="241" xr:uid="{00000000-0005-0000-0000-0000D1000000}"/>
    <cellStyle name="Normal 58" xfId="156" xr:uid="{00000000-0005-0000-0000-0000D2000000}"/>
    <cellStyle name="Normal 58 2" xfId="242" xr:uid="{00000000-0005-0000-0000-0000D3000000}"/>
    <cellStyle name="Normal 59" xfId="157" xr:uid="{00000000-0005-0000-0000-0000D4000000}"/>
    <cellStyle name="Normal 59 2" xfId="243" xr:uid="{00000000-0005-0000-0000-0000D5000000}"/>
    <cellStyle name="Normal 6" xfId="99" xr:uid="{00000000-0005-0000-0000-0000D6000000}"/>
    <cellStyle name="Normal 6 2" xfId="100" xr:uid="{00000000-0005-0000-0000-0000D7000000}"/>
    <cellStyle name="Normal 6 3" xfId="101" xr:uid="{00000000-0005-0000-0000-0000D8000000}"/>
    <cellStyle name="Normal 60" xfId="158" xr:uid="{00000000-0005-0000-0000-0000D9000000}"/>
    <cellStyle name="Normal 60 2" xfId="244" xr:uid="{00000000-0005-0000-0000-0000DA000000}"/>
    <cellStyle name="Normal 61" xfId="159" xr:uid="{00000000-0005-0000-0000-0000DB000000}"/>
    <cellStyle name="Normal 61 2" xfId="245" xr:uid="{00000000-0005-0000-0000-0000DC000000}"/>
    <cellStyle name="Normal 62" xfId="160" xr:uid="{00000000-0005-0000-0000-0000DD000000}"/>
    <cellStyle name="Normal 62 2" xfId="246" xr:uid="{00000000-0005-0000-0000-0000DE000000}"/>
    <cellStyle name="Normal 63" xfId="161" xr:uid="{00000000-0005-0000-0000-0000DF000000}"/>
    <cellStyle name="Normal 63 2" xfId="247" xr:uid="{00000000-0005-0000-0000-0000E0000000}"/>
    <cellStyle name="Normal 64" xfId="162" xr:uid="{00000000-0005-0000-0000-0000E1000000}"/>
    <cellStyle name="Normal 64 2" xfId="248" xr:uid="{00000000-0005-0000-0000-0000E2000000}"/>
    <cellStyle name="Normal 65" xfId="163" xr:uid="{00000000-0005-0000-0000-0000E3000000}"/>
    <cellStyle name="Normal 65 2" xfId="249" xr:uid="{00000000-0005-0000-0000-0000E4000000}"/>
    <cellStyle name="Normal 66" xfId="164" xr:uid="{00000000-0005-0000-0000-0000E5000000}"/>
    <cellStyle name="Normal 66 2" xfId="250" xr:uid="{00000000-0005-0000-0000-0000E6000000}"/>
    <cellStyle name="Normal 67" xfId="165" xr:uid="{00000000-0005-0000-0000-0000E7000000}"/>
    <cellStyle name="Normal 67 2" xfId="251" xr:uid="{00000000-0005-0000-0000-0000E8000000}"/>
    <cellStyle name="Normal 69" xfId="166" xr:uid="{00000000-0005-0000-0000-0000E9000000}"/>
    <cellStyle name="Normal 69 2" xfId="252" xr:uid="{00000000-0005-0000-0000-0000EA000000}"/>
    <cellStyle name="Normal 7" xfId="102" xr:uid="{00000000-0005-0000-0000-0000EB000000}"/>
    <cellStyle name="Normal 70" xfId="167" xr:uid="{00000000-0005-0000-0000-0000EC000000}"/>
    <cellStyle name="Normal 70 2" xfId="253" xr:uid="{00000000-0005-0000-0000-0000ED000000}"/>
    <cellStyle name="Normal 71" xfId="168" xr:uid="{00000000-0005-0000-0000-0000EE000000}"/>
    <cellStyle name="Normal 71 2" xfId="254" xr:uid="{00000000-0005-0000-0000-0000EF000000}"/>
    <cellStyle name="Normal 72" xfId="169" xr:uid="{00000000-0005-0000-0000-0000F0000000}"/>
    <cellStyle name="Normal 72 2" xfId="255" xr:uid="{00000000-0005-0000-0000-0000F1000000}"/>
    <cellStyle name="Normal 73" xfId="170" xr:uid="{00000000-0005-0000-0000-0000F2000000}"/>
    <cellStyle name="Normal 73 2" xfId="256" xr:uid="{00000000-0005-0000-0000-0000F3000000}"/>
    <cellStyle name="Normal 74" xfId="171" xr:uid="{00000000-0005-0000-0000-0000F4000000}"/>
    <cellStyle name="Normal 74 2" xfId="257" xr:uid="{00000000-0005-0000-0000-0000F5000000}"/>
    <cellStyle name="Normal 75" xfId="172" xr:uid="{00000000-0005-0000-0000-0000F6000000}"/>
    <cellStyle name="Normal 75 2" xfId="258" xr:uid="{00000000-0005-0000-0000-0000F7000000}"/>
    <cellStyle name="Normal 76" xfId="173" xr:uid="{00000000-0005-0000-0000-0000F8000000}"/>
    <cellStyle name="Normal 76 2" xfId="259" xr:uid="{00000000-0005-0000-0000-0000F9000000}"/>
    <cellStyle name="Normal 77" xfId="174" xr:uid="{00000000-0005-0000-0000-0000FA000000}"/>
    <cellStyle name="Normal 77 2" xfId="260" xr:uid="{00000000-0005-0000-0000-0000FB000000}"/>
    <cellStyle name="Normal 78" xfId="175" xr:uid="{00000000-0005-0000-0000-0000FC000000}"/>
    <cellStyle name="Normal 78 2" xfId="261" xr:uid="{00000000-0005-0000-0000-0000FD000000}"/>
    <cellStyle name="Normal 79" xfId="176" xr:uid="{00000000-0005-0000-0000-0000FE000000}"/>
    <cellStyle name="Normal 79 2" xfId="262" xr:uid="{00000000-0005-0000-0000-0000FF000000}"/>
    <cellStyle name="Normal 8" xfId="103" xr:uid="{00000000-0005-0000-0000-000000010000}"/>
    <cellStyle name="Normal 80" xfId="177" xr:uid="{00000000-0005-0000-0000-000001010000}"/>
    <cellStyle name="Normal 80 2" xfId="263" xr:uid="{00000000-0005-0000-0000-000002010000}"/>
    <cellStyle name="Normal 81" xfId="178" xr:uid="{00000000-0005-0000-0000-000003010000}"/>
    <cellStyle name="Normal 81 2" xfId="264" xr:uid="{00000000-0005-0000-0000-000004010000}"/>
    <cellStyle name="Normal 82" xfId="179" xr:uid="{00000000-0005-0000-0000-000005010000}"/>
    <cellStyle name="Normal 82 2" xfId="265" xr:uid="{00000000-0005-0000-0000-000006010000}"/>
    <cellStyle name="Normal 83" xfId="180" xr:uid="{00000000-0005-0000-0000-000007010000}"/>
    <cellStyle name="Normal 83 2" xfId="266" xr:uid="{00000000-0005-0000-0000-000008010000}"/>
    <cellStyle name="Normal 84" xfId="181" xr:uid="{00000000-0005-0000-0000-000009010000}"/>
    <cellStyle name="Normal 84 2" xfId="267" xr:uid="{00000000-0005-0000-0000-00000A010000}"/>
    <cellStyle name="Normal 85" xfId="182" xr:uid="{00000000-0005-0000-0000-00000B010000}"/>
    <cellStyle name="Normal 85 2" xfId="268" xr:uid="{00000000-0005-0000-0000-00000C010000}"/>
    <cellStyle name="Normal 86" xfId="183" xr:uid="{00000000-0005-0000-0000-00000D010000}"/>
    <cellStyle name="Normal 86 2" xfId="269" xr:uid="{00000000-0005-0000-0000-00000E010000}"/>
    <cellStyle name="Normal 87" xfId="184" xr:uid="{00000000-0005-0000-0000-00000F010000}"/>
    <cellStyle name="Normal 87 2" xfId="270" xr:uid="{00000000-0005-0000-0000-000010010000}"/>
    <cellStyle name="Normal 9" xfId="104" xr:uid="{00000000-0005-0000-0000-000011010000}"/>
    <cellStyle name="Normal 9 2" xfId="105" xr:uid="{00000000-0005-0000-0000-000012010000}"/>
    <cellStyle name="Normal 9 2 2" xfId="198" xr:uid="{00000000-0005-0000-0000-000013010000}"/>
    <cellStyle name="Note" xfId="14" builtinId="10" customBuiltin="1"/>
    <cellStyle name="Note 2" xfId="53" xr:uid="{00000000-0005-0000-0000-000015010000}"/>
    <cellStyle name="Output" xfId="12" builtinId="21" customBuiltin="1"/>
    <cellStyle name="Percent" xfId="2" builtinId="5"/>
    <cellStyle name="Percent 10" xfId="113" xr:uid="{00000000-0005-0000-0000-000018010000}"/>
    <cellStyle name="Percent 11" xfId="49" xr:uid="{00000000-0005-0000-0000-000019010000}"/>
    <cellStyle name="Percent 11 2" xfId="290" xr:uid="{00000000-0005-0000-0000-00001A010000}"/>
    <cellStyle name="Percent 2" xfId="185" xr:uid="{00000000-0005-0000-0000-00001B010000}"/>
    <cellStyle name="Percent 2 2" xfId="271" xr:uid="{00000000-0005-0000-0000-00001C010000}"/>
    <cellStyle name="Percent 3" xfId="186" xr:uid="{00000000-0005-0000-0000-00001D010000}"/>
    <cellStyle name="Percent 3 2" xfId="272" xr:uid="{00000000-0005-0000-0000-00001E010000}"/>
    <cellStyle name="Percent 3 3" xfId="283" xr:uid="{00000000-0005-0000-0000-00001F010000}"/>
    <cellStyle name="Percent 4" xfId="187" xr:uid="{00000000-0005-0000-0000-000020010000}"/>
    <cellStyle name="Percent 4 2" xfId="273" xr:uid="{00000000-0005-0000-0000-000021010000}"/>
    <cellStyle name="Percent 4 3" xfId="284" xr:uid="{00000000-0005-0000-0000-000022010000}"/>
    <cellStyle name="Percent 5" xfId="188" xr:uid="{00000000-0005-0000-0000-000023010000}"/>
    <cellStyle name="Percent 5 2" xfId="274" xr:uid="{00000000-0005-0000-0000-000024010000}"/>
    <cellStyle name="Percent 6" xfId="189" xr:uid="{00000000-0005-0000-0000-000025010000}"/>
    <cellStyle name="Percent 6 2" xfId="275" xr:uid="{00000000-0005-0000-0000-000026010000}"/>
    <cellStyle name="Percent 7" xfId="190" xr:uid="{00000000-0005-0000-0000-000027010000}"/>
    <cellStyle name="Percent 8" xfId="191" xr:uid="{00000000-0005-0000-0000-000028010000}"/>
    <cellStyle name="Percent 8 2" xfId="276" xr:uid="{00000000-0005-0000-0000-000029010000}"/>
    <cellStyle name="Percent 9" xfId="196" xr:uid="{00000000-0005-0000-0000-00002A010000}"/>
    <cellStyle name="Title" xfId="16" builtinId="15" customBuiltin="1"/>
    <cellStyle name="Total" xfId="22" builtinId="25" customBuiltin="1"/>
    <cellStyle name="Warning Text" xfId="21" builtinId="11" customBuiltin="1"/>
  </cellStyles>
  <dxfs count="0"/>
  <tableStyles count="0" defaultTableStyle="TableStyleMedium2" defaultPivotStyle="PivotStyleLight16"/>
  <colors>
    <mruColors>
      <color rgb="FFFF00FF"/>
      <color rgb="FF0000CC"/>
      <color rgb="FFFFCC99"/>
      <color rgb="FF008000"/>
      <color rgb="FF0066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9" Type="http://schemas.openxmlformats.org/officeDocument/2006/relationships/externalLink" Target="externalLinks/externalLink17.xml"/><Relationship Id="rId21" Type="http://schemas.openxmlformats.org/officeDocument/2006/relationships/worksheet" Target="worksheets/sheet21.xml"/><Relationship Id="rId34" Type="http://schemas.openxmlformats.org/officeDocument/2006/relationships/externalLink" Target="externalLinks/externalLink12.xml"/><Relationship Id="rId42" Type="http://schemas.openxmlformats.org/officeDocument/2006/relationships/externalLink" Target="externalLinks/externalLink20.xml"/><Relationship Id="rId47" Type="http://schemas.openxmlformats.org/officeDocument/2006/relationships/sharedStrings" Target="sharedStrings.xml"/><Relationship Id="rId50"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7.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externalLink" Target="externalLinks/externalLink10.xml"/><Relationship Id="rId37" Type="http://schemas.openxmlformats.org/officeDocument/2006/relationships/externalLink" Target="externalLinks/externalLink15.xml"/><Relationship Id="rId40" Type="http://schemas.openxmlformats.org/officeDocument/2006/relationships/externalLink" Target="externalLinks/externalLink18.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36" Type="http://schemas.openxmlformats.org/officeDocument/2006/relationships/externalLink" Target="externalLinks/externalLink14.xml"/><Relationship Id="rId49"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9.xml"/><Relationship Id="rId44" Type="http://schemas.openxmlformats.org/officeDocument/2006/relationships/externalLink" Target="externalLinks/externalLink2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externalLink" Target="externalLinks/externalLink8.xml"/><Relationship Id="rId35" Type="http://schemas.openxmlformats.org/officeDocument/2006/relationships/externalLink" Target="externalLinks/externalLink13.xml"/><Relationship Id="rId43" Type="http://schemas.openxmlformats.org/officeDocument/2006/relationships/externalLink" Target="externalLinks/externalLink21.xml"/><Relationship Id="rId48"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externalLink" Target="externalLinks/externalLink11.xml"/><Relationship Id="rId38" Type="http://schemas.openxmlformats.org/officeDocument/2006/relationships/externalLink" Target="externalLinks/externalLink16.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worksheet" Target="worksheets/sheet6.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E:\CorpAcctg\%23Energy%20Efficiency\MEEIA\Metro%20MEEIA%20DSIM%20RIDER\20241201%20Filing\Billed%20kWh%20projection%2020241120-%20Metro.xlsx" TargetMode="External"/><Relationship Id="rId1" Type="http://schemas.openxmlformats.org/officeDocument/2006/relationships/externalLinkPath" Target="https://caseworks.evergy.com/376/DataRequests/29417/Library/Red%20Lines/Billed%20kWh%20projection%2020241120-%20Metro.xlsx" TargetMode="External"/></Relationships>
</file>

<file path=xl/externalLinks/_rels/externalLink10.xml.rels><?xml version="1.0" encoding="UTF-8" standalone="yes"?>
<Relationships xmlns="http://schemas.openxmlformats.org/package/2006/relationships"><Relationship Id="rId2" Type="http://schemas.openxmlformats.org/officeDocument/2006/relationships/externalLinkPath" Target="file:///E:\CorpAcctg\%23Energy%20Efficiency\MEEIA\Metro%20MEEIA%20DSIM%20RIDER\20241201%20Filing\08%202024%20Metro%20Spend%20Allocations%20Worksheet%20FINAL.xlsx" TargetMode="External"/><Relationship Id="rId1" Type="http://schemas.openxmlformats.org/officeDocument/2006/relationships/externalLinkPath" Target="https://caseworks.evergy.com/376/DataRequests/29417/Library/Red%20Lines/08%202024%20Metro%20Spend%20Allocations%20Worksheet%20FINAL.xlsx" TargetMode="External"/></Relationships>
</file>

<file path=xl/externalLinks/_rels/externalLink11.xml.rels><?xml version="1.0" encoding="UTF-8" standalone="yes"?>
<Relationships xmlns="http://schemas.openxmlformats.org/package/2006/relationships"><Relationship Id="rId2" Type="http://schemas.openxmlformats.org/officeDocument/2006/relationships/externalLinkPath" Target="file:///E:\CorpAcctg\%23Energy%20Efficiency\MEEIA\Metro%20MEEIA%20DSIM%20RIDER\20241201%20Filing\09%202024%20Metro%20Spend%20Allocations%20Worksheet%20FINAL.xlsx" TargetMode="External"/><Relationship Id="rId1" Type="http://schemas.openxmlformats.org/officeDocument/2006/relationships/externalLinkPath" Target="https://caseworks.evergy.com/376/DataRequests/29417/Library/Red%20Lines/09%202024%20Metro%20Spend%20Allocations%20Worksheet%20FINAL.xlsx" TargetMode="External"/></Relationships>
</file>

<file path=xl/externalLinks/_rels/externalLink12.xml.rels><?xml version="1.0" encoding="UTF-8" standalone="yes"?>
<Relationships xmlns="http://schemas.openxmlformats.org/package/2006/relationships"><Relationship Id="rId2" Type="http://schemas.openxmlformats.org/officeDocument/2006/relationships/externalLinkPath" Target="file:///E:\CorpAcctg\%23Energy%20Efficiency\MEEIA\Metro%20MEEIA%20DSIM%20RIDER\20241201%20Filing\10%202024%20Metro%20Spend%20Allocations%20Worksheet%20FINAL.xlsx" TargetMode="External"/><Relationship Id="rId1" Type="http://schemas.openxmlformats.org/officeDocument/2006/relationships/externalLinkPath" Target="https://caseworks.evergy.com/376/DataRequests/29417/Library/Red%20Lines/10%202024%20Metro%20Spend%20Allocations%20Worksheet%20FINAL.xlsx" TargetMode="External"/></Relationships>
</file>

<file path=xl/externalLinks/_rels/externalLink13.xml.rels><?xml version="1.0" encoding="UTF-8" standalone="yes"?>
<Relationships xmlns="http://schemas.openxmlformats.org/package/2006/relationships"><Relationship Id="rId2" Type="http://schemas.openxmlformats.org/officeDocument/2006/relationships/externalLinkPath" Target="file:///E:\CorpAcctg\%23Energy%20Efficiency\MEEIA\Metro%20MEEIA%20DSIM%20RIDER\20241201%20Filing\Metro%20Cycle%203%20Monthly%20TD%20Calc%20102024%2011182024-%20for%20forecast.xlsx" TargetMode="External"/><Relationship Id="rId1" Type="http://schemas.openxmlformats.org/officeDocument/2006/relationships/externalLinkPath" Target="https://caseworks.evergy.com/376/DataRequests/29417/Library/Red%20Lines/Metro%20Cycle%203%20Monthly%20TD%20Calc%20102024%2011182024-%20for%20forecast.xlsx" TargetMode="External"/></Relationships>
</file>

<file path=xl/externalLinks/_rels/externalLink14.xml.rels><?xml version="1.0" encoding="UTF-8" standalone="yes"?>
<Relationships xmlns="http://schemas.openxmlformats.org/package/2006/relationships"><Relationship Id="rId2" Type="http://schemas.openxmlformats.org/officeDocument/2006/relationships/externalLinkPath" Target="file:///E:\CorpAcctg\%23Energy%20Efficiency\MEEIA\Metro%20MEEIA%20DSIM%20RIDER\20241201%20Filing\Copy%20of%20Metro%20Cycle%203%20Monthly%20TD%20Calc%20042024%2005172024-%20for%20forecast.xlsx" TargetMode="External"/><Relationship Id="rId1" Type="http://schemas.openxmlformats.org/officeDocument/2006/relationships/externalLinkPath" Target="https://caseworks.evergy.com/376/DataRequests/29417/Library/Red%20Lines/Copy%20of%20Metro%20Cycle%203%20Monthly%20TD%20Calc%20042024%2005172024-%20for%20forecast.xlsx" TargetMode="External"/></Relationships>
</file>

<file path=xl/externalLinks/_rels/externalLink15.xml.rels><?xml version="1.0" encoding="UTF-8" standalone="yes"?>
<Relationships xmlns="http://schemas.openxmlformats.org/package/2006/relationships"><Relationship Id="rId2" Type="http://schemas.openxmlformats.org/officeDocument/2006/relationships/externalLinkPath" Target="file:///E:\CorpAcctg\%23Energy%20Efficiency\MEEIA\Metro%20MEEIA%20DSIM%20RIDER\20241201%20Filing\Metro%20EO%20Calculated%20Cycle%203%20PY1.xlsx" TargetMode="External"/><Relationship Id="rId1" Type="http://schemas.openxmlformats.org/officeDocument/2006/relationships/externalLinkPath" Target="https://caseworks.evergy.com/376/DataRequests/29417/Library/Red%20Lines/Metro%20EO%20Calculated%20Cycle%203%20PY1.xlsx" TargetMode="External"/></Relationships>
</file>

<file path=xl/externalLinks/_rels/externalLink16.xml.rels><?xml version="1.0" encoding="UTF-8" standalone="yes"?>
<Relationships xmlns="http://schemas.openxmlformats.org/package/2006/relationships"><Relationship Id="rId2" Type="http://schemas.openxmlformats.org/officeDocument/2006/relationships/externalLinkPath" Target="file:///E:\CorpAcctg\%23Energy%20Efficiency\MEEIA\Metro%20MEEIA%20DSIM%20RIDER\20241201%20Filing\Metro%20Cycle%203%20PY1%20EO%20TD%20Adj%20Calc.xlsx" TargetMode="External"/><Relationship Id="rId1" Type="http://schemas.openxmlformats.org/officeDocument/2006/relationships/externalLinkPath" Target="https://caseworks.evergy.com/376/DataRequests/29417/Library/Red%20Lines/Metro%20Cycle%203%20PY1%20EO%20TD%20Adj%20Calc.xlsx" TargetMode="External"/></Relationships>
</file>

<file path=xl/externalLinks/_rels/externalLink17.xml.rels><?xml version="1.0" encoding="UTF-8" standalone="yes"?>
<Relationships xmlns="http://schemas.openxmlformats.org/package/2006/relationships"><Relationship Id="rId2" Type="http://schemas.openxmlformats.org/officeDocument/2006/relationships/externalLinkPath" Target="file:///E:\CorpAcctg\%23Energy%20Efficiency\MEEIA\Metro%20MEEIA%20DSIM%20RIDER\20241201%20Filing\Metro%20EO%20Calculated%20Cycle%203%20PY2.xlsx" TargetMode="External"/><Relationship Id="rId1" Type="http://schemas.openxmlformats.org/officeDocument/2006/relationships/externalLinkPath" Target="https://caseworks.evergy.com/376/DataRequests/29417/Library/Red%20Lines/Metro%20EO%20Calculated%20Cycle%203%20PY2.xlsx" TargetMode="External"/></Relationships>
</file>

<file path=xl/externalLinks/_rels/externalLink18.xml.rels><?xml version="1.0" encoding="UTF-8" standalone="yes"?>
<Relationships xmlns="http://schemas.openxmlformats.org/package/2006/relationships"><Relationship Id="rId2" Type="http://schemas.openxmlformats.org/officeDocument/2006/relationships/externalLinkPath" Target="file:///E:\CorpAcctg\%23Energy%20Efficiency\MEEIA\Metro%20MEEIA%20DSIM%20RIDER\20241201%20Filing\Metro%20Cycle%203%20PY2%20EO%20TD%20Adj%20Calc.xlsx" TargetMode="External"/><Relationship Id="rId1" Type="http://schemas.openxmlformats.org/officeDocument/2006/relationships/externalLinkPath" Target="https://caseworks.evergy.com/376/DataRequests/29417/Library/Red%20Lines/Metro%20Cycle%203%20PY2%20EO%20TD%20Adj%20Calc.xlsx" TargetMode="External"/></Relationships>
</file>

<file path=xl/externalLinks/_rels/externalLink19.xml.rels><?xml version="1.0" encoding="UTF-8" standalone="yes"?>
<Relationships xmlns="http://schemas.openxmlformats.org/package/2006/relationships"><Relationship Id="rId2" Type="http://schemas.openxmlformats.org/officeDocument/2006/relationships/externalLinkPath" Target="file:///E:\CorpAcctg\%23Energy%20Efficiency\MEEIA\Metro%20MEEIA%20DSIM%20RIDER\20241201%20Filing\Metro%20EO%20Calculated%20Cycle%203%20PY3.xlsx" TargetMode="External"/><Relationship Id="rId1" Type="http://schemas.openxmlformats.org/officeDocument/2006/relationships/externalLinkPath" Target="https://caseworks.evergy.com/376/DataRequests/29417/Library/Red%20Lines/Metro%20EO%20Calculated%20Cycle%203%20PY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E:\CorpAcctg\%23Energy%20Efficiency\MEEIA\Metro%20MEEIA%20DSIM%20RIDER\20241201%20Filing\Metro%20Program%20Costs%20by%20Customer%20Class%202024%20Ext%20112024-062025.xlsx" TargetMode="External"/><Relationship Id="rId1" Type="http://schemas.openxmlformats.org/officeDocument/2006/relationships/externalLinkPath" Target="https://caseworks.evergy.com/376/DataRequests/29417/Library/Red%20Lines/Metro%20Program%20Costs%20by%20Customer%20Class%202024%20Ext%20112024-062025.xlsx" TargetMode="External"/></Relationships>
</file>

<file path=xl/externalLinks/_rels/externalLink20.xml.rels><?xml version="1.0" encoding="UTF-8" standalone="yes"?>
<Relationships xmlns="http://schemas.openxmlformats.org/package/2006/relationships"><Relationship Id="rId2" Type="http://schemas.openxmlformats.org/officeDocument/2006/relationships/externalLinkPath" Target="file:///E:\CorpAcctg\%23Energy%20Efficiency\MEEIA\Metro%20MEEIA%20DSIM%20RIDER\20241201%20Filing\Metro%20Cycle%203%20PY3%20EO%20TD%20Adj%20Calc.xlsx" TargetMode="External"/><Relationship Id="rId1" Type="http://schemas.openxmlformats.org/officeDocument/2006/relationships/externalLinkPath" Target="https://caseworks.evergy.com/376/DataRequests/29417/Library/Red%20Lines/Metro%20Cycle%203%20PY3%20EO%20TD%20Adj%20Calc.xlsx" TargetMode="External"/></Relationships>
</file>

<file path=xl/externalLinks/_rels/externalLink21.xml.rels><?xml version="1.0" encoding="UTF-8" standalone="yes"?>
<Relationships xmlns="http://schemas.openxmlformats.org/package/2006/relationships"><Relationship Id="rId2" Type="http://schemas.openxmlformats.org/officeDocument/2006/relationships/externalLinkPath" Target="file:///E:\CorpAcctg\%23Energy%20Efficiency\MEEIA\Metro%20MEEIA%20DSIM%20RIDER\20241201%20Filing\Metro%20EO%20Calculated%20Cycle%203%20PY4.xlsx" TargetMode="External"/><Relationship Id="rId1" Type="http://schemas.openxmlformats.org/officeDocument/2006/relationships/externalLinkPath" Target="https://caseworks.evergy.com/376/DataRequests/29417/Library/Red%20Lines/Metro%20EO%20Calculated%20Cycle%203%20PY4.xlsx" TargetMode="External"/></Relationships>
</file>

<file path=xl/externalLinks/_rels/externalLink22.xml.rels><?xml version="1.0" encoding="UTF-8" standalone="yes"?>
<Relationships xmlns="http://schemas.openxmlformats.org/package/2006/relationships"><Relationship Id="rId2" Type="http://schemas.openxmlformats.org/officeDocument/2006/relationships/externalLinkPath" Target="file:///E:\CorpAcctg\%23Energy%20Efficiency\MEEIA\Metro%20MEEIA%20DSIM%20RIDER\20240601%20Filing\Schedule%20LAS-2_Metro%20MEEIA%20Rider%20Calcs_August%202024%20rate%20update%20linked%20FINAL.xlsx" TargetMode="External"/><Relationship Id="rId1" Type="http://schemas.openxmlformats.org/officeDocument/2006/relationships/externalLinkPath" Target="https://caseworks.evergy.com/CorpAcctg/#Energy Efficiency/MEEIA/Metro MEEIA DSIM RIDER/20240601 Filing/Schedule LAS-2_Metro MEEIA Rider Calcs_August 2024 rate update linked 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aseworks.evergy.com/376/DataRequests/29417/Library/Red%20Lines/CONF_MEEIA%204%20Portfolio%20Analysis%2011052024%20SXM-%20Metro%20new%2011222024.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E:\CorpAcctg\%23Energy%20Efficiency\MEEIA\Metro%20MEEIA%20DSIM%20RIDER\20241201%20Filing\Metro%20Cycle%202%20Monthly%20TD%20Calc%20%20122022%2001092023.xlsx" TargetMode="External"/><Relationship Id="rId1" Type="http://schemas.openxmlformats.org/officeDocument/2006/relationships/externalLinkPath" Target="https://caseworks.evergy.com/376/DataRequests/29417/Library/Red%20Lines/Metro%20Cycle%202%20Monthly%20TD%20Calc%20%20122022%2001092023.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E:\CorpAcctg\%23Energy%20Efficiency\MEEIA\Metro%20MEEIA%20DSIM%20RIDER\20241201%20Filing\Metro%20MEEIA%202024%20Revenue%20Analysis.xlsx" TargetMode="External"/><Relationship Id="rId1" Type="http://schemas.openxmlformats.org/officeDocument/2006/relationships/externalLinkPath" Target="https://caseworks.evergy.com/376/DataRequests/29417/Library/Red%20Lines/Metro%20MEEIA%202024%20Revenue%20Analysis.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E:\CorpAcctg\%23Energy%20Efficiency\MEEIA\Metro%20MEEIA%20DSIM%20RIDER\20241201%20Filing\Metro%20ST%20Borrowing%20Rates%20May24-Oct24.xlsx" TargetMode="External"/><Relationship Id="rId1" Type="http://schemas.openxmlformats.org/officeDocument/2006/relationships/externalLinkPath" Target="https://caseworks.evergy.com/376/DataRequests/29417/Library/Red%20Lines/Metro%20ST%20Borrowing%20Rates%20May24-Oct24.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E:\CorpAcctg\%23Energy%20Efficiency\MEEIA\Metro%20MEEIA%20DSIM%20RIDER\20241201%20Filing\05%202024%20Metro%20Spend%20Allocations%20Worksheet%20FINAL.xlsx" TargetMode="External"/><Relationship Id="rId1" Type="http://schemas.openxmlformats.org/officeDocument/2006/relationships/externalLinkPath" Target="https://caseworks.evergy.com/376/DataRequests/29417/Library/Red%20Lines/05%202024%20Metro%20Spend%20Allocations%20Worksheet%20FINAL.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E:\CorpAcctg\%23Energy%20Efficiency\MEEIA\Metro%20MEEIA%20DSIM%20RIDER\20241201%20Filing\06%202024%20Metro%20Spend%20Allocations%20Worksheet%20FINAL.xlsx" TargetMode="External"/><Relationship Id="rId1" Type="http://schemas.openxmlformats.org/officeDocument/2006/relationships/externalLinkPath" Target="https://caseworks.evergy.com/376/DataRequests/29417/Library/Red%20Lines/06%202024%20Metro%20Spend%20Allocations%20Worksheet%20FINAL.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E:\CorpAcctg\%23Energy%20Efficiency\MEEIA\Metro%20MEEIA%20DSIM%20RIDER\20241201%20Filing\07%202024%20Metro%20Spend%20Allocations%20Worksheet%20FINAL.xlsx" TargetMode="External"/><Relationship Id="rId1" Type="http://schemas.openxmlformats.org/officeDocument/2006/relationships/externalLinkPath" Target="https://caseworks.evergy.com/376/DataRequests/29417/Library/Red%20Lines/07%202024%20Metro%20Spend%20Allocations%20Worksheet%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KCPL Billed kWh Sales"/>
    </sheetNames>
    <sheetDataSet>
      <sheetData sheetId="0">
        <row r="26">
          <cell r="X26">
            <v>167074289</v>
          </cell>
          <cell r="Y26">
            <v>239068877</v>
          </cell>
          <cell r="Z26">
            <v>268678591</v>
          </cell>
        </row>
        <row r="27">
          <cell r="X27">
            <v>49738579</v>
          </cell>
          <cell r="Y27">
            <v>54511459</v>
          </cell>
          <cell r="Z27">
            <v>55002376</v>
          </cell>
        </row>
        <row r="28">
          <cell r="X28">
            <v>88082196</v>
          </cell>
          <cell r="Y28">
            <v>96534503</v>
          </cell>
          <cell r="Z28">
            <v>97403870</v>
          </cell>
        </row>
        <row r="29">
          <cell r="X29">
            <v>142785031</v>
          </cell>
          <cell r="Y29">
            <v>156486586</v>
          </cell>
          <cell r="Z29">
            <v>157895867</v>
          </cell>
        </row>
        <row r="30">
          <cell r="X30">
            <v>40132413</v>
          </cell>
          <cell r="Y30">
            <v>43983492</v>
          </cell>
          <cell r="Z30">
            <v>44379597</v>
          </cell>
        </row>
        <row r="38">
          <cell r="H38">
            <v>1275966294</v>
          </cell>
          <cell r="I38">
            <v>1437435975</v>
          </cell>
        </row>
        <row r="39">
          <cell r="H39">
            <v>314514960</v>
          </cell>
          <cell r="I39">
            <v>340713690</v>
          </cell>
        </row>
        <row r="40">
          <cell r="H40">
            <v>556975466</v>
          </cell>
          <cell r="I40">
            <v>603370877</v>
          </cell>
        </row>
        <row r="41">
          <cell r="H41">
            <v>902881211</v>
          </cell>
          <cell r="I41">
            <v>978090170</v>
          </cell>
        </row>
        <row r="42">
          <cell r="H42">
            <v>253771709</v>
          </cell>
          <cell r="I42">
            <v>274910597</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vot - SI Project"/>
      <sheetName val="SI0000 Alloc"/>
      <sheetName val="SI Project Data"/>
      <sheetName val="Input"/>
      <sheetName val="Program Descriptions"/>
    </sheetNames>
    <sheetDataSet>
      <sheetData sheetId="0">
        <row r="32">
          <cell r="N32">
            <v>644024.49000000011</v>
          </cell>
          <cell r="O32">
            <v>81616.73</v>
          </cell>
          <cell r="P32">
            <v>70682.87</v>
          </cell>
          <cell r="Q32">
            <v>166422.87</v>
          </cell>
          <cell r="R32">
            <v>11780.039999999999</v>
          </cell>
        </row>
      </sheetData>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vot - SI Project"/>
      <sheetName val="SI0000 Alloc"/>
      <sheetName val="SI Project Data"/>
      <sheetName val="Input"/>
      <sheetName val="Program Descriptions"/>
    </sheetNames>
    <sheetDataSet>
      <sheetData sheetId="0">
        <row r="32">
          <cell r="N32">
            <v>580705.12</v>
          </cell>
          <cell r="O32">
            <v>58304.2</v>
          </cell>
          <cell r="P32">
            <v>107947.76000000001</v>
          </cell>
          <cell r="Q32">
            <v>150580.78</v>
          </cell>
          <cell r="R32">
            <v>30471.37</v>
          </cell>
        </row>
      </sheetData>
      <sheetData sheetId="1"/>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vot - SI Project"/>
      <sheetName val="SI0000 Alloc"/>
      <sheetName val="SI Project Data"/>
      <sheetName val="Input"/>
      <sheetName val="Program Descriptions"/>
    </sheetNames>
    <sheetDataSet>
      <sheetData sheetId="0">
        <row r="32">
          <cell r="N32">
            <v>457828.95999999996</v>
          </cell>
          <cell r="O32">
            <v>30593.03</v>
          </cell>
          <cell r="P32">
            <v>219338.57</v>
          </cell>
          <cell r="Q32">
            <v>53331.850000000006</v>
          </cell>
          <cell r="R32">
            <v>13394.67</v>
          </cell>
        </row>
      </sheetData>
      <sheetData sheetId="1"/>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put"/>
      <sheetName val="Program Descriptions"/>
      <sheetName val="Monthly TD Calc-PY1-3"/>
      <sheetName val="Monthly TD Calc-PY4"/>
      <sheetName val="Monthly TD Calc-PY5"/>
      <sheetName val="Summary Monthly TD Calc"/>
    </sheetNames>
    <sheetDataSet>
      <sheetData sheetId="0"/>
      <sheetData sheetId="1"/>
      <sheetData sheetId="2">
        <row r="461">
          <cell r="BE461">
            <v>2012049.3197173085</v>
          </cell>
          <cell r="BF461">
            <v>1798980.613363245</v>
          </cell>
          <cell r="BG461">
            <v>2185305.1722369785</v>
          </cell>
          <cell r="BH461">
            <v>2119657.9895510473</v>
          </cell>
          <cell r="BI461">
            <v>1792366.8018578598</v>
          </cell>
          <cell r="BJ461">
            <v>1934419.3392241932</v>
          </cell>
          <cell r="BK461">
            <v>1868090.3219008483</v>
          </cell>
          <cell r="BL461">
            <v>2244865.6932511777</v>
          </cell>
        </row>
        <row r="462">
          <cell r="BE462">
            <v>278427.89331406658</v>
          </cell>
          <cell r="BF462">
            <v>268014.99223809683</v>
          </cell>
          <cell r="BG462">
            <v>315956.42437491793</v>
          </cell>
          <cell r="BH462">
            <v>315902.6243088796</v>
          </cell>
          <cell r="BI462">
            <v>261517.4425664233</v>
          </cell>
          <cell r="BJ462">
            <v>278731.52774533664</v>
          </cell>
          <cell r="BK462">
            <v>263801.06279768172</v>
          </cell>
          <cell r="BL462">
            <v>264318.72449306515</v>
          </cell>
        </row>
        <row r="463">
          <cell r="BE463">
            <v>768498.59362984227</v>
          </cell>
          <cell r="BF463">
            <v>737596.93271443178</v>
          </cell>
          <cell r="BG463">
            <v>757520.40814770653</v>
          </cell>
          <cell r="BH463">
            <v>771758.88612504257</v>
          </cell>
          <cell r="BI463">
            <v>718602.06944241421</v>
          </cell>
          <cell r="BJ463">
            <v>767372.93124465109</v>
          </cell>
          <cell r="BK463">
            <v>725528.77104012563</v>
          </cell>
          <cell r="BL463">
            <v>727572.57396143128</v>
          </cell>
        </row>
        <row r="464">
          <cell r="BE464">
            <v>1167785.7690276713</v>
          </cell>
          <cell r="BF464">
            <v>1122386.212099669</v>
          </cell>
          <cell r="BG464">
            <v>1152997.7643781509</v>
          </cell>
          <cell r="BH464">
            <v>1174282.5626696544</v>
          </cell>
          <cell r="BI464">
            <v>1094934.7429327022</v>
          </cell>
          <cell r="BJ464">
            <v>1168445.7250419294</v>
          </cell>
          <cell r="BK464">
            <v>1105590.4351993196</v>
          </cell>
          <cell r="BL464">
            <v>1108344.8572794208</v>
          </cell>
        </row>
        <row r="465">
          <cell r="BE465">
            <v>160304.77425703476</v>
          </cell>
          <cell r="BF465">
            <v>155002.98703031117</v>
          </cell>
          <cell r="BG465">
            <v>159320.32813222078</v>
          </cell>
          <cell r="BH465">
            <v>162097.76696491829</v>
          </cell>
          <cell r="BI465">
            <v>151545.20621697267</v>
          </cell>
          <cell r="BJ465">
            <v>161025.44434313729</v>
          </cell>
          <cell r="BK465">
            <v>152608.63118135103</v>
          </cell>
          <cell r="BL465">
            <v>152701.16394182056</v>
          </cell>
        </row>
        <row r="563">
          <cell r="BM563">
            <v>101025.29000000001</v>
          </cell>
          <cell r="BN563">
            <v>94058.639999999985</v>
          </cell>
          <cell r="BO563">
            <v>95137.08</v>
          </cell>
          <cell r="BP563">
            <v>97847.109999999986</v>
          </cell>
          <cell r="BQ563">
            <v>101039.54999999999</v>
          </cell>
          <cell r="BR563">
            <v>142354.48000000001</v>
          </cell>
          <cell r="BS563">
            <v>189464.58000000002</v>
          </cell>
          <cell r="BT563">
            <v>182626.76999999996</v>
          </cell>
          <cell r="BU563">
            <v>142424.86000000002</v>
          </cell>
          <cell r="BV563">
            <v>88209.91</v>
          </cell>
          <cell r="BW563">
            <v>96400.94</v>
          </cell>
          <cell r="BX563">
            <v>109014.79</v>
          </cell>
        </row>
        <row r="564">
          <cell r="BM564">
            <v>16474.89</v>
          </cell>
          <cell r="BN564">
            <v>14944.609999999999</v>
          </cell>
          <cell r="BO564">
            <v>16999.73</v>
          </cell>
          <cell r="BP564">
            <v>17085.260000000002</v>
          </cell>
          <cell r="BQ564">
            <v>18778.53</v>
          </cell>
          <cell r="BR564">
            <v>23724.079999999998</v>
          </cell>
          <cell r="BS564">
            <v>26524.06</v>
          </cell>
          <cell r="BT564">
            <v>26075.55</v>
          </cell>
          <cell r="BU564">
            <v>21199.420000000002</v>
          </cell>
          <cell r="BV564">
            <v>17756.739999999998</v>
          </cell>
          <cell r="BW564">
            <v>17578.559999999998</v>
          </cell>
          <cell r="BX564">
            <v>16539.86</v>
          </cell>
        </row>
        <row r="565">
          <cell r="BM565">
            <v>31360.93</v>
          </cell>
          <cell r="BN565">
            <v>28632.11</v>
          </cell>
          <cell r="BO565">
            <v>32667.43</v>
          </cell>
          <cell r="BP565">
            <v>33185.42</v>
          </cell>
          <cell r="BQ565">
            <v>37213.81</v>
          </cell>
          <cell r="BR565">
            <v>49998.8</v>
          </cell>
          <cell r="BS565">
            <v>48205.939999999995</v>
          </cell>
          <cell r="BT565">
            <v>48721.81</v>
          </cell>
          <cell r="BU565">
            <v>45202.86</v>
          </cell>
          <cell r="BV565">
            <v>34038.350000000006</v>
          </cell>
          <cell r="BW565">
            <v>34241.730000000003</v>
          </cell>
          <cell r="BX565">
            <v>31849.920000000002</v>
          </cell>
        </row>
        <row r="566">
          <cell r="BM566">
            <v>28850.49</v>
          </cell>
          <cell r="BN566">
            <v>26303.199999999997</v>
          </cell>
          <cell r="BO566">
            <v>30069.190000000002</v>
          </cell>
          <cell r="BP566">
            <v>30819.5</v>
          </cell>
          <cell r="BQ566">
            <v>33533.67</v>
          </cell>
          <cell r="BR566">
            <v>45810.450000000004</v>
          </cell>
          <cell r="BS566">
            <v>44083.869999999995</v>
          </cell>
          <cell r="BT566">
            <v>45095.869999999995</v>
          </cell>
          <cell r="BU566">
            <v>40796.06</v>
          </cell>
          <cell r="BV566">
            <v>29814.579999999998</v>
          </cell>
          <cell r="BW566">
            <v>31071.690000000002</v>
          </cell>
          <cell r="BX566">
            <v>28982.520000000004</v>
          </cell>
        </row>
        <row r="567">
          <cell r="BM567">
            <v>1388.28</v>
          </cell>
          <cell r="BN567">
            <v>1577.7199999999998</v>
          </cell>
          <cell r="BO567">
            <v>1774.71</v>
          </cell>
          <cell r="BP567">
            <v>1678.02</v>
          </cell>
          <cell r="BQ567">
            <v>1766.64</v>
          </cell>
          <cell r="BR567">
            <v>2365.0100000000002</v>
          </cell>
          <cell r="BS567">
            <v>2235.52</v>
          </cell>
          <cell r="BT567">
            <v>2384.94</v>
          </cell>
          <cell r="BU567">
            <v>2180.63</v>
          </cell>
          <cell r="BV567">
            <v>1633.24</v>
          </cell>
          <cell r="BW567">
            <v>1644.6</v>
          </cell>
          <cell r="BX567">
            <v>1612.23</v>
          </cell>
        </row>
      </sheetData>
      <sheetData sheetId="3">
        <row r="469">
          <cell r="BE469">
            <v>555107.96357645281</v>
          </cell>
          <cell r="BF469">
            <v>730545.95342198096</v>
          </cell>
          <cell r="BG469">
            <v>1244242.2161225423</v>
          </cell>
          <cell r="BH469">
            <v>1143409.3700272948</v>
          </cell>
          <cell r="BI469">
            <v>605255.44284860266</v>
          </cell>
          <cell r="BJ469">
            <v>536068.6006177722</v>
          </cell>
          <cell r="BK469">
            <v>510353.52026568935</v>
          </cell>
          <cell r="BL469">
            <v>491640.47021994472</v>
          </cell>
        </row>
        <row r="470">
          <cell r="BE470">
            <v>105049.25761403874</v>
          </cell>
          <cell r="BF470">
            <v>107441.99863329349</v>
          </cell>
          <cell r="BG470">
            <v>112007.7023350923</v>
          </cell>
          <cell r="BH470">
            <v>113071.70787272439</v>
          </cell>
          <cell r="BI470">
            <v>104407.45261396894</v>
          </cell>
          <cell r="BJ470">
            <v>105475.63167806021</v>
          </cell>
          <cell r="BK470">
            <v>100145.94571889812</v>
          </cell>
          <cell r="BL470">
            <v>98018.034550641314</v>
          </cell>
        </row>
        <row r="471">
          <cell r="BE471">
            <v>869324.43857072538</v>
          </cell>
          <cell r="BF471">
            <v>846931.35487466725</v>
          </cell>
          <cell r="BG471">
            <v>870436.76919749065</v>
          </cell>
          <cell r="BH471">
            <v>884945.47092647455</v>
          </cell>
          <cell r="BI471">
            <v>826537.19441543729</v>
          </cell>
          <cell r="BJ471">
            <v>871873.75139317871</v>
          </cell>
          <cell r="BK471">
            <v>826200.93296890287</v>
          </cell>
          <cell r="BL471">
            <v>824237.87356114318</v>
          </cell>
        </row>
        <row r="472">
          <cell r="BE472">
            <v>1024124.2985264531</v>
          </cell>
          <cell r="BF472">
            <v>1002707.1316540339</v>
          </cell>
          <cell r="BG472">
            <v>1030657.0940476961</v>
          </cell>
          <cell r="BH472">
            <v>1047366.4432913384</v>
          </cell>
          <cell r="BI472">
            <v>977473.73621864454</v>
          </cell>
          <cell r="BJ472">
            <v>1026403.2723312075</v>
          </cell>
          <cell r="BK472">
            <v>972390.09186459857</v>
          </cell>
          <cell r="BL472">
            <v>968120.85123510554</v>
          </cell>
        </row>
        <row r="473">
          <cell r="BE473">
            <v>143038.06942929444</v>
          </cell>
          <cell r="BF473">
            <v>143013.83895182013</v>
          </cell>
          <cell r="BG473">
            <v>147114.22791154718</v>
          </cell>
          <cell r="BH473">
            <v>149118.1843689247</v>
          </cell>
          <cell r="BI473">
            <v>139418.00890351701</v>
          </cell>
          <cell r="BJ473">
            <v>143800.67510914351</v>
          </cell>
          <cell r="BK473">
            <v>136484.25783008669</v>
          </cell>
          <cell r="BL473">
            <v>134826.26982535885</v>
          </cell>
        </row>
        <row r="575">
          <cell r="BM575">
            <v>31040.75</v>
          </cell>
          <cell r="BN575">
            <v>28408.02</v>
          </cell>
          <cell r="BO575">
            <v>34549.740000000005</v>
          </cell>
          <cell r="BP575">
            <v>35124.080000000002</v>
          </cell>
          <cell r="BQ575">
            <v>38114.839999999997</v>
          </cell>
          <cell r="BR575">
            <v>75988.44</v>
          </cell>
          <cell r="BS575">
            <v>132330.07</v>
          </cell>
          <cell r="BT575">
            <v>122159.84999999999</v>
          </cell>
          <cell r="BU575">
            <v>64603.78</v>
          </cell>
          <cell r="BV575">
            <v>33450.449999999997</v>
          </cell>
          <cell r="BW575">
            <v>36056.129999999997</v>
          </cell>
          <cell r="BX575">
            <v>33264.42</v>
          </cell>
        </row>
        <row r="576">
          <cell r="BM576">
            <v>5816.2</v>
          </cell>
          <cell r="BN576">
            <v>5264.66</v>
          </cell>
          <cell r="BO576">
            <v>6141.13</v>
          </cell>
          <cell r="BP576">
            <v>6193.35</v>
          </cell>
          <cell r="BQ576">
            <v>6765.3600000000006</v>
          </cell>
          <cell r="BR576">
            <v>9245.86</v>
          </cell>
          <cell r="BS576">
            <v>9107.0499999999993</v>
          </cell>
          <cell r="BT576">
            <v>9078.5299999999988</v>
          </cell>
          <cell r="BU576">
            <v>8356.7800000000007</v>
          </cell>
          <cell r="BV576">
            <v>6393.1100000000006</v>
          </cell>
          <cell r="BW576">
            <v>6401.4900000000007</v>
          </cell>
          <cell r="BX576">
            <v>5892.95</v>
          </cell>
        </row>
        <row r="577">
          <cell r="BM577">
            <v>32196.06</v>
          </cell>
          <cell r="BN577">
            <v>29370.819999999996</v>
          </cell>
          <cell r="BO577">
            <v>33664.619999999995</v>
          </cell>
          <cell r="BP577">
            <v>34338.469999999994</v>
          </cell>
          <cell r="BQ577">
            <v>38327.69</v>
          </cell>
          <cell r="BR577">
            <v>52400.170000000006</v>
          </cell>
          <cell r="BS577">
            <v>50655.919999999991</v>
          </cell>
          <cell r="BT577">
            <v>51097.659999999996</v>
          </cell>
          <cell r="BU577">
            <v>47558.58</v>
          </cell>
          <cell r="BV577">
            <v>35210.22</v>
          </cell>
          <cell r="BW577">
            <v>35541.18</v>
          </cell>
          <cell r="BX577">
            <v>32892.17</v>
          </cell>
        </row>
        <row r="578">
          <cell r="BM578">
            <v>24359.85</v>
          </cell>
          <cell r="BN578">
            <v>22188.560000000001</v>
          </cell>
          <cell r="BO578">
            <v>25593.109999999997</v>
          </cell>
          <cell r="BP578">
            <v>26268.210000000003</v>
          </cell>
          <cell r="BQ578">
            <v>28487.77</v>
          </cell>
          <cell r="BR578">
            <v>39995.969999999994</v>
          </cell>
          <cell r="BS578">
            <v>38729.75</v>
          </cell>
          <cell r="BT578">
            <v>39501.369999999995</v>
          </cell>
          <cell r="BU578">
            <v>35849.64</v>
          </cell>
          <cell r="BV578">
            <v>25413.45</v>
          </cell>
          <cell r="BW578">
            <v>26565.59</v>
          </cell>
          <cell r="BX578">
            <v>24591.030000000002</v>
          </cell>
        </row>
        <row r="579">
          <cell r="BM579">
            <v>1477.33</v>
          </cell>
          <cell r="BN579">
            <v>1614.2</v>
          </cell>
          <cell r="BO579">
            <v>1859.17</v>
          </cell>
          <cell r="BP579">
            <v>1784.61</v>
          </cell>
          <cell r="BQ579">
            <v>1872.5</v>
          </cell>
          <cell r="BR579">
            <v>2695.3399999999997</v>
          </cell>
          <cell r="BS579">
            <v>2612.98</v>
          </cell>
          <cell r="BT579">
            <v>2742.72</v>
          </cell>
          <cell r="BU579">
            <v>2522.88</v>
          </cell>
          <cell r="BV579">
            <v>1732.06</v>
          </cell>
          <cell r="BW579">
            <v>1769.86</v>
          </cell>
          <cell r="BX579">
            <v>1690.8899999999999</v>
          </cell>
        </row>
      </sheetData>
      <sheetData sheetId="4">
        <row r="577">
          <cell r="BE577">
            <v>76335.458462157651</v>
          </cell>
          <cell r="BF577">
            <v>157384.66924818937</v>
          </cell>
          <cell r="BG577">
            <v>282625.13110986311</v>
          </cell>
          <cell r="BH577">
            <v>334569.17659944971</v>
          </cell>
          <cell r="BI577">
            <v>271024.031908423</v>
          </cell>
          <cell r="BJ577">
            <v>279802.46272064309</v>
          </cell>
          <cell r="BK577">
            <v>312577.82262107194</v>
          </cell>
          <cell r="BL577">
            <v>405468.3632661486</v>
          </cell>
        </row>
        <row r="578">
          <cell r="BE578">
            <v>282431.61090339825</v>
          </cell>
          <cell r="BF578">
            <v>460274.45126160432</v>
          </cell>
          <cell r="BG578">
            <v>479627.87029261567</v>
          </cell>
          <cell r="BH578">
            <v>509156.79009587015</v>
          </cell>
          <cell r="BI578">
            <v>493002.24070034607</v>
          </cell>
          <cell r="BJ578">
            <v>532336.39498495404</v>
          </cell>
          <cell r="BK578">
            <v>533304.92148600821</v>
          </cell>
          <cell r="BL578">
            <v>637390.73750563024</v>
          </cell>
        </row>
        <row r="579">
          <cell r="BE579">
            <v>385900.78364245303</v>
          </cell>
          <cell r="BF579">
            <v>382773.71772798605</v>
          </cell>
          <cell r="BG579">
            <v>432443.45440946124</v>
          </cell>
          <cell r="BH579">
            <v>488831.75296797446</v>
          </cell>
          <cell r="BI579">
            <v>469492.83707293362</v>
          </cell>
          <cell r="BJ579">
            <v>526034.21335686825</v>
          </cell>
          <cell r="BK579">
            <v>570348.81489484839</v>
          </cell>
          <cell r="BL579">
            <v>777514.58853864577</v>
          </cell>
        </row>
        <row r="580">
          <cell r="BE580">
            <v>86868.108878263462</v>
          </cell>
          <cell r="BF580">
            <v>94262.955422400541</v>
          </cell>
          <cell r="BG580">
            <v>102689.77020619709</v>
          </cell>
          <cell r="BH580">
            <v>140142.33574123465</v>
          </cell>
          <cell r="BI580">
            <v>166888.54085460515</v>
          </cell>
          <cell r="BJ580">
            <v>182769.53650933233</v>
          </cell>
          <cell r="BK580">
            <v>259814.42513558731</v>
          </cell>
          <cell r="BL580">
            <v>586850.18126276694</v>
          </cell>
        </row>
        <row r="581">
          <cell r="BE581">
            <v>42411.86234671843</v>
          </cell>
          <cell r="BF581">
            <v>41917.41122935927</v>
          </cell>
          <cell r="BG581">
            <v>43460.295035239949</v>
          </cell>
          <cell r="BH581">
            <v>44601.243976656173</v>
          </cell>
          <cell r="BI581">
            <v>41767.321850808956</v>
          </cell>
          <cell r="BJ581">
            <v>44466.39372120038</v>
          </cell>
          <cell r="BK581">
            <v>65174.465027870094</v>
          </cell>
          <cell r="BL581">
            <v>152555.87370680159</v>
          </cell>
        </row>
        <row r="711">
          <cell r="BM711">
            <v>19758.890000000003</v>
          </cell>
          <cell r="BN711">
            <v>18144.149999999998</v>
          </cell>
          <cell r="BO711">
            <v>21004.410000000003</v>
          </cell>
          <cell r="BP711">
            <v>21334.89</v>
          </cell>
          <cell r="BQ711">
            <v>23185.129999999997</v>
          </cell>
          <cell r="BR711">
            <v>44160.280000000006</v>
          </cell>
          <cell r="BS711">
            <v>62742.569999999992</v>
          </cell>
          <cell r="BT711">
            <v>58365.639999999992</v>
          </cell>
          <cell r="BU711">
            <v>37404.740000000005</v>
          </cell>
          <cell r="BV711">
            <v>20088.710000000003</v>
          </cell>
          <cell r="BW711">
            <v>21669.71</v>
          </cell>
          <cell r="BX711">
            <v>21251.829999999994</v>
          </cell>
        </row>
        <row r="712">
          <cell r="BM712">
            <v>40053.490000000005</v>
          </cell>
          <cell r="BN712">
            <v>36321.910000000003</v>
          </cell>
          <cell r="BO712">
            <v>41256.020000000004</v>
          </cell>
          <cell r="BP712">
            <v>41517.72</v>
          </cell>
          <cell r="BQ712">
            <v>45606.399999999994</v>
          </cell>
          <cell r="BR712">
            <v>57333.279999999999</v>
          </cell>
          <cell r="BS712">
            <v>54900.250000000007</v>
          </cell>
          <cell r="BT712">
            <v>55063.470000000008</v>
          </cell>
          <cell r="BU712">
            <v>51177.48000000001</v>
          </cell>
          <cell r="BV712">
            <v>43216.85</v>
          </cell>
          <cell r="BW712">
            <v>42754.04</v>
          </cell>
          <cell r="BX712">
            <v>40258.130000000005</v>
          </cell>
        </row>
        <row r="713">
          <cell r="BM713">
            <v>34308</v>
          </cell>
          <cell r="BN713">
            <v>31313.3</v>
          </cell>
          <cell r="BO713">
            <v>35727.530000000006</v>
          </cell>
          <cell r="BP713">
            <v>36373.409999999996</v>
          </cell>
          <cell r="BQ713">
            <v>40698.49</v>
          </cell>
          <cell r="BR713">
            <v>54813.189999999995</v>
          </cell>
          <cell r="BS713">
            <v>52883.4</v>
          </cell>
          <cell r="BT713">
            <v>53427.979999999996</v>
          </cell>
          <cell r="BU713">
            <v>49651.069999999992</v>
          </cell>
          <cell r="BV713">
            <v>37314.21</v>
          </cell>
          <cell r="BW713">
            <v>37579.630000000005</v>
          </cell>
          <cell r="BX713">
            <v>34938.050000000003</v>
          </cell>
        </row>
        <row r="714">
          <cell r="BM714">
            <v>19594.62</v>
          </cell>
          <cell r="BN714">
            <v>17863.89</v>
          </cell>
          <cell r="BO714">
            <v>20491.55</v>
          </cell>
          <cell r="BP714">
            <v>21015.949999999997</v>
          </cell>
          <cell r="BQ714">
            <v>22806.43</v>
          </cell>
          <cell r="BR714">
            <v>31561.18</v>
          </cell>
          <cell r="BS714">
            <v>30530.260000000002</v>
          </cell>
          <cell r="BT714">
            <v>31189.060000000005</v>
          </cell>
          <cell r="BU714">
            <v>28284.23</v>
          </cell>
          <cell r="BV714">
            <v>20320.240000000002</v>
          </cell>
          <cell r="BW714">
            <v>21218.809999999994</v>
          </cell>
          <cell r="BX714">
            <v>19742.219999999998</v>
          </cell>
        </row>
        <row r="715">
          <cell r="BM715">
            <v>1841.94</v>
          </cell>
          <cell r="BN715">
            <v>2107.2000000000003</v>
          </cell>
          <cell r="BO715">
            <v>2364.5700000000002</v>
          </cell>
          <cell r="BP715">
            <v>2224.71</v>
          </cell>
          <cell r="BQ715">
            <v>2348.87</v>
          </cell>
          <cell r="BR715">
            <v>3107.7299999999996</v>
          </cell>
          <cell r="BS715">
            <v>2922.8199999999997</v>
          </cell>
          <cell r="BT715">
            <v>3128.0600000000004</v>
          </cell>
          <cell r="BU715">
            <v>2852.33</v>
          </cell>
          <cell r="BV715">
            <v>2165.67</v>
          </cell>
          <cell r="BW715">
            <v>2173.5399999999995</v>
          </cell>
          <cell r="BX715">
            <v>2138.3199999999997</v>
          </cell>
        </row>
      </sheetData>
      <sheetData sheetId="5">
        <row r="3">
          <cell r="M3">
            <v>144000.52000000002</v>
          </cell>
          <cell r="N3">
            <v>132089.5</v>
          </cell>
          <cell r="O3">
            <v>122499.98999999999</v>
          </cell>
          <cell r="P3">
            <v>130312.08</v>
          </cell>
          <cell r="Q3">
            <v>134776.65000000002</v>
          </cell>
          <cell r="R3">
            <v>143251.47</v>
          </cell>
          <cell r="S3">
            <v>230034.17</v>
          </cell>
          <cell r="T3">
            <v>342981.01999999996</v>
          </cell>
          <cell r="U3">
            <v>329622.40999999997</v>
          </cell>
          <cell r="V3">
            <v>226807.88</v>
          </cell>
          <cell r="W3">
            <v>133691.25999999998</v>
          </cell>
          <cell r="X3">
            <v>147960.35999999999</v>
          </cell>
          <cell r="Y3">
            <v>161847.50999999998</v>
          </cell>
        </row>
        <row r="4">
          <cell r="M4">
            <v>20697.239999999998</v>
          </cell>
          <cell r="N4">
            <v>24262.33</v>
          </cell>
          <cell r="O4">
            <v>23785.989999999998</v>
          </cell>
          <cell r="P4">
            <v>27248.600000000002</v>
          </cell>
          <cell r="Q4">
            <v>27759.730000000003</v>
          </cell>
          <cell r="R4">
            <v>42784.53</v>
          </cell>
          <cell r="S4">
            <v>69662.450000000012</v>
          </cell>
          <cell r="T4">
            <v>71214.73</v>
          </cell>
          <cell r="U4">
            <v>72352.39</v>
          </cell>
          <cell r="V4">
            <v>65410.560000000019</v>
          </cell>
          <cell r="W4">
            <v>54887.19</v>
          </cell>
          <cell r="X4">
            <v>56124.42</v>
          </cell>
          <cell r="Y4">
            <v>58458.180000000008</v>
          </cell>
        </row>
        <row r="5">
          <cell r="M5">
            <v>49632.360000000008</v>
          </cell>
          <cell r="N5">
            <v>69627.05</v>
          </cell>
          <cell r="O5">
            <v>69084.76999999999</v>
          </cell>
          <cell r="P5">
            <v>79193.079999999987</v>
          </cell>
          <cell r="Q5">
            <v>81092.999999999985</v>
          </cell>
          <cell r="R5">
            <v>91575.31</v>
          </cell>
          <cell r="S5">
            <v>124661.19</v>
          </cell>
          <cell r="T5">
            <v>122397.35999999999</v>
          </cell>
          <cell r="U5">
            <v>126161.52</v>
          </cell>
          <cell r="V5">
            <v>117961.92000000001</v>
          </cell>
          <cell r="W5">
            <v>89245.36</v>
          </cell>
          <cell r="X5">
            <v>92919.4</v>
          </cell>
          <cell r="Y5">
            <v>94018.25</v>
          </cell>
        </row>
        <row r="6">
          <cell r="M6">
            <v>47976.959999999999</v>
          </cell>
          <cell r="N6">
            <v>54055.32</v>
          </cell>
          <cell r="O6">
            <v>50032.959999999992</v>
          </cell>
          <cell r="P6">
            <v>57430.83</v>
          </cell>
          <cell r="Q6">
            <v>58915.360000000008</v>
          </cell>
          <cell r="R6">
            <v>64303.43</v>
          </cell>
          <cell r="S6">
            <v>89569.41</v>
          </cell>
          <cell r="T6">
            <v>86736.2</v>
          </cell>
          <cell r="U6">
            <v>89798.54</v>
          </cell>
          <cell r="V6">
            <v>82559.7</v>
          </cell>
          <cell r="W6">
            <v>59585.54</v>
          </cell>
          <cell r="X6">
            <v>64584.639999999999</v>
          </cell>
          <cell r="Y6">
            <v>67757.09</v>
          </cell>
        </row>
        <row r="7">
          <cell r="M7">
            <v>3199.66</v>
          </cell>
          <cell r="N7">
            <v>2998.45</v>
          </cell>
          <cell r="O7">
            <v>3515.78</v>
          </cell>
          <cell r="P7">
            <v>3987.94</v>
          </cell>
          <cell r="Q7">
            <v>3786.15</v>
          </cell>
          <cell r="R7">
            <v>4040.3300000000004</v>
          </cell>
          <cell r="S7">
            <v>5673.43</v>
          </cell>
          <cell r="T7">
            <v>5456.23</v>
          </cell>
          <cell r="U7">
            <v>5799.8</v>
          </cell>
          <cell r="V7">
            <v>5339.02</v>
          </cell>
          <cell r="W7">
            <v>3841.2000000000003</v>
          </cell>
          <cell r="X7">
            <v>4187.4800000000005</v>
          </cell>
          <cell r="Y7">
            <v>4882.25</v>
          </cell>
        </row>
        <row r="18">
          <cell r="M18">
            <v>2681446.9130297028</v>
          </cell>
          <cell r="N18">
            <v>2747591.3423225572</v>
          </cell>
          <cell r="O18">
            <v>2479796.6063907081</v>
          </cell>
          <cell r="P18">
            <v>2532238.3988022497</v>
          </cell>
          <cell r="Q18">
            <v>2463481.9235375747</v>
          </cell>
          <cell r="Z18">
            <v>3201539.021901397</v>
          </cell>
          <cell r="AA18">
            <v>2885403.4267169046</v>
          </cell>
          <cell r="AB18">
            <v>2981384.0615635216</v>
          </cell>
          <cell r="AC18">
            <v>2867263.5454194644</v>
          </cell>
          <cell r="AD18">
            <v>3049022.4976213612</v>
          </cell>
          <cell r="AE18">
            <v>3148021.3837161586</v>
          </cell>
          <cell r="AF18">
            <v>4256535.9267461635</v>
          </cell>
          <cell r="AG18">
            <v>4027294.8815158284</v>
          </cell>
          <cell r="AH18">
            <v>2898119.9261911693</v>
          </cell>
          <cell r="AI18">
            <v>2926327.2173971571</v>
          </cell>
          <cell r="AJ18">
            <v>2811780.7763212384</v>
          </cell>
          <cell r="AK18">
            <v>3179608.7837349577</v>
          </cell>
        </row>
        <row r="19">
          <cell r="M19">
            <v>356163.69482042536</v>
          </cell>
          <cell r="N19">
            <v>416422.48187785392</v>
          </cell>
          <cell r="O19">
            <v>409380.47319170006</v>
          </cell>
          <cell r="P19">
            <v>457544.96749893908</v>
          </cell>
          <cell r="Q19">
            <v>442853.34913642798</v>
          </cell>
          <cell r="Z19">
            <v>1126551.7037771982</v>
          </cell>
          <cell r="AA19">
            <v>1017891.5032847201</v>
          </cell>
          <cell r="AB19">
            <v>1131195.8938654196</v>
          </cell>
          <cell r="AC19">
            <v>1080541.29356087</v>
          </cell>
          <cell r="AD19">
            <v>1132715.7213195986</v>
          </cell>
          <cell r="AE19">
            <v>1095820.4527422823</v>
          </cell>
          <cell r="AF19">
            <v>1168141.9221622983</v>
          </cell>
          <cell r="AG19">
            <v>1182659.6292820098</v>
          </cell>
          <cell r="AH19">
            <v>1069649.1523081583</v>
          </cell>
          <cell r="AI19">
            <v>1135350.6032596764</v>
          </cell>
          <cell r="AJ19">
            <v>1075194.8024825375</v>
          </cell>
          <cell r="AK19">
            <v>1075400.5201921402</v>
          </cell>
        </row>
        <row r="20">
          <cell r="M20">
            <v>1277642.1069237133</v>
          </cell>
          <cell r="N20">
            <v>1801268.0778785213</v>
          </cell>
          <cell r="O20">
            <v>1784791.7237150827</v>
          </cell>
          <cell r="P20">
            <v>1989647.9405145096</v>
          </cell>
          <cell r="Q20">
            <v>1910607.9594624047</v>
          </cell>
          <cell r="Z20">
            <v>2603268.8903697086</v>
          </cell>
          <cell r="AA20">
            <v>2353049.9727398418</v>
          </cell>
          <cell r="AB20">
            <v>2613744.775819134</v>
          </cell>
          <cell r="AC20">
            <v>2493575.5913598603</v>
          </cell>
          <cell r="AD20">
            <v>2616839.6049343497</v>
          </cell>
          <cell r="AE20">
            <v>2526445.6805652562</v>
          </cell>
          <cell r="AF20">
            <v>2595623.5183020551</v>
          </cell>
          <cell r="AG20">
            <v>2642091.2022965653</v>
          </cell>
          <cell r="AH20">
            <v>2464155.7730474048</v>
          </cell>
          <cell r="AI20">
            <v>2619161.4486778015</v>
          </cell>
          <cell r="AJ20">
            <v>2479080.6744690128</v>
          </cell>
          <cell r="AK20">
            <v>2481145.8546331464</v>
          </cell>
        </row>
        <row r="21">
          <cell r="M21">
            <v>1960067.7306869086</v>
          </cell>
          <cell r="N21">
            <v>2216356.3624982093</v>
          </cell>
          <cell r="O21">
            <v>2037800.5739123363</v>
          </cell>
          <cell r="P21">
            <v>2268090.991764355</v>
          </cell>
          <cell r="Q21">
            <v>2165421.0266897837</v>
          </cell>
          <cell r="Z21">
            <v>3046288.3401341266</v>
          </cell>
          <cell r="AA21">
            <v>2752533.2279288569</v>
          </cell>
          <cell r="AB21">
            <v>3061389.2073066705</v>
          </cell>
          <cell r="AC21">
            <v>2921488.6458950429</v>
          </cell>
          <cell r="AD21">
            <v>3065399.9101534309</v>
          </cell>
          <cell r="AE21">
            <v>2968715.5184296821</v>
          </cell>
          <cell r="AF21">
            <v>3050437.9291295754</v>
          </cell>
          <cell r="AG21">
            <v>3103903.7279501688</v>
          </cell>
          <cell r="AH21">
            <v>2895353.2660403959</v>
          </cell>
          <cell r="AI21">
            <v>3069378.0921974159</v>
          </cell>
          <cell r="AJ21">
            <v>2905789.1916549923</v>
          </cell>
          <cell r="AK21">
            <v>2904864.432364631</v>
          </cell>
        </row>
        <row r="22">
          <cell r="M22">
            <v>285107.37538258929</v>
          </cell>
          <cell r="N22">
            <v>320869.07887587737</v>
          </cell>
          <cell r="O22">
            <v>308318.94265421509</v>
          </cell>
          <cell r="P22">
            <v>344177.44661631738</v>
          </cell>
          <cell r="Q22">
            <v>329228.96114361961</v>
          </cell>
          <cell r="Z22">
            <v>527902.33806203562</v>
          </cell>
          <cell r="AA22">
            <v>476692.88211731683</v>
          </cell>
          <cell r="AB22">
            <v>531379.91998411366</v>
          </cell>
          <cell r="AC22">
            <v>508003.79866353876</v>
          </cell>
          <cell r="AD22">
            <v>532264.83996054542</v>
          </cell>
          <cell r="AE22">
            <v>519155.83795011579</v>
          </cell>
          <cell r="AF22">
            <v>533647.30707674695</v>
          </cell>
          <cell r="AG22">
            <v>542477.87409342371</v>
          </cell>
          <cell r="AH22">
            <v>506687.23632385756</v>
          </cell>
          <cell r="AI22">
            <v>534034.7770979302</v>
          </cell>
          <cell r="AJ22">
            <v>506062.77270693227</v>
          </cell>
          <cell r="AK22">
            <v>504636.7124275479</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put"/>
      <sheetName val="Program Descriptions"/>
      <sheetName val="Monthly TD Calc-PY1-3"/>
      <sheetName val="Monthly TD Calc-PY4"/>
      <sheetName val="Monthly TD Calc-PY5"/>
      <sheetName val="Summary Monthly TD Calc"/>
    </sheetNames>
    <sheetDataSet>
      <sheetData sheetId="0"/>
      <sheetData sheetId="1"/>
      <sheetData sheetId="2"/>
      <sheetData sheetId="3"/>
      <sheetData sheetId="4"/>
      <sheetData sheetId="5">
        <row r="3">
          <cell r="M3">
            <v>144057.09</v>
          </cell>
          <cell r="N3">
            <v>132194.95000000001</v>
          </cell>
          <cell r="O3">
            <v>122596.31999999998</v>
          </cell>
          <cell r="P3">
            <v>130429.51999999999</v>
          </cell>
          <cell r="Q3">
            <v>134894.54999999999</v>
          </cell>
        </row>
        <row r="4">
          <cell r="M4">
            <v>20697.23</v>
          </cell>
          <cell r="N4">
            <v>24262.299999999996</v>
          </cell>
          <cell r="O4">
            <v>23785.96</v>
          </cell>
          <cell r="P4">
            <v>27248.58</v>
          </cell>
          <cell r="Q4">
            <v>27759.700000000004</v>
          </cell>
        </row>
        <row r="5">
          <cell r="M5">
            <v>49632.340000000011</v>
          </cell>
          <cell r="N5">
            <v>69627.010000000009</v>
          </cell>
          <cell r="O5">
            <v>69084.739999999991</v>
          </cell>
          <cell r="P5">
            <v>79193.049999999988</v>
          </cell>
          <cell r="Q5">
            <v>81092.969999999987</v>
          </cell>
        </row>
        <row r="6">
          <cell r="M6">
            <v>47976.95</v>
          </cell>
          <cell r="N6">
            <v>54055.29</v>
          </cell>
          <cell r="O6">
            <v>50032.939999999995</v>
          </cell>
          <cell r="P6">
            <v>57430.8</v>
          </cell>
          <cell r="Q6">
            <v>58915.33</v>
          </cell>
        </row>
        <row r="7">
          <cell r="M7">
            <v>3199.66</v>
          </cell>
          <cell r="N7">
            <v>2998.4400000000005</v>
          </cell>
          <cell r="O7">
            <v>3515.77</v>
          </cell>
          <cell r="P7">
            <v>3987.94</v>
          </cell>
          <cell r="Q7">
            <v>3786.15</v>
          </cell>
        </row>
        <row r="18">
          <cell r="M18">
            <v>2682283.0442741951</v>
          </cell>
          <cell r="N18">
            <v>2749285.2425792455</v>
          </cell>
          <cell r="O18">
            <v>2481303.0833947542</v>
          </cell>
          <cell r="P18">
            <v>2534036.9916982837</v>
          </cell>
          <cell r="Q18">
            <v>2465177.4994295086</v>
          </cell>
        </row>
        <row r="19">
          <cell r="M19">
            <v>356163.48507733602</v>
          </cell>
          <cell r="N19">
            <v>416422.05500252877</v>
          </cell>
          <cell r="O19">
            <v>409380.09406256862</v>
          </cell>
          <cell r="P19">
            <v>457544.50571085466</v>
          </cell>
          <cell r="Q19">
            <v>442852.90216518543</v>
          </cell>
        </row>
        <row r="20">
          <cell r="M20">
            <v>1277641.68612161</v>
          </cell>
          <cell r="N20">
            <v>1801267.2214496622</v>
          </cell>
          <cell r="O20">
            <v>1784790.9630781701</v>
          </cell>
          <cell r="P20">
            <v>1989647.0140410899</v>
          </cell>
          <cell r="Q20">
            <v>1910607.0627156291</v>
          </cell>
        </row>
        <row r="21">
          <cell r="M21">
            <v>1960067.0611862717</v>
          </cell>
          <cell r="N21">
            <v>2216354.9999107546</v>
          </cell>
          <cell r="O21">
            <v>2037799.3637308904</v>
          </cell>
          <cell r="P21">
            <v>2268089.5177352568</v>
          </cell>
          <cell r="Q21">
            <v>2165419.5999560938</v>
          </cell>
        </row>
        <row r="22">
          <cell r="M22">
            <v>285107.19645977207</v>
          </cell>
          <cell r="N22">
            <v>320868.71472687949</v>
          </cell>
          <cell r="O22">
            <v>308318.61923544342</v>
          </cell>
          <cell r="P22">
            <v>344177.05268474465</v>
          </cell>
          <cell r="Q22">
            <v>329228.57985165797</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O Matrix @Meter"/>
      <sheetName val="PY1 Final EM&amp;V"/>
      <sheetName val="Tariff Table"/>
      <sheetName val="EMV Results"/>
    </sheetNames>
    <sheetDataSet>
      <sheetData sheetId="0">
        <row r="20">
          <cell r="R20">
            <v>1163217.679</v>
          </cell>
          <cell r="V20">
            <v>89861.639999999985</v>
          </cell>
          <cell r="W20">
            <v>329114.67</v>
          </cell>
          <cell r="X20">
            <v>441576.37</v>
          </cell>
          <cell r="Y20">
            <v>62680.55</v>
          </cell>
        </row>
      </sheetData>
      <sheetData sheetId="1"/>
      <sheetData sheetId="2"/>
      <sheetData sheetId="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put"/>
      <sheetName val="Program Descriptions"/>
      <sheetName val="Deemed TD Calc"/>
      <sheetName val="Deemed kW Savings"/>
      <sheetName val="Ex Post Gross TD Calc"/>
      <sheetName val="NTG TD Calc"/>
      <sheetName val="Jnl Import"/>
      <sheetName val="EO TD Carrying Costs"/>
      <sheetName val="EMV Results"/>
      <sheetName val="Summary"/>
    </sheetNames>
    <sheetDataSet>
      <sheetData sheetId="0"/>
      <sheetData sheetId="1"/>
      <sheetData sheetId="2"/>
      <sheetData sheetId="3"/>
      <sheetData sheetId="4">
        <row r="571">
          <cell r="E571">
            <v>-4849.6199999999953</v>
          </cell>
          <cell r="F571">
            <v>-4671.3699999999953</v>
          </cell>
          <cell r="G571">
            <v>-2778.75</v>
          </cell>
          <cell r="H571">
            <v>-1148.6699999999837</v>
          </cell>
          <cell r="I571">
            <v>2588.8600000000006</v>
          </cell>
          <cell r="J571">
            <v>4770.5899999999965</v>
          </cell>
          <cell r="K571">
            <v>8449.0999999999767</v>
          </cell>
          <cell r="L571">
            <v>7801.3000000000466</v>
          </cell>
          <cell r="M571">
            <v>4680.820000000007</v>
          </cell>
          <cell r="N571">
            <v>8569.2699999999895</v>
          </cell>
          <cell r="O571">
            <v>13033.130000000005</v>
          </cell>
          <cell r="P571">
            <v>20777.130000000005</v>
          </cell>
          <cell r="Q571">
            <v>25942.709999999977</v>
          </cell>
          <cell r="R571">
            <v>24783.430000000022</v>
          </cell>
          <cell r="S571">
            <v>24453.810000000012</v>
          </cell>
          <cell r="T571">
            <v>24401.310000000027</v>
          </cell>
          <cell r="U571">
            <v>25874.97000000003</v>
          </cell>
          <cell r="V571">
            <v>29936.25</v>
          </cell>
          <cell r="W571">
            <v>31803.820000000036</v>
          </cell>
          <cell r="X571">
            <v>31992.359999999986</v>
          </cell>
          <cell r="Y571">
            <v>32404.830000000045</v>
          </cell>
          <cell r="Z571">
            <v>22252.709999999977</v>
          </cell>
          <cell r="AA571">
            <v>24007.040000000023</v>
          </cell>
          <cell r="AB571">
            <v>28086.109999999986</v>
          </cell>
          <cell r="AC571">
            <v>17997.650000000009</v>
          </cell>
          <cell r="AD571">
            <v>17193.219999999987</v>
          </cell>
          <cell r="AE571">
            <v>16967.87000000001</v>
          </cell>
          <cell r="AF571">
            <v>16931.009999999995</v>
          </cell>
          <cell r="AG571">
            <v>17955.440000000002</v>
          </cell>
          <cell r="AH571">
            <v>20791.73000000001</v>
          </cell>
          <cell r="AI571">
            <v>22096.360000000015</v>
          </cell>
          <cell r="AJ571">
            <v>22222.5</v>
          </cell>
          <cell r="AK571">
            <v>22492.490000000005</v>
          </cell>
          <cell r="AL571">
            <v>15441.159999999989</v>
          </cell>
          <cell r="AM571">
            <v>16658.080000000002</v>
          </cell>
          <cell r="AN571">
            <v>19484.430000000008</v>
          </cell>
          <cell r="AO571">
            <v>0</v>
          </cell>
          <cell r="AP571">
            <v>0</v>
          </cell>
          <cell r="AQ571">
            <v>0</v>
          </cell>
          <cell r="AR571">
            <v>0</v>
          </cell>
        </row>
        <row r="572">
          <cell r="E572">
            <v>101.01000000000002</v>
          </cell>
          <cell r="F572">
            <v>123.77000000000001</v>
          </cell>
          <cell r="G572">
            <v>282.49</v>
          </cell>
          <cell r="H572">
            <v>656.1899999999996</v>
          </cell>
          <cell r="I572">
            <v>1028.5800000000017</v>
          </cell>
          <cell r="J572">
            <v>1299.4699999999993</v>
          </cell>
          <cell r="K572">
            <v>2098.840000000002</v>
          </cell>
          <cell r="L572">
            <v>1932.8699999999972</v>
          </cell>
          <cell r="M572">
            <v>1312.0599999999995</v>
          </cell>
          <cell r="N572">
            <v>1084.8099999999995</v>
          </cell>
          <cell r="O572">
            <v>1127.1999999999971</v>
          </cell>
          <cell r="P572">
            <v>1277.0399999999991</v>
          </cell>
          <cell r="Q572">
            <v>1293.6000000000022</v>
          </cell>
          <cell r="R572">
            <v>1197.4899999999998</v>
          </cell>
          <cell r="S572">
            <v>1357.9600000000028</v>
          </cell>
          <cell r="T572">
            <v>1358.5799999999981</v>
          </cell>
          <cell r="U572">
            <v>1510.0400000000045</v>
          </cell>
          <cell r="V572">
            <v>1827.7100000000028</v>
          </cell>
          <cell r="W572">
            <v>3359.8200000000033</v>
          </cell>
          <cell r="X572">
            <v>3195.9799999999959</v>
          </cell>
          <cell r="Y572">
            <v>1718.25</v>
          </cell>
          <cell r="Z572">
            <v>1427.9200000000019</v>
          </cell>
          <cell r="AA572">
            <v>1391.0800000000017</v>
          </cell>
          <cell r="AB572">
            <v>1290.2800000000025</v>
          </cell>
          <cell r="AC572">
            <v>1219.1800000000003</v>
          </cell>
          <cell r="AD572">
            <v>1128.6200000000008</v>
          </cell>
          <cell r="AE572">
            <v>1279.9000000000015</v>
          </cell>
          <cell r="AF572">
            <v>1280.2100000000028</v>
          </cell>
          <cell r="AG572">
            <v>1423.2100000000028</v>
          </cell>
          <cell r="AH572">
            <v>1722.369999999999</v>
          </cell>
          <cell r="AI572">
            <v>3257.0700000000033</v>
          </cell>
          <cell r="AJ572">
            <v>3091.3500000000022</v>
          </cell>
          <cell r="AK572">
            <v>1618.9700000000012</v>
          </cell>
          <cell r="AL572">
            <v>1345.5099999999984</v>
          </cell>
          <cell r="AM572">
            <v>1310.6800000000003</v>
          </cell>
          <cell r="AN572">
            <v>1215.7299999999996</v>
          </cell>
          <cell r="AO572">
            <v>0</v>
          </cell>
          <cell r="AP572">
            <v>0</v>
          </cell>
          <cell r="AQ572">
            <v>0</v>
          </cell>
          <cell r="AR572">
            <v>0</v>
          </cell>
        </row>
        <row r="573">
          <cell r="E573">
            <v>284.84000000000003</v>
          </cell>
          <cell r="F573">
            <v>349.03</v>
          </cell>
          <cell r="G573">
            <v>607.98</v>
          </cell>
          <cell r="H573">
            <v>669.44</v>
          </cell>
          <cell r="I573">
            <v>922.32000000000016</v>
          </cell>
          <cell r="J573">
            <v>1361.4000000000005</v>
          </cell>
          <cell r="K573">
            <v>2838.5600000000031</v>
          </cell>
          <cell r="L573">
            <v>2302.59</v>
          </cell>
          <cell r="M573">
            <v>2453.7299999999996</v>
          </cell>
          <cell r="N573">
            <v>2217.5400000000045</v>
          </cell>
          <cell r="O573">
            <v>2452.260000000002</v>
          </cell>
          <cell r="P573">
            <v>2922.2899999999936</v>
          </cell>
          <cell r="Q573">
            <v>3015.0699999999997</v>
          </cell>
          <cell r="R573">
            <v>2781.2999999999956</v>
          </cell>
          <cell r="S573">
            <v>3131.8799999999974</v>
          </cell>
          <cell r="T573">
            <v>3208.3100000000049</v>
          </cell>
          <cell r="U573">
            <v>3669.1299999999901</v>
          </cell>
          <cell r="V573">
            <v>4592.6700000000128</v>
          </cell>
          <cell r="W573">
            <v>4504.3299999999872</v>
          </cell>
          <cell r="X573">
            <v>4613.9700000000012</v>
          </cell>
          <cell r="Y573">
            <v>4302.1199999999881</v>
          </cell>
          <cell r="Z573">
            <v>3325.8600000000006</v>
          </cell>
          <cell r="AA573">
            <v>3360.7200000000084</v>
          </cell>
          <cell r="AB573">
            <v>3032.3099999999977</v>
          </cell>
          <cell r="AC573">
            <v>2856.739999999998</v>
          </cell>
          <cell r="AD573">
            <v>2635.3399999999965</v>
          </cell>
          <cell r="AE573">
            <v>2967.5699999999997</v>
          </cell>
          <cell r="AF573">
            <v>3039.3799999999974</v>
          </cell>
          <cell r="AG573">
            <v>3476.5800000000017</v>
          </cell>
          <cell r="AH573">
            <v>4351.0400000000009</v>
          </cell>
          <cell r="AI573">
            <v>4267.2299999999886</v>
          </cell>
          <cell r="AJ573">
            <v>4371.25</v>
          </cell>
          <cell r="AK573">
            <v>4075.179999999993</v>
          </cell>
          <cell r="AL573">
            <v>3150.6199999999953</v>
          </cell>
          <cell r="AM573">
            <v>3183.3800000000119</v>
          </cell>
          <cell r="AN573">
            <v>2872.3899999999921</v>
          </cell>
          <cell r="AO573">
            <v>0</v>
          </cell>
          <cell r="AP573">
            <v>0</v>
          </cell>
          <cell r="AQ573">
            <v>0</v>
          </cell>
          <cell r="AR573">
            <v>0</v>
          </cell>
        </row>
        <row r="574">
          <cell r="E574">
            <v>454.1</v>
          </cell>
          <cell r="F574">
            <v>556.43000000000006</v>
          </cell>
          <cell r="G574">
            <v>963.44000000000017</v>
          </cell>
          <cell r="H574">
            <v>1087.99</v>
          </cell>
          <cell r="I574">
            <v>1439.690000000001</v>
          </cell>
          <cell r="J574">
            <v>2134.1100000000006</v>
          </cell>
          <cell r="K574">
            <v>3997.1499999999996</v>
          </cell>
          <cell r="L574">
            <v>2294.4699999999993</v>
          </cell>
          <cell r="M574">
            <v>1735.470000000003</v>
          </cell>
          <cell r="N574">
            <v>1545.8600000000006</v>
          </cell>
          <cell r="O574">
            <v>1853.9300000000003</v>
          </cell>
          <cell r="P574">
            <v>2198.9700000000012</v>
          </cell>
          <cell r="Q574">
            <v>1985.4699999999975</v>
          </cell>
          <cell r="R574">
            <v>1870.1800000000039</v>
          </cell>
          <cell r="S574">
            <v>2145.0299999999988</v>
          </cell>
          <cell r="T574">
            <v>2170.8399999999965</v>
          </cell>
          <cell r="U574">
            <v>2389.7400000000052</v>
          </cell>
          <cell r="V574">
            <v>3092.7900000000009</v>
          </cell>
          <cell r="W574">
            <v>2966.5499999999956</v>
          </cell>
          <cell r="X574">
            <v>3082.5200000000114</v>
          </cell>
          <cell r="Y574">
            <v>2761.5599999999977</v>
          </cell>
          <cell r="Z574">
            <v>2201.7999999999956</v>
          </cell>
          <cell r="AA574">
            <v>2189.1399999999994</v>
          </cell>
          <cell r="AB574">
            <v>1944.619999999999</v>
          </cell>
          <cell r="AC574">
            <v>1891.4300000000003</v>
          </cell>
          <cell r="AD574">
            <v>1781.6499999999978</v>
          </cell>
          <cell r="AE574">
            <v>2043.5299999999988</v>
          </cell>
          <cell r="AF574">
            <v>2067.7200000000012</v>
          </cell>
          <cell r="AG574">
            <v>2276.619999999999</v>
          </cell>
          <cell r="AH574">
            <v>2945.9799999999959</v>
          </cell>
          <cell r="AI574">
            <v>2825.6399999999921</v>
          </cell>
          <cell r="AJ574">
            <v>2936.2000000000044</v>
          </cell>
          <cell r="AK574">
            <v>2630.0899999999965</v>
          </cell>
          <cell r="AL574">
            <v>2097.1399999999994</v>
          </cell>
          <cell r="AM574">
            <v>2084.91</v>
          </cell>
          <cell r="AN574">
            <v>1852.0800000000017</v>
          </cell>
          <cell r="AO574">
            <v>0</v>
          </cell>
          <cell r="AP574">
            <v>0</v>
          </cell>
          <cell r="AQ574">
            <v>0</v>
          </cell>
          <cell r="AR574">
            <v>0</v>
          </cell>
        </row>
        <row r="575">
          <cell r="E575">
            <v>161.40999999999997</v>
          </cell>
          <cell r="F575">
            <v>197.79</v>
          </cell>
          <cell r="G575">
            <v>341.34999999999997</v>
          </cell>
          <cell r="H575">
            <v>370.20000000000005</v>
          </cell>
          <cell r="I575">
            <v>454.53999999999996</v>
          </cell>
          <cell r="J575">
            <v>589.49999999999989</v>
          </cell>
          <cell r="K575">
            <v>1190.53</v>
          </cell>
          <cell r="L575">
            <v>556.62000000000012</v>
          </cell>
          <cell r="M575">
            <v>308.59000000000015</v>
          </cell>
          <cell r="N575">
            <v>138.92999999999995</v>
          </cell>
          <cell r="O575">
            <v>132.0100000000001</v>
          </cell>
          <cell r="P575">
            <v>236.5300000000002</v>
          </cell>
          <cell r="Q575">
            <v>81.069999999999936</v>
          </cell>
          <cell r="R575">
            <v>82.360000000000127</v>
          </cell>
          <cell r="S575">
            <v>87.199999999999818</v>
          </cell>
          <cell r="T575">
            <v>74.0300000000002</v>
          </cell>
          <cell r="U575">
            <v>98.529999999999745</v>
          </cell>
          <cell r="V575">
            <v>102.37000000000035</v>
          </cell>
          <cell r="W575">
            <v>87.509999999999991</v>
          </cell>
          <cell r="X575">
            <v>99.5</v>
          </cell>
          <cell r="Y575">
            <v>90.529999999999745</v>
          </cell>
          <cell r="Z575">
            <v>84.059999999999945</v>
          </cell>
          <cell r="AA575">
            <v>93.019999999999754</v>
          </cell>
          <cell r="AB575">
            <v>76.970000000000027</v>
          </cell>
          <cell r="AC575">
            <v>75.799999999999955</v>
          </cell>
          <cell r="AD575">
            <v>77.010000000000218</v>
          </cell>
          <cell r="AE575">
            <v>81.519999999999982</v>
          </cell>
          <cell r="AF575">
            <v>69.199999999999818</v>
          </cell>
          <cell r="AG575">
            <v>92.119999999999891</v>
          </cell>
          <cell r="AH575">
            <v>95.670000000000073</v>
          </cell>
          <cell r="AI575">
            <v>81.769999999999754</v>
          </cell>
          <cell r="AJ575">
            <v>92.980000000000473</v>
          </cell>
          <cell r="AK575">
            <v>84.5799999999997</v>
          </cell>
          <cell r="AL575">
            <v>78.569999999999936</v>
          </cell>
          <cell r="AM575">
            <v>86.939999999999827</v>
          </cell>
          <cell r="AN575">
            <v>71.940000000000055</v>
          </cell>
          <cell r="AO575">
            <v>0</v>
          </cell>
          <cell r="AP575">
            <v>0</v>
          </cell>
          <cell r="AQ575">
            <v>0</v>
          </cell>
          <cell r="AR575">
            <v>0</v>
          </cell>
        </row>
      </sheetData>
      <sheetData sheetId="5">
        <row r="436">
          <cell r="E436">
            <v>0</v>
          </cell>
          <cell r="F436">
            <v>-441.85000000000582</v>
          </cell>
          <cell r="G436">
            <v>-2668.8600000000151</v>
          </cell>
          <cell r="H436">
            <v>-5667.7799999999988</v>
          </cell>
          <cell r="I436">
            <v>-9722.4599999999919</v>
          </cell>
          <cell r="J436">
            <v>-16874.919999999984</v>
          </cell>
          <cell r="K436">
            <v>-22898.830000000016</v>
          </cell>
          <cell r="L436">
            <v>-27760.649999999994</v>
          </cell>
          <cell r="M436">
            <v>-33054.539999999979</v>
          </cell>
          <cell r="N436">
            <v>-27010.350000000006</v>
          </cell>
          <cell r="O436">
            <v>-34105.489999999991</v>
          </cell>
          <cell r="P436">
            <v>-44483.31</v>
          </cell>
          <cell r="Q436">
            <v>-43264.999999999971</v>
          </cell>
          <cell r="R436">
            <v>-41323.300000000032</v>
          </cell>
          <cell r="S436">
            <v>-40934.19</v>
          </cell>
          <cell r="T436">
            <v>-40827.24000000002</v>
          </cell>
          <cell r="U436">
            <v>-43379.020000000019</v>
          </cell>
          <cell r="V436">
            <v>-51031.050000000017</v>
          </cell>
          <cell r="W436">
            <v>-54551.73000000001</v>
          </cell>
          <cell r="X436">
            <v>-54656.450000000012</v>
          </cell>
          <cell r="Y436">
            <v>-54611.820000000007</v>
          </cell>
          <cell r="Z436">
            <v>-37279.160000000003</v>
          </cell>
          <cell r="AA436">
            <v>-40199.440000000031</v>
          </cell>
          <cell r="AB436">
            <v>-46830.53</v>
          </cell>
          <cell r="AC436">
            <v>0</v>
          </cell>
          <cell r="AD436">
            <v>0</v>
          </cell>
          <cell r="AE436">
            <v>0</v>
          </cell>
          <cell r="AF436">
            <v>0</v>
          </cell>
          <cell r="AG436">
            <v>0</v>
          </cell>
          <cell r="AH436">
            <v>9.9999999802093953E-3</v>
          </cell>
          <cell r="AI436">
            <v>1.0000000009313226E-2</v>
          </cell>
          <cell r="AJ436">
            <v>0</v>
          </cell>
          <cell r="AK436">
            <v>0</v>
          </cell>
          <cell r="AL436">
            <v>9.9999999947613105E-3</v>
          </cell>
          <cell r="AM436">
            <v>0</v>
          </cell>
          <cell r="AN436">
            <v>0</v>
          </cell>
          <cell r="AO436">
            <v>0</v>
          </cell>
          <cell r="AP436">
            <v>0</v>
          </cell>
          <cell r="AQ436">
            <v>0</v>
          </cell>
          <cell r="AR436">
            <v>0</v>
          </cell>
        </row>
        <row r="437">
          <cell r="E437">
            <v>0</v>
          </cell>
          <cell r="F437">
            <v>0</v>
          </cell>
          <cell r="G437">
            <v>-115.99000000000024</v>
          </cell>
          <cell r="H437">
            <v>-767.47999999999956</v>
          </cell>
          <cell r="I437">
            <v>-1349.2300000000014</v>
          </cell>
          <cell r="J437">
            <v>-1523.4000000000015</v>
          </cell>
          <cell r="K437">
            <v>-1493.2900000000009</v>
          </cell>
          <cell r="L437">
            <v>-1528.0699999999997</v>
          </cell>
          <cell r="M437">
            <v>-1450.0099999999984</v>
          </cell>
          <cell r="N437">
            <v>-1203.6700000000019</v>
          </cell>
          <cell r="O437">
            <v>-1176.7699999999968</v>
          </cell>
          <cell r="P437">
            <v>-1110.5599999999995</v>
          </cell>
          <cell r="Q437">
            <v>-1126.130000000001</v>
          </cell>
          <cell r="R437">
            <v>-1041.9699999999975</v>
          </cell>
          <cell r="S437">
            <v>-1181.1699999999983</v>
          </cell>
          <cell r="T437">
            <v>-1185.7299999999959</v>
          </cell>
          <cell r="U437">
            <v>-1313.8400000000001</v>
          </cell>
          <cell r="V437">
            <v>-1593.9600000000028</v>
          </cell>
          <cell r="W437">
            <v>-1554.7200000000012</v>
          </cell>
          <cell r="X437">
            <v>-1583.0799999999981</v>
          </cell>
          <cell r="Y437">
            <v>-1502.2099999999991</v>
          </cell>
          <cell r="Z437">
            <v>-1246.9900000000016</v>
          </cell>
          <cell r="AA437">
            <v>-1216.5400000000009</v>
          </cell>
          <cell r="AB437">
            <v>-1127.8300000000017</v>
          </cell>
          <cell r="AC437">
            <v>-9.9999999983992893E-3</v>
          </cell>
          <cell r="AD437">
            <v>0</v>
          </cell>
          <cell r="AE437">
            <v>0</v>
          </cell>
          <cell r="AF437">
            <v>0</v>
          </cell>
          <cell r="AG437">
            <v>0</v>
          </cell>
          <cell r="AH437">
            <v>0</v>
          </cell>
          <cell r="AI437">
            <v>0</v>
          </cell>
          <cell r="AJ437">
            <v>0</v>
          </cell>
          <cell r="AK437">
            <v>0</v>
          </cell>
          <cell r="AL437">
            <v>9.9999999983992893E-3</v>
          </cell>
          <cell r="AM437">
            <v>1.0000000002037268E-2</v>
          </cell>
          <cell r="AN437">
            <v>9.9999999983992893E-3</v>
          </cell>
          <cell r="AO437">
            <v>0</v>
          </cell>
          <cell r="AP437">
            <v>0</v>
          </cell>
          <cell r="AQ437">
            <v>0</v>
          </cell>
          <cell r="AR437">
            <v>0</v>
          </cell>
        </row>
        <row r="438">
          <cell r="E438">
            <v>0</v>
          </cell>
          <cell r="F438">
            <v>0</v>
          </cell>
          <cell r="G438">
            <v>0</v>
          </cell>
          <cell r="H438">
            <v>-4.3099999999999454</v>
          </cell>
          <cell r="I438">
            <v>-78.260000000000218</v>
          </cell>
          <cell r="J438">
            <v>-184.07999999999993</v>
          </cell>
          <cell r="K438">
            <v>-807.88000000000102</v>
          </cell>
          <cell r="L438">
            <v>-1528.8400000000001</v>
          </cell>
          <cell r="M438">
            <v>-1861.0600000000013</v>
          </cell>
          <cell r="N438">
            <v>-1736.9300000000003</v>
          </cell>
          <cell r="O438">
            <v>-1851.4599999999991</v>
          </cell>
          <cell r="P438">
            <v>-2082.510000000002</v>
          </cell>
          <cell r="Q438">
            <v>-2395.4800000000032</v>
          </cell>
          <cell r="R438">
            <v>-2208.6500000000015</v>
          </cell>
          <cell r="S438">
            <v>-2486.1100000000006</v>
          </cell>
          <cell r="T438">
            <v>-2556.0200000000041</v>
          </cell>
          <cell r="U438">
            <v>-2913.4599999999919</v>
          </cell>
          <cell r="V438">
            <v>-3655.900000000016</v>
          </cell>
          <cell r="W438">
            <v>-3587.4499999999971</v>
          </cell>
          <cell r="X438">
            <v>-3672.489999999998</v>
          </cell>
          <cell r="Y438">
            <v>-3433.6599999999962</v>
          </cell>
          <cell r="Z438">
            <v>-2651.3499999999913</v>
          </cell>
          <cell r="AA438">
            <v>-2683.2200000000012</v>
          </cell>
          <cell r="AB438">
            <v>-2419.739999999998</v>
          </cell>
          <cell r="AC438">
            <v>0</v>
          </cell>
          <cell r="AD438">
            <v>0</v>
          </cell>
          <cell r="AE438">
            <v>0</v>
          </cell>
          <cell r="AF438">
            <v>0</v>
          </cell>
          <cell r="AG438">
            <v>-9.9999999947613105E-3</v>
          </cell>
          <cell r="AH438">
            <v>0</v>
          </cell>
          <cell r="AI438">
            <v>0</v>
          </cell>
          <cell r="AJ438">
            <v>0</v>
          </cell>
          <cell r="AK438">
            <v>0</v>
          </cell>
          <cell r="AL438">
            <v>1.0000000009313226E-2</v>
          </cell>
          <cell r="AM438">
            <v>0</v>
          </cell>
          <cell r="AN438">
            <v>-9.9999999947613105E-3</v>
          </cell>
          <cell r="AO438">
            <v>0</v>
          </cell>
          <cell r="AP438">
            <v>0</v>
          </cell>
          <cell r="AQ438">
            <v>0</v>
          </cell>
          <cell r="AR438">
            <v>0</v>
          </cell>
        </row>
        <row r="439">
          <cell r="E439">
            <v>0</v>
          </cell>
          <cell r="F439">
            <v>0</v>
          </cell>
          <cell r="G439">
            <v>0</v>
          </cell>
          <cell r="H439">
            <v>-10.010000000000218</v>
          </cell>
          <cell r="I439">
            <v>-21.960000000000946</v>
          </cell>
          <cell r="J439">
            <v>-349.31000000000131</v>
          </cell>
          <cell r="K439">
            <v>-671.95999999999913</v>
          </cell>
          <cell r="L439">
            <v>-731.08000000000175</v>
          </cell>
          <cell r="M439">
            <v>-773.44000000000051</v>
          </cell>
          <cell r="N439">
            <v>-969.06999999999971</v>
          </cell>
          <cell r="O439">
            <v>-1227.010000000002</v>
          </cell>
          <cell r="P439">
            <v>-1244.7299999999959</v>
          </cell>
          <cell r="Q439">
            <v>-1422.8399999999965</v>
          </cell>
          <cell r="R439">
            <v>-1339.5</v>
          </cell>
          <cell r="S439">
            <v>-1535.7999999999993</v>
          </cell>
          <cell r="T439">
            <v>-1560.2799999999988</v>
          </cell>
          <cell r="U439">
            <v>-1711.5600000000049</v>
          </cell>
          <cell r="V439">
            <v>-2221.2700000000041</v>
          </cell>
          <cell r="W439">
            <v>-2131.9199999999983</v>
          </cell>
          <cell r="X439">
            <v>-2213.7400000000052</v>
          </cell>
          <cell r="Y439">
            <v>-1989.1199999999953</v>
          </cell>
          <cell r="Z439">
            <v>-1583.6200000000026</v>
          </cell>
          <cell r="AA439">
            <v>-1577.1100000000006</v>
          </cell>
          <cell r="AB439">
            <v>-1400.1399999999994</v>
          </cell>
          <cell r="AC439">
            <v>1.0000000002037268E-2</v>
          </cell>
          <cell r="AD439">
            <v>1.0000000002037268E-2</v>
          </cell>
          <cell r="AE439">
            <v>0</v>
          </cell>
          <cell r="AF439">
            <v>9.9999999983992893E-3</v>
          </cell>
          <cell r="AG439">
            <v>0</v>
          </cell>
          <cell r="AH439">
            <v>0</v>
          </cell>
          <cell r="AI439">
            <v>1.0000000002037268E-2</v>
          </cell>
          <cell r="AJ439">
            <v>0</v>
          </cell>
          <cell r="AK439">
            <v>-9.9999999947613105E-3</v>
          </cell>
          <cell r="AL439">
            <v>-2.0000000004074536E-2</v>
          </cell>
          <cell r="AM439">
            <v>0</v>
          </cell>
          <cell r="AN439">
            <v>9.9999999983992893E-3</v>
          </cell>
          <cell r="AO439">
            <v>0</v>
          </cell>
          <cell r="AP439">
            <v>0</v>
          </cell>
          <cell r="AQ439">
            <v>0</v>
          </cell>
          <cell r="AR439">
            <v>0</v>
          </cell>
        </row>
        <row r="440">
          <cell r="E440">
            <v>0</v>
          </cell>
          <cell r="F440">
            <v>0</v>
          </cell>
          <cell r="G440">
            <v>0</v>
          </cell>
          <cell r="H440">
            <v>0</v>
          </cell>
          <cell r="I440">
            <v>0</v>
          </cell>
          <cell r="J440">
            <v>0</v>
          </cell>
          <cell r="K440">
            <v>9.9999999997635314E-3</v>
          </cell>
          <cell r="L440">
            <v>0</v>
          </cell>
          <cell r="M440">
            <v>0</v>
          </cell>
          <cell r="N440">
            <v>0</v>
          </cell>
          <cell r="O440">
            <v>0</v>
          </cell>
          <cell r="P440">
            <v>-38.050000000000182</v>
          </cell>
          <cell r="Q440">
            <v>-79.799999999999955</v>
          </cell>
          <cell r="R440">
            <v>-80.990000000000009</v>
          </cell>
          <cell r="S440">
            <v>-85.799999999999727</v>
          </cell>
          <cell r="T440">
            <v>-73.160000000000309</v>
          </cell>
          <cell r="U440">
            <v>-96.9699999999998</v>
          </cell>
          <cell r="V440">
            <v>-101.36000000000013</v>
          </cell>
          <cell r="W440">
            <v>-86.900000000000091</v>
          </cell>
          <cell r="X440">
            <v>-98.599999999999454</v>
          </cell>
          <cell r="Y440">
            <v>-89.929999999999836</v>
          </cell>
          <cell r="Z440">
            <v>-83.039999999999964</v>
          </cell>
          <cell r="AA440">
            <v>-91.960000000000036</v>
          </cell>
          <cell r="AB440">
            <v>-76.089999999999918</v>
          </cell>
          <cell r="AC440">
            <v>0</v>
          </cell>
          <cell r="AD440">
            <v>0</v>
          </cell>
          <cell r="AE440">
            <v>1.0000000000218279E-2</v>
          </cell>
          <cell r="AF440">
            <v>0</v>
          </cell>
          <cell r="AG440">
            <v>0</v>
          </cell>
          <cell r="AH440">
            <v>0</v>
          </cell>
          <cell r="AI440">
            <v>0</v>
          </cell>
          <cell r="AJ440">
            <v>0</v>
          </cell>
          <cell r="AK440">
            <v>1.0000000000218279E-2</v>
          </cell>
          <cell r="AL440">
            <v>0</v>
          </cell>
          <cell r="AM440">
            <v>0</v>
          </cell>
          <cell r="AN440">
            <v>0</v>
          </cell>
          <cell r="AO440">
            <v>0</v>
          </cell>
          <cell r="AP440">
            <v>0</v>
          </cell>
          <cell r="AQ440">
            <v>0</v>
          </cell>
          <cell r="AR440">
            <v>0</v>
          </cell>
        </row>
      </sheetData>
      <sheetData sheetId="6"/>
      <sheetData sheetId="7">
        <row r="55">
          <cell r="C55">
            <v>-5.44</v>
          </cell>
          <cell r="D55">
            <v>-14.87</v>
          </cell>
          <cell r="E55">
            <v>-27.7</v>
          </cell>
          <cell r="F55">
            <v>-31.44</v>
          </cell>
          <cell r="G55">
            <v>-29.5</v>
          </cell>
          <cell r="H55">
            <v>-186.76</v>
          </cell>
          <cell r="I55">
            <v>-283.49</v>
          </cell>
          <cell r="J55">
            <v>-386.31</v>
          </cell>
          <cell r="K55">
            <v>-525.63</v>
          </cell>
          <cell r="L55">
            <v>-669.64</v>
          </cell>
          <cell r="M55">
            <v>-765.64</v>
          </cell>
          <cell r="N55">
            <v>-908.59</v>
          </cell>
          <cell r="O55">
            <v>-1013.91</v>
          </cell>
          <cell r="P55">
            <v>-1126.77</v>
          </cell>
          <cell r="Q55">
            <v>-844.24</v>
          </cell>
          <cell r="R55">
            <v>-760.62</v>
          </cell>
          <cell r="S55">
            <v>-1303.1600000000001</v>
          </cell>
          <cell r="T55">
            <v>-1453.18</v>
          </cell>
          <cell r="U55">
            <v>-1588.53</v>
          </cell>
          <cell r="V55">
            <v>-1762.14</v>
          </cell>
          <cell r="W55">
            <v>-1888.15</v>
          </cell>
          <cell r="X55">
            <v>-2050.9899999999998</v>
          </cell>
          <cell r="Y55">
            <v>-2139.0500000000002</v>
          </cell>
          <cell r="Z55">
            <v>-2237.6</v>
          </cell>
          <cell r="AA55">
            <v>-2236.4</v>
          </cell>
          <cell r="AB55">
            <v>-2140.44</v>
          </cell>
          <cell r="AC55">
            <v>-2047.1</v>
          </cell>
          <cell r="AD55">
            <v>-2020.96</v>
          </cell>
          <cell r="AE55">
            <v>-1757.84</v>
          </cell>
          <cell r="AF55">
            <v>-1748.97</v>
          </cell>
          <cell r="AG55">
            <v>-1637.28</v>
          </cell>
          <cell r="AH55">
            <v>-1530.21</v>
          </cell>
          <cell r="AI55">
            <v>-1409.19</v>
          </cell>
          <cell r="AJ55">
            <v>-1368.52</v>
          </cell>
          <cell r="AK55">
            <v>-1281.3599999999999</v>
          </cell>
          <cell r="AL55">
            <v>-1101.24</v>
          </cell>
          <cell r="AM55">
            <v>0</v>
          </cell>
          <cell r="AN55">
            <v>0</v>
          </cell>
          <cell r="AO55">
            <v>0</v>
          </cell>
          <cell r="AP55">
            <v>0</v>
          </cell>
        </row>
        <row r="56">
          <cell r="C56">
            <v>0.11</v>
          </cell>
          <cell r="D56">
            <v>0.33</v>
          </cell>
          <cell r="E56">
            <v>0.67</v>
          </cell>
          <cell r="F56">
            <v>0.56000000000000005</v>
          </cell>
          <cell r="G56">
            <v>0.14000000000000001</v>
          </cell>
          <cell r="H56">
            <v>-0.8</v>
          </cell>
          <cell r="I56">
            <v>0.23</v>
          </cell>
          <cell r="J56">
            <v>3.19</v>
          </cell>
          <cell r="K56">
            <v>3.95</v>
          </cell>
          <cell r="L56">
            <v>3.24</v>
          </cell>
          <cell r="M56">
            <v>2.69</v>
          </cell>
          <cell r="N56">
            <v>3.07</v>
          </cell>
          <cell r="O56">
            <v>3.98</v>
          </cell>
          <cell r="P56">
            <v>4.9800000000000004</v>
          </cell>
          <cell r="Q56">
            <v>4.0999999999999996</v>
          </cell>
          <cell r="R56">
            <v>3.99</v>
          </cell>
          <cell r="S56">
            <v>7.34</v>
          </cell>
          <cell r="T56">
            <v>8.76</v>
          </cell>
          <cell r="U56">
            <v>14.42</v>
          </cell>
          <cell r="V56">
            <v>24.43</v>
          </cell>
          <cell r="W56">
            <v>29.57</v>
          </cell>
          <cell r="X56">
            <v>31.32</v>
          </cell>
          <cell r="Y56">
            <v>32.32</v>
          </cell>
          <cell r="Z56">
            <v>33.28</v>
          </cell>
          <cell r="AA56">
            <v>37.119999999999997</v>
          </cell>
          <cell r="AB56">
            <v>43.8</v>
          </cell>
          <cell r="AC56">
            <v>50.66</v>
          </cell>
          <cell r="AD56">
            <v>59.1</v>
          </cell>
          <cell r="AE56">
            <v>61.01</v>
          </cell>
          <cell r="AF56">
            <v>72.92</v>
          </cell>
          <cell r="AG56">
            <v>86.73</v>
          </cell>
          <cell r="AH56">
            <v>105.01</v>
          </cell>
          <cell r="AI56">
            <v>118.16</v>
          </cell>
          <cell r="AJ56">
            <v>129.88999999999999</v>
          </cell>
          <cell r="AK56">
            <v>137.47</v>
          </cell>
          <cell r="AL56">
            <v>134.74</v>
          </cell>
          <cell r="AM56">
            <v>0</v>
          </cell>
          <cell r="AN56">
            <v>0</v>
          </cell>
          <cell r="AO56">
            <v>0</v>
          </cell>
          <cell r="AP56">
            <v>0</v>
          </cell>
        </row>
        <row r="57">
          <cell r="C57">
            <v>0.32</v>
          </cell>
          <cell r="D57">
            <v>0.92</v>
          </cell>
          <cell r="E57">
            <v>2.0499999999999998</v>
          </cell>
          <cell r="F57">
            <v>2.63</v>
          </cell>
          <cell r="G57">
            <v>2.66</v>
          </cell>
          <cell r="H57">
            <v>17.61</v>
          </cell>
          <cell r="I57">
            <v>28.77</v>
          </cell>
          <cell r="J57">
            <v>37.200000000000003</v>
          </cell>
          <cell r="K57">
            <v>41.02</v>
          </cell>
          <cell r="L57">
            <v>44.85</v>
          </cell>
          <cell r="M57">
            <v>46.83</v>
          </cell>
          <cell r="N57">
            <v>51.82</v>
          </cell>
          <cell r="O57">
            <v>55.31</v>
          </cell>
          <cell r="P57">
            <v>59.57</v>
          </cell>
          <cell r="Q57">
            <v>43.58</v>
          </cell>
          <cell r="R57">
            <v>38.700000000000003</v>
          </cell>
          <cell r="S57">
            <v>65.47</v>
          </cell>
          <cell r="T57">
            <v>72.34</v>
          </cell>
          <cell r="U57">
            <v>78.180000000000007</v>
          </cell>
          <cell r="V57">
            <v>85.67</v>
          </cell>
          <cell r="W57">
            <v>90.75</v>
          </cell>
          <cell r="X57">
            <v>97.94</v>
          </cell>
          <cell r="Y57">
            <v>101.75</v>
          </cell>
          <cell r="Z57">
            <v>105.39</v>
          </cell>
          <cell r="AA57">
            <v>115.01</v>
          </cell>
          <cell r="AB57">
            <v>130.66999999999999</v>
          </cell>
          <cell r="AC57">
            <v>146.69</v>
          </cell>
          <cell r="AD57">
            <v>167.35</v>
          </cell>
          <cell r="AE57">
            <v>169.82</v>
          </cell>
          <cell r="AF57">
            <v>200.45</v>
          </cell>
          <cell r="AG57">
            <v>224.58</v>
          </cell>
          <cell r="AH57">
            <v>250.43</v>
          </cell>
          <cell r="AI57">
            <v>274.11</v>
          </cell>
          <cell r="AJ57">
            <v>302.95999999999998</v>
          </cell>
          <cell r="AK57">
            <v>321.02</v>
          </cell>
          <cell r="AL57">
            <v>315.05</v>
          </cell>
          <cell r="AM57">
            <v>0</v>
          </cell>
          <cell r="AN57">
            <v>0</v>
          </cell>
          <cell r="AO57">
            <v>0</v>
          </cell>
          <cell r="AP57">
            <v>0</v>
          </cell>
        </row>
        <row r="58">
          <cell r="C58">
            <v>0.51</v>
          </cell>
          <cell r="D58">
            <v>1.47</v>
          </cell>
          <cell r="E58">
            <v>3.26</v>
          </cell>
          <cell r="F58">
            <v>4.2</v>
          </cell>
          <cell r="G58">
            <v>4.3</v>
          </cell>
          <cell r="H58">
            <v>28.27</v>
          </cell>
          <cell r="I58">
            <v>46.08</v>
          </cell>
          <cell r="J58">
            <v>60.73</v>
          </cell>
          <cell r="K58">
            <v>67.84</v>
          </cell>
          <cell r="L58">
            <v>73.45</v>
          </cell>
          <cell r="M58">
            <v>75.09</v>
          </cell>
          <cell r="N58">
            <v>80.98</v>
          </cell>
          <cell r="O58">
            <v>84.26</v>
          </cell>
          <cell r="P58">
            <v>88.66</v>
          </cell>
          <cell r="Q58">
            <v>63.51</v>
          </cell>
          <cell r="R58">
            <v>55.38</v>
          </cell>
          <cell r="S58">
            <v>91.8</v>
          </cell>
          <cell r="T58">
            <v>99.21</v>
          </cell>
          <cell r="U58">
            <v>104.94</v>
          </cell>
          <cell r="V58">
            <v>112.77</v>
          </cell>
          <cell r="W58">
            <v>117.38</v>
          </cell>
          <cell r="X58">
            <v>125.1</v>
          </cell>
          <cell r="Y58">
            <v>128.57</v>
          </cell>
          <cell r="Z58">
            <v>131.84</v>
          </cell>
          <cell r="AA58">
            <v>138.5</v>
          </cell>
          <cell r="AB58">
            <v>149.07</v>
          </cell>
          <cell r="AC58">
            <v>160.09</v>
          </cell>
          <cell r="AD58">
            <v>176.16</v>
          </cell>
          <cell r="AE58">
            <v>172.27</v>
          </cell>
          <cell r="AF58">
            <v>195.94</v>
          </cell>
          <cell r="AG58">
            <v>212.29</v>
          </cell>
          <cell r="AH58">
            <v>230.11</v>
          </cell>
          <cell r="AI58">
            <v>245.81</v>
          </cell>
          <cell r="AJ58">
            <v>267.25</v>
          </cell>
          <cell r="AK58">
            <v>279.27999999999997</v>
          </cell>
          <cell r="AL58">
            <v>270.64</v>
          </cell>
          <cell r="AM58">
            <v>0</v>
          </cell>
          <cell r="AN58">
            <v>0</v>
          </cell>
          <cell r="AO58">
            <v>0</v>
          </cell>
          <cell r="AP58">
            <v>0</v>
          </cell>
        </row>
        <row r="59">
          <cell r="C59">
            <v>0.18</v>
          </cell>
          <cell r="D59">
            <v>0.52</v>
          </cell>
          <cell r="E59">
            <v>1.1599999999999999</v>
          </cell>
          <cell r="F59">
            <v>1.48</v>
          </cell>
          <cell r="G59">
            <v>1.48</v>
          </cell>
          <cell r="H59">
            <v>9.6</v>
          </cell>
          <cell r="I59">
            <v>15.77</v>
          </cell>
          <cell r="J59">
            <v>21.01</v>
          </cell>
          <cell r="K59">
            <v>23.44</v>
          </cell>
          <cell r="L59">
            <v>25.13</v>
          </cell>
          <cell r="M59">
            <v>25.29</v>
          </cell>
          <cell r="N59">
            <v>26.69</v>
          </cell>
          <cell r="O59">
            <v>26.92</v>
          </cell>
          <cell r="P59">
            <v>27.32</v>
          </cell>
          <cell r="Q59">
            <v>18.87</v>
          </cell>
          <cell r="R59">
            <v>15.91</v>
          </cell>
          <cell r="S59">
            <v>25.41</v>
          </cell>
          <cell r="T59">
            <v>26.31</v>
          </cell>
          <cell r="U59">
            <v>26.6</v>
          </cell>
          <cell r="V59">
            <v>27.37</v>
          </cell>
          <cell r="W59">
            <v>27.38</v>
          </cell>
          <cell r="X59">
            <v>28.34</v>
          </cell>
          <cell r="Y59">
            <v>28.35</v>
          </cell>
          <cell r="Z59">
            <v>28.35</v>
          </cell>
          <cell r="AA59">
            <v>28.53</v>
          </cell>
          <cell r="AB59">
            <v>29</v>
          </cell>
          <cell r="AC59">
            <v>29.49</v>
          </cell>
          <cell r="AD59">
            <v>30.84</v>
          </cell>
          <cell r="AE59">
            <v>28.62</v>
          </cell>
          <cell r="AF59">
            <v>30.7</v>
          </cell>
          <cell r="AG59">
            <v>31.28</v>
          </cell>
          <cell r="AH59">
            <v>32.049999999999997</v>
          </cell>
          <cell r="AI59">
            <v>32.590000000000003</v>
          </cell>
          <cell r="AJ59">
            <v>34.270000000000003</v>
          </cell>
          <cell r="AK59">
            <v>34.78</v>
          </cell>
          <cell r="AL59">
            <v>32.840000000000003</v>
          </cell>
          <cell r="AM59">
            <v>0</v>
          </cell>
          <cell r="AN59">
            <v>0</v>
          </cell>
          <cell r="AO59">
            <v>0</v>
          </cell>
          <cell r="AP59">
            <v>0</v>
          </cell>
        </row>
      </sheetData>
      <sheetData sheetId="8"/>
      <sheetData sheetId="9"/>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O Matrix @Meter"/>
      <sheetName val="PY2 Final EM&amp;V"/>
      <sheetName val="Tariff Table"/>
      <sheetName val="EMV Results"/>
    </sheetNames>
    <sheetDataSet>
      <sheetData sheetId="0">
        <row r="20">
          <cell r="AL20">
            <v>1385047.189</v>
          </cell>
          <cell r="AP20">
            <v>76053.37000000001</v>
          </cell>
          <cell r="AQ20">
            <v>187581.29000000004</v>
          </cell>
          <cell r="AR20">
            <v>528596.72000000009</v>
          </cell>
          <cell r="AS20">
            <v>47357.25</v>
          </cell>
        </row>
      </sheetData>
      <sheetData sheetId="1"/>
      <sheetData sheetId="2"/>
      <sheetData sheetId="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put"/>
      <sheetName val="Program Descriptions"/>
      <sheetName val="Deemed TD Calc"/>
      <sheetName val="Deemed kW Savings"/>
      <sheetName val="Ex Post Gross TD Calc"/>
      <sheetName val="NTG TD Calc"/>
      <sheetName val="EO TD Carrying Costs"/>
      <sheetName val="Jnl Import"/>
      <sheetName val="EMV Results"/>
      <sheetName val="Summary"/>
    </sheetNames>
    <sheetDataSet>
      <sheetData sheetId="0"/>
      <sheetData sheetId="1"/>
      <sheetData sheetId="2"/>
      <sheetData sheetId="3"/>
      <sheetData sheetId="4">
        <row r="571">
          <cell r="Q571">
            <v>-15140.699999999997</v>
          </cell>
          <cell r="R571">
            <v>-16044.399999999994</v>
          </cell>
          <cell r="S571">
            <v>-9528.1799999999785</v>
          </cell>
          <cell r="T571">
            <v>-16466.47</v>
          </cell>
          <cell r="U571">
            <v>-16256.750000000029</v>
          </cell>
          <cell r="V571">
            <v>-35277.160000000033</v>
          </cell>
          <cell r="W571">
            <v>-35915.890000000014</v>
          </cell>
          <cell r="X571">
            <v>-35302.489999999932</v>
          </cell>
          <cell r="Y571">
            <v>-32507.559999999998</v>
          </cell>
          <cell r="Z571">
            <v>-15753.00999999998</v>
          </cell>
          <cell r="AA571">
            <v>-19763.369999999995</v>
          </cell>
          <cell r="AB571">
            <v>-14899.379999999976</v>
          </cell>
          <cell r="AC571">
            <v>-6153.8199999999924</v>
          </cell>
          <cell r="AD571">
            <v>-5862.8099999999831</v>
          </cell>
          <cell r="AE571">
            <v>-6085.8899999999994</v>
          </cell>
          <cell r="AF571">
            <v>-6041.769999999975</v>
          </cell>
          <cell r="AG571">
            <v>-6548.7399999999761</v>
          </cell>
          <cell r="AH571">
            <v>-9060.7200000000012</v>
          </cell>
          <cell r="AI571">
            <v>-13837.729999999952</v>
          </cell>
          <cell r="AJ571">
            <v>-13078.48000000004</v>
          </cell>
          <cell r="AK571">
            <v>-8749.1000000000058</v>
          </cell>
          <cell r="AL571">
            <v>-5596.9700000000012</v>
          </cell>
          <cell r="AM571">
            <v>-6006.2599999999948</v>
          </cell>
          <cell r="AN571">
            <v>-6644.7799999999843</v>
          </cell>
        </row>
        <row r="572">
          <cell r="Q572">
            <v>109.94999999999993</v>
          </cell>
          <cell r="R572">
            <v>109.33000000000004</v>
          </cell>
          <cell r="S572">
            <v>-10105.220000000001</v>
          </cell>
          <cell r="T572">
            <v>1061.2000000000003</v>
          </cell>
          <cell r="U572">
            <v>-1653.4000000000005</v>
          </cell>
          <cell r="V572">
            <v>1166.1599999999999</v>
          </cell>
          <cell r="W572">
            <v>2060.59</v>
          </cell>
          <cell r="X572">
            <v>1930.8799999999992</v>
          </cell>
          <cell r="Y572">
            <v>2446.2599999999984</v>
          </cell>
          <cell r="Z572">
            <v>1212.1900000000005</v>
          </cell>
          <cell r="AA572">
            <v>-849.01000000000022</v>
          </cell>
          <cell r="AB572">
            <v>916.17000000000189</v>
          </cell>
          <cell r="AC572">
            <v>760.65000000000146</v>
          </cell>
          <cell r="AD572">
            <v>834.40999999999804</v>
          </cell>
          <cell r="AE572">
            <v>793.10999999999876</v>
          </cell>
          <cell r="AF572">
            <v>863.23999999999978</v>
          </cell>
          <cell r="AG572">
            <v>881.8700000000008</v>
          </cell>
          <cell r="AH572">
            <v>1138.1200000000008</v>
          </cell>
          <cell r="AI572">
            <v>2071.1400000000012</v>
          </cell>
          <cell r="AJ572">
            <v>1929.4500000000007</v>
          </cell>
          <cell r="AK572">
            <v>1115.7199999999993</v>
          </cell>
          <cell r="AL572">
            <v>836.22000000000116</v>
          </cell>
          <cell r="AM572">
            <v>894.57999999999811</v>
          </cell>
          <cell r="AN572">
            <v>825.89999999999964</v>
          </cell>
        </row>
        <row r="573">
          <cell r="Q573">
            <v>254.37999999999994</v>
          </cell>
          <cell r="R573">
            <v>367.73999999999978</v>
          </cell>
          <cell r="S573">
            <v>1564.0400000000009</v>
          </cell>
          <cell r="T573">
            <v>554.75000000000091</v>
          </cell>
          <cell r="U573">
            <v>106.98999999999978</v>
          </cell>
          <cell r="V573">
            <v>-183.47000000000298</v>
          </cell>
          <cell r="W573">
            <v>1053.9599999999991</v>
          </cell>
          <cell r="X573">
            <v>1988.1100000000042</v>
          </cell>
          <cell r="Y573">
            <v>2417.8400000000038</v>
          </cell>
          <cell r="Z573">
            <v>1650.559999999994</v>
          </cell>
          <cell r="AA573">
            <v>-493.71999999999753</v>
          </cell>
          <cell r="AB573">
            <v>1032.4800000000032</v>
          </cell>
          <cell r="AC573">
            <v>-697.29000000000087</v>
          </cell>
          <cell r="AD573">
            <v>-644.48999999999796</v>
          </cell>
          <cell r="AE573">
            <v>-732.27000000000044</v>
          </cell>
          <cell r="AF573">
            <v>-744.47999999999956</v>
          </cell>
          <cell r="AG573">
            <v>-851.95999999999913</v>
          </cell>
          <cell r="AH573">
            <v>-1089.9799999999996</v>
          </cell>
          <cell r="AI573">
            <v>-1075.4499999999971</v>
          </cell>
          <cell r="AJ573">
            <v>-1099.6599999999999</v>
          </cell>
          <cell r="AK573">
            <v>-1020.3000000000029</v>
          </cell>
          <cell r="AL573">
            <v>-767.63000000000466</v>
          </cell>
          <cell r="AM573">
            <v>-776.88000000000102</v>
          </cell>
          <cell r="AN573">
            <v>-698.98999999999796</v>
          </cell>
        </row>
        <row r="574">
          <cell r="Q574">
            <v>417.28</v>
          </cell>
          <cell r="R574">
            <v>539.18999999999994</v>
          </cell>
          <cell r="S574">
            <v>2486.8899999999985</v>
          </cell>
          <cell r="T574">
            <v>1451.7999999999993</v>
          </cell>
          <cell r="U574">
            <v>1357.1400000000031</v>
          </cell>
          <cell r="V574">
            <v>1939.3300000000017</v>
          </cell>
          <cell r="W574">
            <v>4501.0799999999872</v>
          </cell>
          <cell r="X574">
            <v>6232.7200000000012</v>
          </cell>
          <cell r="Y574">
            <v>6682.8199999999924</v>
          </cell>
          <cell r="Z574">
            <v>4840.739999999998</v>
          </cell>
          <cell r="AA574">
            <v>1402.5799999999945</v>
          </cell>
          <cell r="AB574">
            <v>3699.7500000000073</v>
          </cell>
          <cell r="AC574">
            <v>891.03999999999724</v>
          </cell>
          <cell r="AD574">
            <v>838.33999999999651</v>
          </cell>
          <cell r="AE574">
            <v>952.36000000000058</v>
          </cell>
          <cell r="AF574">
            <v>974.22000000000844</v>
          </cell>
          <cell r="AG574">
            <v>1065.75</v>
          </cell>
          <cell r="AH574">
            <v>1348.4500000000044</v>
          </cell>
          <cell r="AI574">
            <v>1280.3700000000026</v>
          </cell>
          <cell r="AJ574">
            <v>1335.3599999999933</v>
          </cell>
          <cell r="AK574">
            <v>1200.4199999999983</v>
          </cell>
          <cell r="AL574">
            <v>993.17999999999302</v>
          </cell>
          <cell r="AM574">
            <v>985.22999999999593</v>
          </cell>
          <cell r="AN574">
            <v>876.76000000000568</v>
          </cell>
        </row>
        <row r="575">
          <cell r="Q575">
            <v>111.69</v>
          </cell>
          <cell r="R575">
            <v>144.48000000000002</v>
          </cell>
          <cell r="S575">
            <v>648.6400000000001</v>
          </cell>
          <cell r="T575">
            <v>250.21</v>
          </cell>
          <cell r="U575">
            <v>72.77000000000001</v>
          </cell>
          <cell r="V575">
            <v>-15.050000000000011</v>
          </cell>
          <cell r="W575">
            <v>574.35999999999979</v>
          </cell>
          <cell r="X575">
            <v>1019.4699999999999</v>
          </cell>
          <cell r="Y575">
            <v>1223.0999999999997</v>
          </cell>
          <cell r="Z575">
            <v>857.06999999999994</v>
          </cell>
          <cell r="AA575">
            <v>-56.689999999999941</v>
          </cell>
          <cell r="AB575">
            <v>647.17000000000007</v>
          </cell>
          <cell r="AC575">
            <v>-6.9700000000000273</v>
          </cell>
          <cell r="AD575">
            <v>-5.6799999999998363</v>
          </cell>
          <cell r="AE575">
            <v>-9.7799999999999727</v>
          </cell>
          <cell r="AF575">
            <v>-11.430000000000064</v>
          </cell>
          <cell r="AG575">
            <v>-9.6399999999998727</v>
          </cell>
          <cell r="AH575">
            <v>-26.5</v>
          </cell>
          <cell r="AI575">
            <v>-30.929999999999836</v>
          </cell>
          <cell r="AJ575">
            <v>-29.020000000000209</v>
          </cell>
          <cell r="AK575">
            <v>-26.909999999999854</v>
          </cell>
          <cell r="AL575">
            <v>-9.319999999999709</v>
          </cell>
          <cell r="AM575">
            <v>-9.459999999999809</v>
          </cell>
          <cell r="AN575">
            <v>-8.5299999999999727</v>
          </cell>
        </row>
      </sheetData>
      <sheetData sheetId="5">
        <row r="436">
          <cell r="Q436">
            <v>-1007.0500000000029</v>
          </cell>
          <cell r="R436">
            <v>-2870.8699999999953</v>
          </cell>
          <cell r="S436">
            <v>-7533.1999999999971</v>
          </cell>
          <cell r="T436">
            <v>-12275.150000000009</v>
          </cell>
          <cell r="U436">
            <v>-16699.169999999969</v>
          </cell>
          <cell r="V436">
            <v>-25817.789999999979</v>
          </cell>
          <cell r="W436">
            <v>-33207.489999999991</v>
          </cell>
          <cell r="X436">
            <v>-37254.52999999997</v>
          </cell>
          <cell r="Y436">
            <v>-40467.679999999993</v>
          </cell>
          <cell r="Z436">
            <v>-30337.23000000001</v>
          </cell>
          <cell r="AA436">
            <v>-36349.22</v>
          </cell>
          <cell r="AB436">
            <v>-46149.109999999986</v>
          </cell>
          <cell r="AC436">
            <v>263.60999999998603</v>
          </cell>
          <cell r="AD436">
            <v>263.16999999999825</v>
          </cell>
          <cell r="AE436">
            <v>41.39000000001397</v>
          </cell>
          <cell r="AF436">
            <v>67.459999999991851</v>
          </cell>
          <cell r="AG436">
            <v>-46.510000000009313</v>
          </cell>
          <cell r="AH436">
            <v>-1205.4100000000035</v>
          </cell>
          <cell r="AI436">
            <v>-1743.1199999999953</v>
          </cell>
          <cell r="AJ436">
            <v>-1453.6599999999744</v>
          </cell>
          <cell r="AK436">
            <v>-446.02999999999884</v>
          </cell>
          <cell r="AL436">
            <v>-2.25</v>
          </cell>
          <cell r="AM436">
            <v>23.10999999998603</v>
          </cell>
          <cell r="AN436">
            <v>297.64999999999418</v>
          </cell>
        </row>
        <row r="437">
          <cell r="Q437">
            <v>-49.479999999999961</v>
          </cell>
          <cell r="R437">
            <v>-141.51</v>
          </cell>
          <cell r="S437">
            <v>-318.5300000000002</v>
          </cell>
          <cell r="T437">
            <v>-497.34000000000015</v>
          </cell>
          <cell r="U437">
            <v>-669.27000000000044</v>
          </cell>
          <cell r="V437">
            <v>-948.70999999999913</v>
          </cell>
          <cell r="W437">
            <v>-1100.0299999999988</v>
          </cell>
          <cell r="X437">
            <v>-1298.4000000000015</v>
          </cell>
          <cell r="Y437">
            <v>-1342.6599999999999</v>
          </cell>
          <cell r="Z437">
            <v>-1138.9799999999996</v>
          </cell>
          <cell r="AA437">
            <v>-1236.6999999999998</v>
          </cell>
          <cell r="AB437">
            <v>-1341.6399999999994</v>
          </cell>
          <cell r="AC437">
            <v>-1370.1499999999996</v>
          </cell>
          <cell r="AD437">
            <v>-1268.8399999999992</v>
          </cell>
          <cell r="AE437">
            <v>-1439.3600000000006</v>
          </cell>
          <cell r="AF437">
            <v>-1436.0900000000001</v>
          </cell>
          <cell r="AG437">
            <v>-1600.1399999999994</v>
          </cell>
          <cell r="AH437">
            <v>-1933.5599999999995</v>
          </cell>
          <cell r="AI437">
            <v>-1884.380000000001</v>
          </cell>
          <cell r="AJ437">
            <v>-1920.7200000000012</v>
          </cell>
          <cell r="AK437">
            <v>-1814.2000000000007</v>
          </cell>
          <cell r="AL437">
            <v>-1508.6500000000015</v>
          </cell>
          <cell r="AM437">
            <v>-1468.08</v>
          </cell>
          <cell r="AN437">
            <v>-1362.1999999999989</v>
          </cell>
        </row>
        <row r="438">
          <cell r="Q438">
            <v>-19.609999999999957</v>
          </cell>
          <cell r="R438">
            <v>-203.98999999999978</v>
          </cell>
          <cell r="S438">
            <v>-673.92000000000007</v>
          </cell>
          <cell r="T438">
            <v>-1027.2300000000014</v>
          </cell>
          <cell r="U438">
            <v>-1355.5200000000004</v>
          </cell>
          <cell r="V438">
            <v>-2022.4699999999975</v>
          </cell>
          <cell r="W438">
            <v>-2474.1899999999987</v>
          </cell>
          <cell r="X438">
            <v>-2915.6000000000022</v>
          </cell>
          <cell r="Y438">
            <v>-2939.130000000001</v>
          </cell>
          <cell r="Z438">
            <v>-2501.630000000001</v>
          </cell>
          <cell r="AA438">
            <v>-2700.3500000000022</v>
          </cell>
          <cell r="AB438">
            <v>-2812.1200000000026</v>
          </cell>
          <cell r="AC438">
            <v>-2374.7999999999993</v>
          </cell>
          <cell r="AD438">
            <v>-2191.5300000000007</v>
          </cell>
          <cell r="AE438">
            <v>-2468.6299999999974</v>
          </cell>
          <cell r="AF438">
            <v>-2522.0200000000004</v>
          </cell>
          <cell r="AG438">
            <v>-2891.3100000000013</v>
          </cell>
          <cell r="AH438">
            <v>-3613.0600000000013</v>
          </cell>
          <cell r="AI438">
            <v>-3542.4000000000015</v>
          </cell>
          <cell r="AJ438">
            <v>-3630.2100000000028</v>
          </cell>
          <cell r="AK438">
            <v>-3377.8999999999978</v>
          </cell>
          <cell r="AL438">
            <v>-2613.0599999999977</v>
          </cell>
          <cell r="AM438">
            <v>-2637.5399999999972</v>
          </cell>
          <cell r="AN438">
            <v>-2380.6700000000019</v>
          </cell>
        </row>
        <row r="439">
          <cell r="Q439">
            <v>-1.5699999999999363</v>
          </cell>
          <cell r="R439">
            <v>-3.3099999999999454</v>
          </cell>
          <cell r="S439">
            <v>-562.6299999999992</v>
          </cell>
          <cell r="T439">
            <v>-1739.8499999999985</v>
          </cell>
          <cell r="U439">
            <v>-2726.3000000000029</v>
          </cell>
          <cell r="V439">
            <v>-4696.760000000002</v>
          </cell>
          <cell r="W439">
            <v>-5459.4199999999983</v>
          </cell>
          <cell r="X439">
            <v>-5727.8700000000026</v>
          </cell>
          <cell r="Y439">
            <v>-5278.0800000000017</v>
          </cell>
          <cell r="Z439">
            <v>-4338.1000000000058</v>
          </cell>
          <cell r="AA439">
            <v>-4415.4599999999955</v>
          </cell>
          <cell r="AB439">
            <v>-4286.25</v>
          </cell>
          <cell r="AC439">
            <v>-1394.3599999999969</v>
          </cell>
          <cell r="AD439">
            <v>-1314.1399999999994</v>
          </cell>
          <cell r="AE439">
            <v>-1508.1099999999933</v>
          </cell>
          <cell r="AF439">
            <v>-1519.9400000000023</v>
          </cell>
          <cell r="AG439">
            <v>-1679.4699999999939</v>
          </cell>
          <cell r="AH439">
            <v>-2168.239999999998</v>
          </cell>
          <cell r="AI439">
            <v>-2078.7700000000041</v>
          </cell>
          <cell r="AJ439">
            <v>-2161.4300000000003</v>
          </cell>
          <cell r="AK439">
            <v>-1930.3799999999974</v>
          </cell>
          <cell r="AL439">
            <v>-1540.3899999999994</v>
          </cell>
          <cell r="AM439">
            <v>-1529</v>
          </cell>
          <cell r="AN439">
            <v>-1358.9600000000064</v>
          </cell>
        </row>
        <row r="440">
          <cell r="Q440">
            <v>0</v>
          </cell>
          <cell r="R440">
            <v>0</v>
          </cell>
          <cell r="S440">
            <v>0</v>
          </cell>
          <cell r="T440">
            <v>0</v>
          </cell>
          <cell r="U440">
            <v>0</v>
          </cell>
          <cell r="V440">
            <v>-3.5099999999999909</v>
          </cell>
          <cell r="W440">
            <v>-6.0099999999997635</v>
          </cell>
          <cell r="X440">
            <v>-6.8299999999999272</v>
          </cell>
          <cell r="Y440">
            <v>-10.319999999999709</v>
          </cell>
          <cell r="Z440">
            <v>-26.960000000000036</v>
          </cell>
          <cell r="AA440">
            <v>-44.850000000000023</v>
          </cell>
          <cell r="AB440">
            <v>-79.050000000000182</v>
          </cell>
          <cell r="AC440">
            <v>-53.829999999999927</v>
          </cell>
          <cell r="AD440">
            <v>-54.680000000000064</v>
          </cell>
          <cell r="AE440">
            <v>-57.980000000000018</v>
          </cell>
          <cell r="AF440">
            <v>-49.099999999999909</v>
          </cell>
          <cell r="AG440">
            <v>-65.490000000000009</v>
          </cell>
          <cell r="AH440">
            <v>-68.139999999999873</v>
          </cell>
          <cell r="AI440">
            <v>-58.369999999999891</v>
          </cell>
          <cell r="AJ440">
            <v>-66.289999999999736</v>
          </cell>
          <cell r="AK440">
            <v>-60.140000000000327</v>
          </cell>
          <cell r="AL440">
            <v>-55.650000000000091</v>
          </cell>
          <cell r="AM440">
            <v>-61.440000000000055</v>
          </cell>
          <cell r="AN440">
            <v>-50.870000000000118</v>
          </cell>
        </row>
      </sheetData>
      <sheetData sheetId="6">
        <row r="55">
          <cell r="O55">
            <v>-46.09</v>
          </cell>
          <cell r="P55">
            <v>-148.30000000000001</v>
          </cell>
          <cell r="Q55">
            <v>-174.37</v>
          </cell>
          <cell r="R55">
            <v>-218.42</v>
          </cell>
          <cell r="S55">
            <v>-509.73</v>
          </cell>
          <cell r="T55">
            <v>-781.59</v>
          </cell>
          <cell r="U55">
            <v>-1145.42</v>
          </cell>
          <cell r="V55">
            <v>-1576.53</v>
          </cell>
          <cell r="W55">
            <v>-1985.23</v>
          </cell>
          <cell r="X55">
            <v>-2365.0100000000002</v>
          </cell>
          <cell r="Y55">
            <v>-2653.3</v>
          </cell>
          <cell r="Z55">
            <v>-2983.79</v>
          </cell>
          <cell r="AA55">
            <v>-3167.93</v>
          </cell>
          <cell r="AB55">
            <v>-3205.03</v>
          </cell>
          <cell r="AC55">
            <v>-3242.66</v>
          </cell>
          <cell r="AD55">
            <v>-3371.17</v>
          </cell>
          <cell r="AE55">
            <v>-3114.77</v>
          </cell>
          <cell r="AF55">
            <v>-3331.74</v>
          </cell>
          <cell r="AG55">
            <v>-3412.48</v>
          </cell>
          <cell r="AH55">
            <v>-3526.68</v>
          </cell>
          <cell r="AI55">
            <v>-3597.46</v>
          </cell>
          <cell r="AJ55">
            <v>-3773.22</v>
          </cell>
          <cell r="AK55">
            <v>-3811.07</v>
          </cell>
          <cell r="AL55">
            <v>-3585.91</v>
          </cell>
        </row>
        <row r="56">
          <cell r="O56">
            <v>0.17</v>
          </cell>
          <cell r="P56">
            <v>0.26</v>
          </cell>
          <cell r="Q56">
            <v>-20.73</v>
          </cell>
          <cell r="R56">
            <v>-33.1</v>
          </cell>
          <cell r="S56">
            <v>-57.45</v>
          </cell>
          <cell r="T56">
            <v>-65.16</v>
          </cell>
          <cell r="U56">
            <v>-62.64</v>
          </cell>
          <cell r="V56">
            <v>-59.99</v>
          </cell>
          <cell r="W56">
            <v>-55.11</v>
          </cell>
          <cell r="X56">
            <v>-53.92</v>
          </cell>
          <cell r="Y56">
            <v>-59.6</v>
          </cell>
          <cell r="Z56">
            <v>-66.680000000000007</v>
          </cell>
          <cell r="AA56">
            <v>-69.5</v>
          </cell>
          <cell r="AB56">
            <v>-72.540000000000006</v>
          </cell>
          <cell r="AC56">
            <v>-75.7</v>
          </cell>
          <cell r="AD56">
            <v>-81.28</v>
          </cell>
          <cell r="AE56">
            <v>-77.64</v>
          </cell>
          <cell r="AF56">
            <v>-86.03</v>
          </cell>
          <cell r="AG56">
            <v>-87.95</v>
          </cell>
          <cell r="AH56">
            <v>-88.22</v>
          </cell>
          <cell r="AI56">
            <v>-90.25</v>
          </cell>
          <cell r="AJ56">
            <v>-97.44</v>
          </cell>
          <cell r="AK56">
            <v>-101.05</v>
          </cell>
          <cell r="AL56">
            <v>-97.11</v>
          </cell>
        </row>
        <row r="57">
          <cell r="O57">
            <v>0.67</v>
          </cell>
          <cell r="P57">
            <v>1.83</v>
          </cell>
          <cell r="Q57">
            <v>3.37</v>
          </cell>
          <cell r="R57">
            <v>3.46</v>
          </cell>
          <cell r="S57">
            <v>1.03</v>
          </cell>
          <cell r="T57">
            <v>-8.26</v>
          </cell>
          <cell r="U57">
            <v>-18.239999999999998</v>
          </cell>
          <cell r="V57">
            <v>-25.37</v>
          </cell>
          <cell r="W57">
            <v>-29.44</v>
          </cell>
          <cell r="X57">
            <v>-33.869999999999997</v>
          </cell>
          <cell r="Y57">
            <v>-45.28</v>
          </cell>
          <cell r="Z57">
            <v>-59.31</v>
          </cell>
          <cell r="AA57">
            <v>-72.89</v>
          </cell>
          <cell r="AB57">
            <v>-89.66</v>
          </cell>
          <cell r="AC57">
            <v>-106.85</v>
          </cell>
          <cell r="AD57">
            <v>-127.24</v>
          </cell>
          <cell r="AE57">
            <v>-134.41999999999999</v>
          </cell>
          <cell r="AF57">
            <v>-164.78</v>
          </cell>
          <cell r="AG57">
            <v>-190.72</v>
          </cell>
          <cell r="AH57">
            <v>-218.22</v>
          </cell>
          <cell r="AI57">
            <v>-243.72</v>
          </cell>
          <cell r="AJ57">
            <v>-272.77</v>
          </cell>
          <cell r="AK57">
            <v>-292.07</v>
          </cell>
          <cell r="AL57">
            <v>-289.19</v>
          </cell>
        </row>
        <row r="58">
          <cell r="O58">
            <v>1.19</v>
          </cell>
          <cell r="P58">
            <v>3.96</v>
          </cell>
          <cell r="Q58">
            <v>7.65</v>
          </cell>
          <cell r="R58">
            <v>8.9700000000000006</v>
          </cell>
          <cell r="S58">
            <v>10</v>
          </cell>
          <cell r="T58">
            <v>-0.8</v>
          </cell>
          <cell r="U58">
            <v>-10.94</v>
          </cell>
          <cell r="V58">
            <v>-12.54</v>
          </cell>
          <cell r="W58">
            <v>-7.17</v>
          </cell>
          <cell r="X58">
            <v>-1.9</v>
          </cell>
          <cell r="Y58">
            <v>-8.98</v>
          </cell>
          <cell r="Z58">
            <v>-19.13</v>
          </cell>
          <cell r="AA58">
            <v>-22.17</v>
          </cell>
          <cell r="AB58">
            <v>-24.97</v>
          </cell>
          <cell r="AC58">
            <v>-27.92</v>
          </cell>
          <cell r="AD58">
            <v>-31.58</v>
          </cell>
          <cell r="AE58">
            <v>-31.86</v>
          </cell>
          <cell r="AF58">
            <v>-37.51</v>
          </cell>
          <cell r="AG58">
            <v>-42.04</v>
          </cell>
          <cell r="AH58">
            <v>-46.9</v>
          </cell>
          <cell r="AI58">
            <v>-51.26</v>
          </cell>
          <cell r="AJ58">
            <v>-56.46</v>
          </cell>
          <cell r="AK58">
            <v>-59.57</v>
          </cell>
          <cell r="AL58">
            <v>-58.21</v>
          </cell>
        </row>
        <row r="59">
          <cell r="O59">
            <v>0.32</v>
          </cell>
          <cell r="P59">
            <v>1.07</v>
          </cell>
          <cell r="Q59">
            <v>2.3199999999999998</v>
          </cell>
          <cell r="R59">
            <v>3.38</v>
          </cell>
          <cell r="S59">
            <v>6.23</v>
          </cell>
          <cell r="T59">
            <v>6.6</v>
          </cell>
          <cell r="U59">
            <v>8.17</v>
          </cell>
          <cell r="V59">
            <v>12.85</v>
          </cell>
          <cell r="W59">
            <v>19.100000000000001</v>
          </cell>
          <cell r="X59">
            <v>25.26</v>
          </cell>
          <cell r="Y59">
            <v>27.32</v>
          </cell>
          <cell r="Z59">
            <v>28.64</v>
          </cell>
          <cell r="AA59">
            <v>30.02</v>
          </cell>
          <cell r="AB59">
            <v>29.72</v>
          </cell>
          <cell r="AC59">
            <v>29.41</v>
          </cell>
          <cell r="AD59">
            <v>29.96</v>
          </cell>
          <cell r="AE59">
            <v>27.05</v>
          </cell>
          <cell r="AF59">
            <v>28.07</v>
          </cell>
          <cell r="AG59">
            <v>27.65</v>
          </cell>
          <cell r="AH59">
            <v>27.4</v>
          </cell>
          <cell r="AI59">
            <v>26.94</v>
          </cell>
          <cell r="AJ59">
            <v>27.6</v>
          </cell>
          <cell r="AK59">
            <v>27.27</v>
          </cell>
          <cell r="AL59">
            <v>25.09</v>
          </cell>
        </row>
      </sheetData>
      <sheetData sheetId="7"/>
      <sheetData sheetId="8"/>
      <sheetData sheetId="9"/>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O Matrix @Meter"/>
      <sheetName val="PY3 Final EM&amp;V"/>
      <sheetName val="Tariff Table"/>
      <sheetName val="EMV Results"/>
    </sheetNames>
    <sheetDataSet>
      <sheetData sheetId="0">
        <row r="22">
          <cell r="AL22">
            <v>1307790.0990000002</v>
          </cell>
          <cell r="AP22">
            <v>151360.22999999998</v>
          </cell>
          <cell r="AQ22">
            <v>256696.35999999993</v>
          </cell>
          <cell r="AR22">
            <v>391442.94</v>
          </cell>
          <cell r="AS22">
            <v>77738.070000000007</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onthly Program Costs Ext"/>
    </sheetNames>
    <sheetDataSet>
      <sheetData sheetId="0">
        <row r="301">
          <cell r="BN301">
            <v>858182.77</v>
          </cell>
          <cell r="BO301">
            <v>810442.49</v>
          </cell>
          <cell r="BP301">
            <v>148296.23000000001</v>
          </cell>
          <cell r="BQ301">
            <v>16941.5</v>
          </cell>
          <cell r="BR301">
            <v>16941.5</v>
          </cell>
          <cell r="BS301">
            <v>16941.5</v>
          </cell>
          <cell r="BT301">
            <v>16941.5</v>
          </cell>
          <cell r="BU301">
            <v>0</v>
          </cell>
        </row>
        <row r="302">
          <cell r="BN302">
            <v>143160.95999999999</v>
          </cell>
          <cell r="BO302">
            <v>277840.90999999997</v>
          </cell>
          <cell r="BP302">
            <v>11360.32</v>
          </cell>
          <cell r="BQ302">
            <v>2455.8599999999997</v>
          </cell>
          <cell r="BR302">
            <v>2455.8599999999997</v>
          </cell>
          <cell r="BS302">
            <v>2455.8599999999997</v>
          </cell>
          <cell r="BT302">
            <v>2455.8599999999997</v>
          </cell>
          <cell r="BU302">
            <v>0</v>
          </cell>
        </row>
        <row r="303">
          <cell r="BN303">
            <v>287220.13</v>
          </cell>
          <cell r="BO303">
            <v>557425</v>
          </cell>
          <cell r="BP303">
            <v>22791.89</v>
          </cell>
          <cell r="BQ303">
            <v>4927.1100000000006</v>
          </cell>
          <cell r="BR303">
            <v>4927.1100000000006</v>
          </cell>
          <cell r="BS303">
            <v>4927.1100000000006</v>
          </cell>
          <cell r="BT303">
            <v>4927.1100000000006</v>
          </cell>
          <cell r="BU303">
            <v>0</v>
          </cell>
        </row>
        <row r="304">
          <cell r="BN304">
            <v>456970.28</v>
          </cell>
          <cell r="BO304">
            <v>886869.11</v>
          </cell>
          <cell r="BP304">
            <v>36262.149999999994</v>
          </cell>
          <cell r="BQ304">
            <v>7839.08</v>
          </cell>
          <cell r="BR304">
            <v>7839.08</v>
          </cell>
          <cell r="BS304">
            <v>7839.08</v>
          </cell>
          <cell r="BT304">
            <v>7839.08</v>
          </cell>
          <cell r="BU304">
            <v>0</v>
          </cell>
        </row>
        <row r="305">
          <cell r="BN305">
            <v>122124.47</v>
          </cell>
          <cell r="BO305">
            <v>237014.13999999998</v>
          </cell>
          <cell r="BP305">
            <v>9690.9900000000016</v>
          </cell>
          <cell r="BQ305">
            <v>2094.9900000000002</v>
          </cell>
          <cell r="BR305">
            <v>2094.9900000000002</v>
          </cell>
          <cell r="BS305">
            <v>2094.9900000000002</v>
          </cell>
          <cell r="BT305">
            <v>2094.9900000000002</v>
          </cell>
          <cell r="BU305">
            <v>0</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put"/>
      <sheetName val="Program Descriptions"/>
      <sheetName val="Deemed TD Calc"/>
      <sheetName val="Deemed kW Savings"/>
      <sheetName val="Ex Post Gross TD Calc"/>
      <sheetName val="NTG TD Calc"/>
      <sheetName val="EO TD Carrying Costs"/>
      <sheetName val="Jnl Import"/>
      <sheetName val="EMV Results"/>
      <sheetName val="Summary"/>
    </sheetNames>
    <sheetDataSet>
      <sheetData sheetId="0"/>
      <sheetData sheetId="1"/>
      <sheetData sheetId="2"/>
      <sheetData sheetId="3"/>
      <sheetData sheetId="4">
        <row r="571">
          <cell r="AC571">
            <v>-5411.179999999993</v>
          </cell>
          <cell r="AD571">
            <v>-3071.1700000000128</v>
          </cell>
          <cell r="AE571">
            <v>-3181.4700000000157</v>
          </cell>
          <cell r="AF571">
            <v>-7092.8899999999849</v>
          </cell>
          <cell r="AG571">
            <v>-8992.6299999999901</v>
          </cell>
          <cell r="AH571">
            <v>-17585.030000000057</v>
          </cell>
          <cell r="AI571">
            <v>-27443.090000000026</v>
          </cell>
          <cell r="AJ571">
            <v>-10613.02999999997</v>
          </cell>
          <cell r="AK571">
            <v>-9092.86</v>
          </cell>
          <cell r="AL571">
            <v>-6589.429999999993</v>
          </cell>
          <cell r="AM571">
            <v>-7679.3799999999901</v>
          </cell>
          <cell r="AN571">
            <v>-11240.109999999986</v>
          </cell>
          <cell r="AO571">
            <v>-10255.550000000003</v>
          </cell>
          <cell r="AP571">
            <v>-9871.6399999999849</v>
          </cell>
          <cell r="AQ571">
            <v>-10156.210000000021</v>
          </cell>
          <cell r="AR571">
            <v>-10501.119999999981</v>
          </cell>
          <cell r="AS571">
            <v>-10855.100000000006</v>
          </cell>
          <cell r="AT571">
            <v>-16245.080000000016</v>
          </cell>
          <cell r="AU571">
            <v>-19913.609999999986</v>
          </cell>
          <cell r="AV571">
            <v>-19264.889999999985</v>
          </cell>
          <cell r="AW571">
            <v>-15878.970000000001</v>
          </cell>
          <cell r="AX571">
            <v>-9541.7899999999936</v>
          </cell>
          <cell r="AY571">
            <v>-10488.130000000005</v>
          </cell>
          <cell r="AZ571">
            <v>-11291.850000000006</v>
          </cell>
          <cell r="BA571">
            <v>-10139.920000000027</v>
          </cell>
          <cell r="BB571">
            <v>-9612.1800000000076</v>
          </cell>
          <cell r="BC571">
            <v>-9923.7999999999884</v>
          </cell>
          <cell r="BD571">
            <v>-10259.37999999999</v>
          </cell>
          <cell r="BE571">
            <v>-10617.960000000021</v>
          </cell>
          <cell r="BF571">
            <v>-16058.950000000012</v>
          </cell>
          <cell r="BG571">
            <v>-19754.460000000021</v>
          </cell>
          <cell r="BH571">
            <v>-19078.669999999955</v>
          </cell>
          <cell r="BI571">
            <v>-15599.49000000002</v>
          </cell>
          <cell r="BJ571">
            <v>-9330.9500000000116</v>
          </cell>
        </row>
        <row r="572">
          <cell r="AC572">
            <v>376.6099999999999</v>
          </cell>
          <cell r="AD572">
            <v>434.28999999999985</v>
          </cell>
          <cell r="AE572">
            <v>526.82999999999993</v>
          </cell>
          <cell r="AF572">
            <v>283.43000000000029</v>
          </cell>
          <cell r="AG572">
            <v>-31.169999999999163</v>
          </cell>
          <cell r="AH572">
            <v>-146.65000000000146</v>
          </cell>
          <cell r="AI572">
            <v>-606.07000000000153</v>
          </cell>
          <cell r="AJ572">
            <v>-848.8799999999992</v>
          </cell>
          <cell r="AK572">
            <v>-361.42000000000189</v>
          </cell>
          <cell r="AL572">
            <v>-272.35999999999876</v>
          </cell>
          <cell r="AM572">
            <v>-317.54999999999927</v>
          </cell>
          <cell r="AN572">
            <v>-470.59000000000378</v>
          </cell>
          <cell r="AO572">
            <v>-171.67999999999847</v>
          </cell>
          <cell r="AP572">
            <v>-154.57999999999993</v>
          </cell>
          <cell r="AQ572">
            <v>-180.57999999999811</v>
          </cell>
          <cell r="AR572">
            <v>-178.8600000000024</v>
          </cell>
          <cell r="AS572">
            <v>-196.91999999999825</v>
          </cell>
          <cell r="AT572">
            <v>-273.57999999999811</v>
          </cell>
          <cell r="AU572">
            <v>-2277.9599999999991</v>
          </cell>
          <cell r="AV572">
            <v>-2001.6500000000015</v>
          </cell>
          <cell r="AW572">
            <v>-250.5099999999984</v>
          </cell>
          <cell r="AX572">
            <v>-180.74999999999818</v>
          </cell>
          <cell r="AY572">
            <v>-182.06999999999971</v>
          </cell>
          <cell r="AZ572">
            <v>-168.60000000000036</v>
          </cell>
          <cell r="BA572">
            <v>-292.80999999999767</v>
          </cell>
          <cell r="BB572">
            <v>-266.31999999999971</v>
          </cell>
          <cell r="BC572">
            <v>-307.40999999999985</v>
          </cell>
          <cell r="BD572">
            <v>-305.90000000000146</v>
          </cell>
          <cell r="BE572">
            <v>-337.15999999999622</v>
          </cell>
          <cell r="BF572">
            <v>-448.31999999999607</v>
          </cell>
          <cell r="BG572">
            <v>-2444.8400000000038</v>
          </cell>
          <cell r="BH572">
            <v>-2169.1600000000035</v>
          </cell>
          <cell r="BI572">
            <v>-405.64000000000306</v>
          </cell>
          <cell r="BJ572">
            <v>-313.04999999999927</v>
          </cell>
        </row>
        <row r="573">
          <cell r="AC573">
            <v>768.48</v>
          </cell>
          <cell r="AD573">
            <v>-811.65000000000009</v>
          </cell>
          <cell r="AE573">
            <v>1113.4700000000003</v>
          </cell>
          <cell r="AF573">
            <v>833.1899999999996</v>
          </cell>
          <cell r="AG573">
            <v>542.86000000000013</v>
          </cell>
          <cell r="AH573">
            <v>351.46000000000095</v>
          </cell>
          <cell r="AI573">
            <v>138.00000000000364</v>
          </cell>
          <cell r="AJ573">
            <v>-535.25</v>
          </cell>
          <cell r="AK573">
            <v>-624.19999999999709</v>
          </cell>
          <cell r="AL573">
            <v>-523.83999999999833</v>
          </cell>
          <cell r="AM573">
            <v>-1220.4499999999971</v>
          </cell>
          <cell r="AN573">
            <v>-2129.1800000000003</v>
          </cell>
          <cell r="AO573">
            <v>-2011.9699999999975</v>
          </cell>
          <cell r="AP573">
            <v>-1839.4500000000007</v>
          </cell>
          <cell r="AQ573">
            <v>-2102.760000000002</v>
          </cell>
          <cell r="AR573">
            <v>-2134.4700000000012</v>
          </cell>
          <cell r="AS573">
            <v>-2391.6200000000026</v>
          </cell>
          <cell r="AT573">
            <v>-3233.1000000000058</v>
          </cell>
          <cell r="AU573">
            <v>-3124.8699999999953</v>
          </cell>
          <cell r="AV573">
            <v>-3157.8900000000067</v>
          </cell>
          <cell r="AW573">
            <v>-2928.5</v>
          </cell>
          <cell r="AX573">
            <v>-2185.4700000000012</v>
          </cell>
          <cell r="AY573">
            <v>-2201.2400000000016</v>
          </cell>
          <cell r="AZ573">
            <v>-2045.3400000000038</v>
          </cell>
          <cell r="BA573">
            <v>-2393.4400000000023</v>
          </cell>
          <cell r="BB573">
            <v>-2185.4700000000012</v>
          </cell>
          <cell r="BC573">
            <v>-2496.5699999999997</v>
          </cell>
          <cell r="BD573">
            <v>-2534.1399999999994</v>
          </cell>
          <cell r="BE573">
            <v>-2841.1600000000035</v>
          </cell>
          <cell r="BF573">
            <v>-3831.0300000000061</v>
          </cell>
          <cell r="BG573">
            <v>-3699.169999999991</v>
          </cell>
          <cell r="BH573">
            <v>-3738.6399999999994</v>
          </cell>
          <cell r="BI573">
            <v>-3466.8099999999977</v>
          </cell>
          <cell r="BJ573">
            <v>-2596.2800000000061</v>
          </cell>
        </row>
        <row r="574">
          <cell r="AC574">
            <v>1222.67</v>
          </cell>
          <cell r="AD574">
            <v>1443.62</v>
          </cell>
          <cell r="AE574">
            <v>1677.1099999999997</v>
          </cell>
          <cell r="AF574">
            <v>1289.3200000000002</v>
          </cell>
          <cell r="AG574">
            <v>874.84000000000015</v>
          </cell>
          <cell r="AH574">
            <v>580.55000000000018</v>
          </cell>
          <cell r="AI574">
            <v>299.78000000000065</v>
          </cell>
          <cell r="AJ574">
            <v>-728.89999999999964</v>
          </cell>
          <cell r="AK574">
            <v>-881.67000000000007</v>
          </cell>
          <cell r="AL574">
            <v>-669.48999999999978</v>
          </cell>
          <cell r="AM574">
            <v>-661.48999999999796</v>
          </cell>
          <cell r="AN574">
            <v>-783.74999999999636</v>
          </cell>
          <cell r="AO574">
            <v>-615.94999999999709</v>
          </cell>
          <cell r="AP574">
            <v>-567.43999999999869</v>
          </cell>
          <cell r="AQ574">
            <v>-661.21999999999753</v>
          </cell>
          <cell r="AR574">
            <v>-671.97000000000116</v>
          </cell>
          <cell r="AS574">
            <v>-728.96000000000276</v>
          </cell>
          <cell r="AT574">
            <v>-1055.6099999999933</v>
          </cell>
          <cell r="AU574">
            <v>-1040.7299999999959</v>
          </cell>
          <cell r="AV574">
            <v>-1059.5200000000041</v>
          </cell>
          <cell r="AW574">
            <v>-962.2300000000032</v>
          </cell>
          <cell r="AX574">
            <v>-646.93000000000029</v>
          </cell>
          <cell r="AY574">
            <v>-677.84999999999854</v>
          </cell>
          <cell r="AZ574">
            <v>-625.0199999999968</v>
          </cell>
          <cell r="BA574">
            <v>-855.85000000000218</v>
          </cell>
          <cell r="BB574">
            <v>-781.20000000000073</v>
          </cell>
          <cell r="BC574">
            <v>-904.56000000000131</v>
          </cell>
          <cell r="BD574">
            <v>-920.73999999999796</v>
          </cell>
          <cell r="BE574">
            <v>-1000.9799999999996</v>
          </cell>
          <cell r="BF574">
            <v>-1420.6200000000026</v>
          </cell>
          <cell r="BG574">
            <v>-1389.4699999999939</v>
          </cell>
          <cell r="BH574">
            <v>-1417.0199999999968</v>
          </cell>
          <cell r="BI574">
            <v>-1284.1599999999962</v>
          </cell>
          <cell r="BJ574">
            <v>-887.65999999999622</v>
          </cell>
        </row>
        <row r="575">
          <cell r="AC575">
            <v>326.75</v>
          </cell>
          <cell r="AD575">
            <v>385.81000000000006</v>
          </cell>
          <cell r="AE575">
            <v>453.42000000000007</v>
          </cell>
          <cell r="AF575">
            <v>357.46999999999991</v>
          </cell>
          <cell r="AG575">
            <v>254.17999999999995</v>
          </cell>
          <cell r="AH575">
            <v>226.93000000000006</v>
          </cell>
          <cell r="AI575">
            <v>183.3900000000001</v>
          </cell>
          <cell r="AJ575">
            <v>-59.240000000000066</v>
          </cell>
          <cell r="AK575">
            <v>-77.170000000000073</v>
          </cell>
          <cell r="AL575">
            <v>-8.2900000000000773</v>
          </cell>
          <cell r="AM575">
            <v>32.019999999999982</v>
          </cell>
          <cell r="AN575">
            <v>31.559999999999945</v>
          </cell>
          <cell r="AO575">
            <v>44.990000000000009</v>
          </cell>
          <cell r="AP575">
            <v>58.239999999999782</v>
          </cell>
          <cell r="AQ575">
            <v>58.009999999999991</v>
          </cell>
          <cell r="AR575">
            <v>48.2199999999998</v>
          </cell>
          <cell r="AS575">
            <v>52.559999999999945</v>
          </cell>
          <cell r="AT575">
            <v>32.569999999999709</v>
          </cell>
          <cell r="AU575">
            <v>14.169999999999618</v>
          </cell>
          <cell r="AV575">
            <v>25.630000000000109</v>
          </cell>
          <cell r="AW575">
            <v>19.519999999999982</v>
          </cell>
          <cell r="AX575">
            <v>48.470000000000027</v>
          </cell>
          <cell r="AY575">
            <v>42.679999999999836</v>
          </cell>
          <cell r="AZ575">
            <v>50.199999999999818</v>
          </cell>
          <cell r="BA575">
            <v>37.049999999999955</v>
          </cell>
          <cell r="BB575">
            <v>57.560000000000173</v>
          </cell>
          <cell r="BC575">
            <v>57.269999999999754</v>
          </cell>
          <cell r="BD575">
            <v>47.539999999999964</v>
          </cell>
          <cell r="BE575">
            <v>51.819999999999709</v>
          </cell>
          <cell r="BF575">
            <v>31.699999999999818</v>
          </cell>
          <cell r="BG575">
            <v>13.400000000000091</v>
          </cell>
          <cell r="BH575">
            <v>24.789999999999964</v>
          </cell>
          <cell r="BI575">
            <v>18.759999999999764</v>
          </cell>
          <cell r="BJ575">
            <v>47.799999999999955</v>
          </cell>
        </row>
      </sheetData>
      <sheetData sheetId="5">
        <row r="436">
          <cell r="AC436">
            <v>-92.430000000007567</v>
          </cell>
          <cell r="AD436">
            <v>-407.36999999999534</v>
          </cell>
          <cell r="AE436">
            <v>-755.53000000001339</v>
          </cell>
          <cell r="AF436">
            <v>-1028.5599999999977</v>
          </cell>
          <cell r="AG436">
            <v>-1367.0299999999988</v>
          </cell>
          <cell r="AH436">
            <v>-2115.6800000000221</v>
          </cell>
          <cell r="AI436">
            <v>-2901.1700000000419</v>
          </cell>
          <cell r="AJ436">
            <v>-3225.2200000000012</v>
          </cell>
          <cell r="AK436">
            <v>-3632.6600000000035</v>
          </cell>
          <cell r="AL436">
            <v>-2919.7300000000105</v>
          </cell>
          <cell r="AM436">
            <v>-3452.0500000000029</v>
          </cell>
          <cell r="AN436">
            <v>-4932.4200000000128</v>
          </cell>
          <cell r="AO436">
            <v>-4176.9400000000023</v>
          </cell>
          <cell r="AP436">
            <v>-3940.5900000000256</v>
          </cell>
          <cell r="AQ436">
            <v>-3713.9999999999854</v>
          </cell>
          <cell r="AR436">
            <v>-3838.320000000007</v>
          </cell>
          <cell r="AS436">
            <v>-3870.6200000000244</v>
          </cell>
          <cell r="AT436">
            <v>-4141.1900000000023</v>
          </cell>
          <cell r="AU436">
            <v>-4214.8600000000151</v>
          </cell>
          <cell r="AV436">
            <v>-4385.3999999999942</v>
          </cell>
          <cell r="AW436">
            <v>-4941.160000000018</v>
          </cell>
          <cell r="AX436">
            <v>-3405.3500000000058</v>
          </cell>
          <cell r="AY436">
            <v>-3741.5200000000041</v>
          </cell>
          <cell r="AZ436">
            <v>-4616.6700000000128</v>
          </cell>
          <cell r="BA436">
            <v>-2.9999999984283932E-2</v>
          </cell>
          <cell r="BB436">
            <v>0</v>
          </cell>
          <cell r="BC436">
            <v>9.9999999947613105E-3</v>
          </cell>
          <cell r="BD436">
            <v>0</v>
          </cell>
          <cell r="BE436">
            <v>0</v>
          </cell>
          <cell r="BF436">
            <v>0</v>
          </cell>
          <cell r="BG436">
            <v>0</v>
          </cell>
          <cell r="BH436">
            <v>0</v>
          </cell>
          <cell r="BI436">
            <v>-9.9999999947613105E-3</v>
          </cell>
          <cell r="BJ436">
            <v>0</v>
          </cell>
        </row>
        <row r="437">
          <cell r="AC437">
            <v>-1.9200000000000728</v>
          </cell>
          <cell r="AD437">
            <v>-5.4299999999998363</v>
          </cell>
          <cell r="AE437">
            <v>-2.6599999999998545</v>
          </cell>
          <cell r="AF437">
            <v>-42.570000000000164</v>
          </cell>
          <cell r="AG437">
            <v>-100.59000000000015</v>
          </cell>
          <cell r="AH437">
            <v>-126.35999999999967</v>
          </cell>
          <cell r="AI437">
            <v>-139.14999999999964</v>
          </cell>
          <cell r="AJ437">
            <v>-137.53000000000065</v>
          </cell>
          <cell r="AK437">
            <v>-107.73999999999978</v>
          </cell>
          <cell r="AL437">
            <v>-99.329999999998108</v>
          </cell>
          <cell r="AM437">
            <v>-110.34999999999854</v>
          </cell>
          <cell r="AN437">
            <v>-160.24999999999636</v>
          </cell>
          <cell r="AO437">
            <v>1264.1699999999964</v>
          </cell>
          <cell r="AP437">
            <v>1121.3899999999994</v>
          </cell>
          <cell r="AQ437">
            <v>1272.75</v>
          </cell>
          <cell r="AR437">
            <v>1274.6900000000005</v>
          </cell>
          <cell r="AS437">
            <v>1407.2000000000044</v>
          </cell>
          <cell r="AT437">
            <v>1753.3199999999997</v>
          </cell>
          <cell r="AU437">
            <v>1674.4099999999962</v>
          </cell>
          <cell r="AV437">
            <v>1680.7599999999948</v>
          </cell>
          <cell r="AW437">
            <v>1556.5399999999972</v>
          </cell>
          <cell r="AX437">
            <v>1327.4599999999973</v>
          </cell>
          <cell r="AY437">
            <v>1309.0500000000011</v>
          </cell>
          <cell r="AZ437">
            <v>1234.6100000000024</v>
          </cell>
          <cell r="BA437">
            <v>0</v>
          </cell>
          <cell r="BB437">
            <v>1.0000000000218279E-2</v>
          </cell>
          <cell r="BC437">
            <v>0</v>
          </cell>
          <cell r="BD437">
            <v>0</v>
          </cell>
          <cell r="BE437">
            <v>0</v>
          </cell>
          <cell r="BF437">
            <v>-1.0000000002037268E-2</v>
          </cell>
          <cell r="BG437">
            <v>0</v>
          </cell>
          <cell r="BH437">
            <v>9.9999999983992893E-3</v>
          </cell>
          <cell r="BI437">
            <v>0</v>
          </cell>
          <cell r="BJ437">
            <v>9.9999999983992893E-3</v>
          </cell>
        </row>
        <row r="438">
          <cell r="AC438">
            <v>0</v>
          </cell>
          <cell r="AD438">
            <v>-5.9899999999997817</v>
          </cell>
          <cell r="AE438">
            <v>-30.840000000000146</v>
          </cell>
          <cell r="AF438">
            <v>-50.600000000000364</v>
          </cell>
          <cell r="AG438">
            <v>-69.019999999999527</v>
          </cell>
          <cell r="AH438">
            <v>-126.96000000000095</v>
          </cell>
          <cell r="AI438">
            <v>-161.43000000000029</v>
          </cell>
          <cell r="AJ438">
            <v>-193.21999999999935</v>
          </cell>
          <cell r="AK438">
            <v>-206.46000000000276</v>
          </cell>
          <cell r="AL438">
            <v>-178.61000000000058</v>
          </cell>
          <cell r="AM438">
            <v>-385.52999999999884</v>
          </cell>
          <cell r="AN438">
            <v>-650.53999999999724</v>
          </cell>
          <cell r="AO438">
            <v>3855.8999999999978</v>
          </cell>
          <cell r="AP438">
            <v>3522.5799999999981</v>
          </cell>
          <cell r="AQ438">
            <v>4008.9399999999987</v>
          </cell>
          <cell r="AR438">
            <v>4068.6200000000026</v>
          </cell>
          <cell r="AS438">
            <v>4576.3499999999949</v>
          </cell>
          <cell r="AT438">
            <v>6086.93</v>
          </cell>
          <cell r="AU438">
            <v>5846.3100000000049</v>
          </cell>
          <cell r="AV438">
            <v>5912.010000000002</v>
          </cell>
          <cell r="AW438">
            <v>5480.0299999999988</v>
          </cell>
          <cell r="AX438">
            <v>4182.0099999999984</v>
          </cell>
          <cell r="AY438">
            <v>4196.2100000000028</v>
          </cell>
          <cell r="AZ438">
            <v>3909.9900000000016</v>
          </cell>
          <cell r="BA438">
            <v>-9.9999999983992893E-3</v>
          </cell>
          <cell r="BB438">
            <v>-1.0000000002037268E-2</v>
          </cell>
          <cell r="BC438">
            <v>-1.0000000002037268E-2</v>
          </cell>
          <cell r="BD438">
            <v>-9.9999999983992893E-3</v>
          </cell>
          <cell r="BE438">
            <v>0</v>
          </cell>
          <cell r="BF438">
            <v>0</v>
          </cell>
          <cell r="BG438">
            <v>0</v>
          </cell>
          <cell r="BH438">
            <v>0</v>
          </cell>
          <cell r="BI438">
            <v>-1.0000000002037268E-2</v>
          </cell>
          <cell r="BJ438">
            <v>0</v>
          </cell>
        </row>
        <row r="439">
          <cell r="AC439">
            <v>0</v>
          </cell>
          <cell r="AD439">
            <v>0</v>
          </cell>
          <cell r="AE439">
            <v>-5.8100000000004002</v>
          </cell>
          <cell r="AF439">
            <v>-14.360000000000127</v>
          </cell>
          <cell r="AG439">
            <v>-22.700000000000273</v>
          </cell>
          <cell r="AH439">
            <v>-80.960000000000946</v>
          </cell>
          <cell r="AI439">
            <v>-118.86000000000058</v>
          </cell>
          <cell r="AJ439">
            <v>-156.97000000000116</v>
          </cell>
          <cell r="AK439">
            <v>-181.92000000000007</v>
          </cell>
          <cell r="AL439">
            <v>-153.04999999999927</v>
          </cell>
          <cell r="AM439">
            <v>-148.18000000000029</v>
          </cell>
          <cell r="AN439">
            <v>-197.09999999999854</v>
          </cell>
          <cell r="AO439">
            <v>2370.1899999999987</v>
          </cell>
          <cell r="AP439">
            <v>2176.010000000002</v>
          </cell>
          <cell r="AQ439">
            <v>2477.1800000000003</v>
          </cell>
          <cell r="AR439">
            <v>2532.4900000000052</v>
          </cell>
          <cell r="AS439">
            <v>2769.3400000000038</v>
          </cell>
          <cell r="AT439">
            <v>3715.7799999999988</v>
          </cell>
          <cell r="AU439">
            <v>3550.2099999999991</v>
          </cell>
          <cell r="AV439">
            <v>3639.3300000000017</v>
          </cell>
          <cell r="AW439">
            <v>3277.2100000000064</v>
          </cell>
          <cell r="AX439">
            <v>2450.75</v>
          </cell>
          <cell r="AY439">
            <v>2545.7299999999959</v>
          </cell>
          <cell r="AZ439">
            <v>2382.9099999999962</v>
          </cell>
          <cell r="BA439">
            <v>-1.0000000002037268E-2</v>
          </cell>
          <cell r="BB439">
            <v>-9.9999999947613105E-3</v>
          </cell>
          <cell r="BC439">
            <v>1.0000000002037268E-2</v>
          </cell>
          <cell r="BD439">
            <v>0</v>
          </cell>
          <cell r="BE439">
            <v>1.0000000002037268E-2</v>
          </cell>
          <cell r="BF439">
            <v>0</v>
          </cell>
          <cell r="BG439">
            <v>0</v>
          </cell>
          <cell r="BH439">
            <v>1.0000000002037268E-2</v>
          </cell>
          <cell r="BI439">
            <v>0</v>
          </cell>
          <cell r="BJ439">
            <v>-1.0000000002037268E-2</v>
          </cell>
        </row>
        <row r="440">
          <cell r="AC440">
            <v>0</v>
          </cell>
          <cell r="AD440">
            <v>0</v>
          </cell>
          <cell r="AE440">
            <v>0</v>
          </cell>
          <cell r="AF440">
            <v>0</v>
          </cell>
          <cell r="AG440">
            <v>0</v>
          </cell>
          <cell r="AH440">
            <v>0</v>
          </cell>
          <cell r="AI440">
            <v>0</v>
          </cell>
          <cell r="AJ440">
            <v>0</v>
          </cell>
          <cell r="AK440">
            <v>0</v>
          </cell>
          <cell r="AL440">
            <v>9.57000000000005</v>
          </cell>
          <cell r="AM440">
            <v>21.190000000000055</v>
          </cell>
          <cell r="AN440">
            <v>20.889999999999873</v>
          </cell>
          <cell r="AO440">
            <v>6.2000000000000455</v>
          </cell>
          <cell r="AP440">
            <v>6.9700000000000273</v>
          </cell>
          <cell r="AQ440">
            <v>7.6099999999999</v>
          </cell>
          <cell r="AR440">
            <v>6.9600000000000364</v>
          </cell>
          <cell r="AS440">
            <v>7.4199999999998454</v>
          </cell>
          <cell r="AT440">
            <v>8.7600000000002183</v>
          </cell>
          <cell r="AU440">
            <v>7.7800000000002001</v>
          </cell>
          <cell r="AV440">
            <v>8.6199999999998909</v>
          </cell>
          <cell r="AW440">
            <v>7.7300000000000182</v>
          </cell>
          <cell r="AX440">
            <v>6.819999999999709</v>
          </cell>
          <cell r="AY440">
            <v>6.6600000000000819</v>
          </cell>
          <cell r="AZ440">
            <v>6.7699999999999818</v>
          </cell>
          <cell r="BA440">
            <v>0</v>
          </cell>
          <cell r="BB440">
            <v>0</v>
          </cell>
          <cell r="BC440">
            <v>-9.9999999999909051E-3</v>
          </cell>
          <cell r="BD440">
            <v>0</v>
          </cell>
          <cell r="BE440">
            <v>0</v>
          </cell>
          <cell r="BF440">
            <v>0</v>
          </cell>
          <cell r="BG440">
            <v>0</v>
          </cell>
          <cell r="BH440">
            <v>-9.9999999997635314E-3</v>
          </cell>
          <cell r="BI440">
            <v>0</v>
          </cell>
          <cell r="BJ440">
            <v>9.9999999997635314E-3</v>
          </cell>
        </row>
      </sheetData>
      <sheetData sheetId="6">
        <row r="55">
          <cell r="AA55">
            <v>-15.5</v>
          </cell>
          <cell r="AB55">
            <v>-40.86</v>
          </cell>
          <cell r="AC55">
            <v>-61.87</v>
          </cell>
          <cell r="AD55">
            <v>-96.46</v>
          </cell>
          <cell r="AE55">
            <v>-135.86000000000001</v>
          </cell>
          <cell r="AF55">
            <v>-225.12</v>
          </cell>
          <cell r="AG55">
            <v>-362.39</v>
          </cell>
          <cell r="AH55">
            <v>-487.39</v>
          </cell>
          <cell r="AI55">
            <v>-561.4</v>
          </cell>
          <cell r="AJ55">
            <v>-636.86</v>
          </cell>
          <cell r="AK55">
            <v>-695.18</v>
          </cell>
          <cell r="AL55">
            <v>-719.05</v>
          </cell>
          <cell r="AM55">
            <v>-781.68</v>
          </cell>
          <cell r="AN55">
            <v>-832.33</v>
          </cell>
          <cell r="AO55">
            <v>-878.1</v>
          </cell>
          <cell r="AP55">
            <v>-1013.22</v>
          </cell>
          <cell r="AQ55">
            <v>-1104.54</v>
          </cell>
          <cell r="AR55">
            <v>-1136.48</v>
          </cell>
          <cell r="AS55">
            <v>-1240.92</v>
          </cell>
          <cell r="AT55">
            <v>-1410.63</v>
          </cell>
          <cell r="AU55">
            <v>-1485.46</v>
          </cell>
          <cell r="AV55">
            <v>-1564.55</v>
          </cell>
          <cell r="AW55">
            <v>-1711.8</v>
          </cell>
          <cell r="AX55">
            <v>-1802.65</v>
          </cell>
          <cell r="AY55">
            <v>-1856.73</v>
          </cell>
          <cell r="AZ55">
            <v>-1718.22</v>
          </cell>
          <cell r="BA55">
            <v>-1852.98</v>
          </cell>
          <cell r="BB55">
            <v>-2104.42</v>
          </cell>
          <cell r="BC55">
            <v>-2168.79</v>
          </cell>
          <cell r="BD55">
            <v>-2227.27</v>
          </cell>
          <cell r="BE55">
            <v>-2357.1999999999998</v>
          </cell>
          <cell r="BF55">
            <v>-2587.9499999999998</v>
          </cell>
          <cell r="BG55">
            <v>-2671.6</v>
          </cell>
          <cell r="BH55">
            <v>-2813.54</v>
          </cell>
        </row>
        <row r="56">
          <cell r="AA56">
            <v>1.06</v>
          </cell>
          <cell r="AB56">
            <v>3.32</v>
          </cell>
          <cell r="AC56">
            <v>6.02</v>
          </cell>
          <cell r="AD56">
            <v>8.23</v>
          </cell>
          <cell r="AE56">
            <v>7.81</v>
          </cell>
          <cell r="AF56">
            <v>7.13</v>
          </cell>
          <cell r="AG56">
            <v>4.38</v>
          </cell>
          <cell r="AH56">
            <v>-0.35</v>
          </cell>
          <cell r="AI56">
            <v>-4.37</v>
          </cell>
          <cell r="AJ56">
            <v>-6.6</v>
          </cell>
          <cell r="AK56">
            <v>-8.83</v>
          </cell>
          <cell r="AL56">
            <v>-10.98</v>
          </cell>
          <cell r="AM56">
            <v>-9.58</v>
          </cell>
          <cell r="AN56">
            <v>-4.25</v>
          </cell>
          <cell r="AO56">
            <v>0.83</v>
          </cell>
          <cell r="AP56">
            <v>6.19</v>
          </cell>
          <cell r="AQ56">
            <v>12.21</v>
          </cell>
          <cell r="AR56">
            <v>18.18</v>
          </cell>
          <cell r="AS56">
            <v>20.25</v>
          </cell>
          <cell r="AT56">
            <v>18.71</v>
          </cell>
          <cell r="AU56">
            <v>20.68</v>
          </cell>
          <cell r="AV56">
            <v>26.52</v>
          </cell>
          <cell r="AW56">
            <v>33.590000000000003</v>
          </cell>
          <cell r="AX56">
            <v>39.450000000000003</v>
          </cell>
          <cell r="AY56">
            <v>41.15</v>
          </cell>
          <cell r="AZ56">
            <v>35.81</v>
          </cell>
          <cell r="BA56">
            <v>36.270000000000003</v>
          </cell>
          <cell r="BB56">
            <v>38.619999999999997</v>
          </cell>
          <cell r="BC56">
            <v>37.14</v>
          </cell>
          <cell r="BD56">
            <v>34.93</v>
          </cell>
          <cell r="BE56">
            <v>27.9</v>
          </cell>
          <cell r="BF56">
            <v>16.61</v>
          </cell>
          <cell r="BG56">
            <v>9.4600000000000009</v>
          </cell>
          <cell r="BH56">
            <v>8.3699999999999992</v>
          </cell>
        </row>
        <row r="57">
          <cell r="AA57">
            <v>2.16</v>
          </cell>
          <cell r="AB57">
            <v>2.0299999999999998</v>
          </cell>
          <cell r="AC57">
            <v>2.78</v>
          </cell>
          <cell r="AD57">
            <v>8.08</v>
          </cell>
          <cell r="AE57">
            <v>10.63</v>
          </cell>
          <cell r="AF57">
            <v>13.11</v>
          </cell>
          <cell r="AG57">
            <v>13.7</v>
          </cell>
          <cell r="AH57">
            <v>11.75</v>
          </cell>
          <cell r="AI57">
            <v>7.47</v>
          </cell>
          <cell r="AJ57">
            <v>3.62</v>
          </cell>
          <cell r="AK57">
            <v>-2.79</v>
          </cell>
          <cell r="AL57">
            <v>-13.97</v>
          </cell>
          <cell r="AM57">
            <v>-16.05</v>
          </cell>
          <cell r="AN57">
            <v>-6.93</v>
          </cell>
          <cell r="AO57">
            <v>1.91</v>
          </cell>
          <cell r="AP57">
            <v>11.52</v>
          </cell>
          <cell r="AQ57">
            <v>22.28</v>
          </cell>
          <cell r="AR57">
            <v>33.5</v>
          </cell>
          <cell r="AS57">
            <v>46.95</v>
          </cell>
          <cell r="AT57">
            <v>62.65</v>
          </cell>
          <cell r="AU57">
            <v>74.19</v>
          </cell>
          <cell r="AV57">
            <v>84.45</v>
          </cell>
          <cell r="AW57">
            <v>98.77</v>
          </cell>
          <cell r="AX57">
            <v>109.42</v>
          </cell>
          <cell r="AY57">
            <v>107.36</v>
          </cell>
          <cell r="AZ57">
            <v>86.31</v>
          </cell>
          <cell r="BA57">
            <v>79.510000000000005</v>
          </cell>
          <cell r="BB57">
            <v>75.66</v>
          </cell>
          <cell r="BC57">
            <v>62.08</v>
          </cell>
          <cell r="BD57">
            <v>44.54</v>
          </cell>
          <cell r="BE57">
            <v>25.49</v>
          </cell>
          <cell r="BF57">
            <v>6.28</v>
          </cell>
          <cell r="BG57">
            <v>-13.56</v>
          </cell>
          <cell r="BH57">
            <v>-29.09</v>
          </cell>
        </row>
        <row r="58">
          <cell r="AA58">
            <v>3.44</v>
          </cell>
          <cell r="AB58">
            <v>10.97</v>
          </cell>
          <cell r="AC58">
            <v>19.79</v>
          </cell>
          <cell r="AD58">
            <v>28.26</v>
          </cell>
          <cell r="AE58">
            <v>31.33</v>
          </cell>
          <cell r="AF58">
            <v>36.72</v>
          </cell>
          <cell r="AG58">
            <v>38.69</v>
          </cell>
          <cell r="AH58">
            <v>37.11</v>
          </cell>
          <cell r="AI58">
            <v>31.79</v>
          </cell>
          <cell r="AJ58">
            <v>27.88</v>
          </cell>
          <cell r="AK58">
            <v>23.38</v>
          </cell>
          <cell r="AL58">
            <v>17.16</v>
          </cell>
          <cell r="AM58">
            <v>18.77</v>
          </cell>
          <cell r="AN58">
            <v>26.63</v>
          </cell>
          <cell r="AO58">
            <v>34.22</v>
          </cell>
          <cell r="AP58">
            <v>45.84</v>
          </cell>
          <cell r="AQ58">
            <v>56.61</v>
          </cell>
          <cell r="AR58">
            <v>65.33</v>
          </cell>
          <cell r="AS58">
            <v>77.69</v>
          </cell>
          <cell r="AT58">
            <v>93.62</v>
          </cell>
          <cell r="AU58">
            <v>103.38</v>
          </cell>
          <cell r="AV58">
            <v>112.79</v>
          </cell>
          <cell r="AW58">
            <v>127.73</v>
          </cell>
          <cell r="AX58">
            <v>138.01</v>
          </cell>
          <cell r="AY58">
            <v>139.38999999999999</v>
          </cell>
          <cell r="AZ58">
            <v>121.88</v>
          </cell>
          <cell r="BA58">
            <v>124.08</v>
          </cell>
          <cell r="BB58">
            <v>133.03</v>
          </cell>
          <cell r="BC58">
            <v>128.68</v>
          </cell>
          <cell r="BD58">
            <v>121.81</v>
          </cell>
          <cell r="BE58">
            <v>116.39</v>
          </cell>
          <cell r="BF58">
            <v>114.74</v>
          </cell>
          <cell r="BG58">
            <v>106.79</v>
          </cell>
          <cell r="BH58">
            <v>104.63</v>
          </cell>
        </row>
        <row r="59">
          <cell r="AA59">
            <v>0.92</v>
          </cell>
          <cell r="AB59">
            <v>2.93</v>
          </cell>
          <cell r="AC59">
            <v>5.31</v>
          </cell>
          <cell r="AD59">
            <v>7.64</v>
          </cell>
          <cell r="AE59">
            <v>8.56</v>
          </cell>
          <cell r="AF59">
            <v>10.34</v>
          </cell>
          <cell r="AG59">
            <v>11.49</v>
          </cell>
          <cell r="AH59">
            <v>11.94</v>
          </cell>
          <cell r="AI59">
            <v>11.58</v>
          </cell>
          <cell r="AJ59">
            <v>11.78</v>
          </cell>
          <cell r="AK59">
            <v>11.95</v>
          </cell>
          <cell r="AL59">
            <v>11.42</v>
          </cell>
          <cell r="AM59">
            <v>11.44</v>
          </cell>
          <cell r="AN59">
            <v>11.45</v>
          </cell>
          <cell r="AO59">
            <v>11.48</v>
          </cell>
          <cell r="AP59">
            <v>12.67</v>
          </cell>
          <cell r="AQ59">
            <v>13.17</v>
          </cell>
          <cell r="AR59">
            <v>12.78</v>
          </cell>
          <cell r="AS59">
            <v>12.89</v>
          </cell>
          <cell r="AT59">
            <v>13.54</v>
          </cell>
          <cell r="AU59">
            <v>13.35</v>
          </cell>
          <cell r="AV59">
            <v>13.59</v>
          </cell>
          <cell r="AW59">
            <v>14.54</v>
          </cell>
          <cell r="AX59">
            <v>14.93</v>
          </cell>
          <cell r="AY59">
            <v>15.07</v>
          </cell>
          <cell r="AZ59">
            <v>13.8</v>
          </cell>
          <cell r="BA59">
            <v>14.78</v>
          </cell>
          <cell r="BB59">
            <v>16.649999999999999</v>
          </cell>
          <cell r="BC59">
            <v>16.989999999999998</v>
          </cell>
          <cell r="BD59">
            <v>17.12</v>
          </cell>
          <cell r="BE59">
            <v>17.52</v>
          </cell>
          <cell r="BF59">
            <v>18.54</v>
          </cell>
          <cell r="BG59">
            <v>18.579999999999998</v>
          </cell>
          <cell r="BH59">
            <v>19.309999999999999</v>
          </cell>
        </row>
      </sheetData>
      <sheetData sheetId="7"/>
      <sheetData sheetId="8"/>
      <sheetData sheetId="9"/>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E EO Summary"/>
      <sheetName val="PY4 2023 EO"/>
      <sheetName val="Small Business"/>
      <sheetName val="Summary- Custom"/>
      <sheetName val="Summary- Std"/>
      <sheetName val="MEEIA 3 PY4 Bus Cust Std"/>
      <sheetName val="MEEIA 3 PY4 by month"/>
      <sheetName val="MEEIA 3 PY4"/>
      <sheetName val="Intake Form Summary"/>
      <sheetName val="Energy Audit Summary"/>
      <sheetName val="RDR Events"/>
      <sheetName val="MEEIA 3"/>
      <sheetName val="MEEIA 3 PY3"/>
      <sheetName val="SI Projects YTD data"/>
      <sheetName val="Instructions"/>
    </sheetNames>
    <sheetDataSet>
      <sheetData sheetId="0"/>
      <sheetData sheetId="1">
        <row r="116">
          <cell r="D116">
            <v>1237690.19</v>
          </cell>
        </row>
        <row r="117">
          <cell r="D117">
            <v>150961.88</v>
          </cell>
        </row>
        <row r="118">
          <cell r="D118">
            <v>302870.92000000004</v>
          </cell>
        </row>
        <row r="119">
          <cell r="D119">
            <v>481870.85</v>
          </cell>
        </row>
        <row r="120">
          <cell r="D120">
            <v>128779.09999999999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ex Table of Contents"/>
      <sheetName val="Tariff Tables"/>
      <sheetName val="DSIM Cycle Tables"/>
      <sheetName val="PPC Cycle 3"/>
      <sheetName val="PCR Cycle 2"/>
      <sheetName val="PCR Cycle 3"/>
      <sheetName val="PCR Cycle 4"/>
      <sheetName val="PTD Cycle 2"/>
      <sheetName val="PTD Cycle 3"/>
      <sheetName val="TDR Cycle 2"/>
      <sheetName val="TDR Cycle 3"/>
      <sheetName val="EO Cycle 2"/>
      <sheetName val="EO Cycle 3"/>
      <sheetName val="EOR Cycle 2"/>
      <sheetName val="EOR Cycle 3"/>
      <sheetName val="OA Cycle 2"/>
      <sheetName val="OA Cycle 3"/>
      <sheetName val="OAR Cycle 2"/>
      <sheetName val="OAR Cycle 3"/>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79">
          <cell r="C79">
            <v>-249725.12</v>
          </cell>
          <cell r="D79">
            <v>-66457.240000000005</v>
          </cell>
          <cell r="E79">
            <v>-15781.72</v>
          </cell>
        </row>
        <row r="83">
          <cell r="C83">
            <v>-7300.6</v>
          </cell>
          <cell r="D83">
            <v>13298.81</v>
          </cell>
          <cell r="E83">
            <v>116.56</v>
          </cell>
        </row>
        <row r="84">
          <cell r="C84">
            <v>-27207.21</v>
          </cell>
          <cell r="D84">
            <v>45480.480000000003</v>
          </cell>
          <cell r="E84">
            <v>373.04</v>
          </cell>
        </row>
        <row r="85">
          <cell r="C85">
            <v>-4347.97</v>
          </cell>
          <cell r="D85">
            <v>27878.58</v>
          </cell>
          <cell r="E85">
            <v>941.4</v>
          </cell>
        </row>
        <row r="86">
          <cell r="C86">
            <v>2509.21</v>
          </cell>
          <cell r="D86">
            <v>126.52</v>
          </cell>
          <cell r="E86">
            <v>232.22</v>
          </cell>
        </row>
      </sheetData>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Requirements"/>
      <sheetName val="Version Tracking"/>
      <sheetName val="Overview"/>
      <sheetName val="Main Inputs"/>
      <sheetName val="Margin Rates Inputs TOU"/>
      <sheetName val="Monthly LoadShapes TOU"/>
      <sheetName val="Billed kWh Sales"/>
      <sheetName val="Program Descriptions"/>
      <sheetName val="Evergy Counter Offer Budget"/>
      <sheetName val="NTG-RR"/>
      <sheetName val="DSMore Results-Metro"/>
      <sheetName val="DSMore Results-MO West"/>
      <sheetName val="Res DR Legacy MW"/>
      <sheetName val="Bus DR breakdown"/>
      <sheetName val="Credit Metrics Inputs"/>
      <sheetName val="Summary Fin Tables for Report"/>
      <sheetName val="DSIM (Rider)"/>
      <sheetName val="Credit Metrics (Rider Scenario)"/>
      <sheetName val="Exec Summary"/>
      <sheetName val="Program Totals"/>
      <sheetName val="Program Tables"/>
      <sheetName val="Monthly kWh-kW"/>
      <sheetName val="Monthly Program Costs"/>
      <sheetName val="Monthly TD Calc TOU"/>
      <sheetName val="Net Benefits"/>
      <sheetName val="Impact on kWh Sales"/>
      <sheetName val="EO Table"/>
      <sheetName val="EO Matrix @Meter"/>
      <sheetName val="EO"/>
      <sheetName val="EO Cap"/>
      <sheetName val="Cycle 4 DSIM Rate - Proposed"/>
      <sheetName val="Max Cycle 4 Rate - by Class"/>
      <sheetName val="Customer Rate-Bill Impacts"/>
      <sheetName val="Dashboard Char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96">
          <cell r="H296">
            <v>462090.85</v>
          </cell>
          <cell r="I296">
            <v>450774.35</v>
          </cell>
          <cell r="J296">
            <v>812391.96</v>
          </cell>
          <cell r="K296">
            <v>462090.85</v>
          </cell>
          <cell r="L296">
            <v>450774.35</v>
          </cell>
          <cell r="M296">
            <v>812391.96</v>
          </cell>
          <cell r="N296">
            <v>462090.85</v>
          </cell>
          <cell r="O296">
            <v>450774.35</v>
          </cell>
          <cell r="P296">
            <v>812391.96</v>
          </cell>
          <cell r="Q296">
            <v>462090.85</v>
          </cell>
          <cell r="R296">
            <v>450774.35</v>
          </cell>
          <cell r="S296">
            <v>812391.96</v>
          </cell>
        </row>
        <row r="297">
          <cell r="H297">
            <v>16836.239999999998</v>
          </cell>
          <cell r="I297">
            <v>16397.509999999998</v>
          </cell>
          <cell r="J297">
            <v>51720.319999999992</v>
          </cell>
          <cell r="K297">
            <v>31716.31</v>
          </cell>
          <cell r="L297">
            <v>31277.58</v>
          </cell>
          <cell r="M297">
            <v>51720.319999999992</v>
          </cell>
          <cell r="N297">
            <v>22747.18</v>
          </cell>
          <cell r="O297">
            <v>22308.45</v>
          </cell>
          <cell r="P297">
            <v>42751.180000000008</v>
          </cell>
          <cell r="Q297">
            <v>34569.040000000001</v>
          </cell>
          <cell r="R297">
            <v>51863.1</v>
          </cell>
          <cell r="S297">
            <v>143237.02000000002</v>
          </cell>
        </row>
        <row r="298">
          <cell r="H298">
            <v>61733.59</v>
          </cell>
          <cell r="I298">
            <v>60956.649999999994</v>
          </cell>
          <cell r="J298">
            <v>533750.30000000005</v>
          </cell>
          <cell r="K298">
            <v>498325.15</v>
          </cell>
          <cell r="L298">
            <v>497548.21</v>
          </cell>
          <cell r="M298">
            <v>533750.30000000005</v>
          </cell>
          <cell r="N298">
            <v>72201.279999999999</v>
          </cell>
          <cell r="O298">
            <v>71424.34</v>
          </cell>
          <cell r="P298">
            <v>107626.43</v>
          </cell>
          <cell r="Q298">
            <v>93136.650000000009</v>
          </cell>
          <cell r="R298">
            <v>123762.76999999999</v>
          </cell>
          <cell r="S298">
            <v>285577.08999999997</v>
          </cell>
        </row>
        <row r="299">
          <cell r="H299">
            <v>55771.229999999996</v>
          </cell>
          <cell r="I299">
            <v>54511.77</v>
          </cell>
          <cell r="J299">
            <v>251528.81000000003</v>
          </cell>
          <cell r="K299">
            <v>194103.13000000003</v>
          </cell>
          <cell r="L299">
            <v>192843.67000000004</v>
          </cell>
          <cell r="M299">
            <v>251528.81000000003</v>
          </cell>
          <cell r="N299">
            <v>72739.8</v>
          </cell>
          <cell r="O299">
            <v>71480.34</v>
          </cell>
          <cell r="P299">
            <v>130165.48000000001</v>
          </cell>
          <cell r="Q299">
            <v>106676.94000000002</v>
          </cell>
          <cell r="R299">
            <v>156323.19</v>
          </cell>
          <cell r="S299">
            <v>418631.17</v>
          </cell>
        </row>
        <row r="300">
          <cell r="H300">
            <v>17988.310000000001</v>
          </cell>
          <cell r="I300">
            <v>17634.310000000001</v>
          </cell>
          <cell r="J300">
            <v>102735.18000000001</v>
          </cell>
          <cell r="K300">
            <v>86594.61</v>
          </cell>
          <cell r="L300">
            <v>86240.61</v>
          </cell>
          <cell r="M300">
            <v>102735.18000000001</v>
          </cell>
          <cell r="N300">
            <v>22757.65</v>
          </cell>
          <cell r="O300">
            <v>22403.65</v>
          </cell>
          <cell r="P300">
            <v>38898.21</v>
          </cell>
          <cell r="Q300">
            <v>32296.32</v>
          </cell>
          <cell r="R300">
            <v>46250.32</v>
          </cell>
          <cell r="S300">
            <v>119976.91</v>
          </cell>
        </row>
      </sheetData>
      <sheetData sheetId="23">
        <row r="716">
          <cell r="F716">
            <v>359.02</v>
          </cell>
          <cell r="G716">
            <v>930.95</v>
          </cell>
          <cell r="H716">
            <v>1992.08</v>
          </cell>
          <cell r="I716">
            <v>2454.7000000000003</v>
          </cell>
          <cell r="J716">
            <v>4450.41</v>
          </cell>
          <cell r="K716">
            <v>41476.89</v>
          </cell>
          <cell r="L716">
            <v>74478.7</v>
          </cell>
          <cell r="M716">
            <v>77545.16</v>
          </cell>
          <cell r="N716">
            <v>58457.04</v>
          </cell>
          <cell r="O716">
            <v>7739.37</v>
          </cell>
          <cell r="P716">
            <v>8420.59</v>
          </cell>
          <cell r="Q716">
            <v>11806.73</v>
          </cell>
        </row>
        <row r="717">
          <cell r="F717">
            <v>18.36</v>
          </cell>
          <cell r="G717">
            <v>51.16</v>
          </cell>
          <cell r="H717">
            <v>222.5</v>
          </cell>
          <cell r="I717">
            <v>315.41000000000003</v>
          </cell>
          <cell r="J717">
            <v>522.19000000000005</v>
          </cell>
          <cell r="K717">
            <v>2072.0300000000002</v>
          </cell>
          <cell r="L717">
            <v>2843.11</v>
          </cell>
          <cell r="M717">
            <v>3069.52</v>
          </cell>
          <cell r="N717">
            <v>2305.0300000000002</v>
          </cell>
          <cell r="O717">
            <v>928.52</v>
          </cell>
          <cell r="P717">
            <v>1202.08</v>
          </cell>
          <cell r="Q717">
            <v>1264.5899999999999</v>
          </cell>
        </row>
        <row r="718">
          <cell r="F718">
            <v>32.51</v>
          </cell>
          <cell r="G718">
            <v>90.6</v>
          </cell>
          <cell r="H718">
            <v>394.02</v>
          </cell>
          <cell r="I718">
            <v>558.55999999999995</v>
          </cell>
          <cell r="J718">
            <v>924.74</v>
          </cell>
          <cell r="K718">
            <v>3669.36</v>
          </cell>
          <cell r="L718">
            <v>5034.88</v>
          </cell>
          <cell r="M718">
            <v>5435.83</v>
          </cell>
          <cell r="N718">
            <v>4081.98</v>
          </cell>
          <cell r="O718">
            <v>1644.32</v>
          </cell>
          <cell r="P718">
            <v>2128.7600000000002</v>
          </cell>
          <cell r="Q718">
            <v>2239.4699999999998</v>
          </cell>
        </row>
        <row r="719">
          <cell r="F719">
            <v>52.7</v>
          </cell>
          <cell r="G719">
            <v>146.87</v>
          </cell>
          <cell r="H719">
            <v>638.73</v>
          </cell>
          <cell r="I719">
            <v>905.45</v>
          </cell>
          <cell r="J719">
            <v>1499.05</v>
          </cell>
          <cell r="K719">
            <v>5948.19</v>
          </cell>
          <cell r="L719">
            <v>8161.75</v>
          </cell>
          <cell r="M719">
            <v>8811.7099999999991</v>
          </cell>
          <cell r="N719">
            <v>6617.07</v>
          </cell>
          <cell r="O719">
            <v>2665.51</v>
          </cell>
          <cell r="P719">
            <v>3450.81</v>
          </cell>
          <cell r="Q719">
            <v>3630.28</v>
          </cell>
        </row>
        <row r="720">
          <cell r="F720">
            <v>14.81</v>
          </cell>
          <cell r="G720">
            <v>41.28</v>
          </cell>
          <cell r="H720">
            <v>179.53</v>
          </cell>
          <cell r="I720">
            <v>254.49</v>
          </cell>
          <cell r="J720">
            <v>421.34</v>
          </cell>
          <cell r="K720">
            <v>1671.85</v>
          </cell>
          <cell r="L720">
            <v>2294.0100000000002</v>
          </cell>
          <cell r="M720">
            <v>2476.6999999999998</v>
          </cell>
          <cell r="N720">
            <v>1859.85</v>
          </cell>
          <cell r="O720">
            <v>749.19</v>
          </cell>
          <cell r="P720">
            <v>969.91</v>
          </cell>
          <cell r="Q720">
            <v>1020.36</v>
          </cell>
        </row>
        <row r="749">
          <cell r="F749">
            <v>6058.9927507942693</v>
          </cell>
          <cell r="G749">
            <v>15588.26127749763</v>
          </cell>
          <cell r="H749">
            <v>31788.981419606178</v>
          </cell>
          <cell r="I749">
            <v>36254.979182741161</v>
          </cell>
          <cell r="J749">
            <v>55593.58762229437</v>
          </cell>
          <cell r="K749">
            <v>368464.13375400833</v>
          </cell>
          <cell r="L749">
            <v>662890.98512243514</v>
          </cell>
          <cell r="M749">
            <v>690593.63625140849</v>
          </cell>
          <cell r="N749">
            <v>529428.38286921405</v>
          </cell>
          <cell r="O749">
            <v>102386.79330336885</v>
          </cell>
          <cell r="P749">
            <v>130112.50880494314</v>
          </cell>
          <cell r="Q749">
            <v>196274.23410078787</v>
          </cell>
        </row>
        <row r="750">
          <cell r="F750">
            <v>517.22996967025608</v>
          </cell>
          <cell r="G750">
            <v>1417.9825327274204</v>
          </cell>
          <cell r="H750">
            <v>6014.8771781392988</v>
          </cell>
          <cell r="I750">
            <v>8029.570571246436</v>
          </cell>
          <cell r="J750">
            <v>12643.966459077328</v>
          </cell>
          <cell r="K750">
            <v>36720.969485755486</v>
          </cell>
          <cell r="L750">
            <v>54169.299667914333</v>
          </cell>
          <cell r="M750">
            <v>58644.761264275847</v>
          </cell>
          <cell r="N750">
            <v>44709.173735557233</v>
          </cell>
          <cell r="O750">
            <v>24573.234023618443</v>
          </cell>
          <cell r="P750">
            <v>29789.924060113379</v>
          </cell>
          <cell r="Q750">
            <v>33517.693370714544</v>
          </cell>
        </row>
        <row r="751">
          <cell r="F751">
            <v>915.96407533999695</v>
          </cell>
          <cell r="G751">
            <v>2511.109439899551</v>
          </cell>
          <cell r="H751">
            <v>10651.763694726289</v>
          </cell>
          <cell r="I751">
            <v>14219.590153211377</v>
          </cell>
          <cell r="J751">
            <v>22391.237409738795</v>
          </cell>
          <cell r="K751">
            <v>65029.272921001218</v>
          </cell>
          <cell r="L751">
            <v>95928.572185730489</v>
          </cell>
          <cell r="M751">
            <v>103854.1802966533</v>
          </cell>
          <cell r="N751">
            <v>79175.607333837645</v>
          </cell>
          <cell r="O751">
            <v>43516.812444001298</v>
          </cell>
          <cell r="P751">
            <v>52755.064180766902</v>
          </cell>
          <cell r="Q751">
            <v>59356.581822605069</v>
          </cell>
        </row>
        <row r="752">
          <cell r="F752">
            <v>1484.8172021661137</v>
          </cell>
          <cell r="G752">
            <v>4070.6165157193218</v>
          </cell>
          <cell r="H752">
            <v>17266.967551612062</v>
          </cell>
          <cell r="I752">
            <v>23050.56785049459</v>
          </cell>
          <cell r="J752">
            <v>36297.159876520978</v>
          </cell>
          <cell r="K752">
            <v>105415.25118396895</v>
          </cell>
          <cell r="L752">
            <v>155504.34563466412</v>
          </cell>
          <cell r="M752">
            <v>168352.09761266311</v>
          </cell>
          <cell r="N752">
            <v>128347.06832535328</v>
          </cell>
          <cell r="O752">
            <v>70542.626550397457</v>
          </cell>
          <cell r="P752">
            <v>85518.230360622081</v>
          </cell>
          <cell r="Q752">
            <v>96219.574680666483</v>
          </cell>
        </row>
        <row r="753">
          <cell r="F753">
            <v>417.3357401498169</v>
          </cell>
          <cell r="G753">
            <v>1144.1231647744185</v>
          </cell>
          <cell r="H753">
            <v>4853.2052785907235</v>
          </cell>
          <cell r="I753">
            <v>6478.7946830935998</v>
          </cell>
          <cell r="J753">
            <v>10201.997970056806</v>
          </cell>
          <cell r="K753">
            <v>29628.93466735226</v>
          </cell>
          <cell r="L753">
            <v>43707.414681942173</v>
          </cell>
          <cell r="M753">
            <v>47318.516488398505</v>
          </cell>
          <cell r="N753">
            <v>36074.352235062528</v>
          </cell>
          <cell r="O753">
            <v>19827.329061499291</v>
          </cell>
          <cell r="P753">
            <v>24036.503558678443</v>
          </cell>
          <cell r="Q753">
            <v>27044.317211354679</v>
          </cell>
        </row>
      </sheetData>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put"/>
      <sheetName val="Monthly TD Calc"/>
    </sheetNames>
    <sheetDataSet>
      <sheetData sheetId="0"/>
      <sheetData sheetId="1">
        <row r="44">
          <cell r="DC44">
            <v>0.13576441564001979</v>
          </cell>
          <cell r="DD44">
            <v>0.35611574316442379</v>
          </cell>
          <cell r="DE44">
            <v>0.4183185730547726</v>
          </cell>
          <cell r="DF44">
            <v>8.9801268140783777E-2</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January 2020"/>
      <sheetName val="February 2020"/>
      <sheetName val="March 2020"/>
      <sheetName val="April 2020"/>
      <sheetName val="May 2020"/>
      <sheetName val="June 2020"/>
      <sheetName val="July 2020"/>
      <sheetName val="Aug 2020"/>
      <sheetName val="Sept 2020"/>
      <sheetName val="Oct 2020"/>
      <sheetName val="Nov 2020"/>
      <sheetName val="Dec 2020"/>
      <sheetName val="Jan 2021"/>
      <sheetName val="Jul 2021"/>
      <sheetName val="Feb 2021"/>
      <sheetName val="Mar 2021"/>
      <sheetName val="Apr 2021"/>
      <sheetName val="May 2021"/>
      <sheetName val="Jun 2021"/>
      <sheetName val="Aug 2021"/>
      <sheetName val="Sep 2021"/>
      <sheetName val="Oct 2021"/>
      <sheetName val="Nov 2021"/>
      <sheetName val="Dec 2021"/>
      <sheetName val="Jan 2022"/>
      <sheetName val="Feb 2022"/>
      <sheetName val="Mar 2022"/>
      <sheetName val="Apr 2022"/>
      <sheetName val="May 2022"/>
      <sheetName val="Jun 2022"/>
      <sheetName val="Jul 2022"/>
      <sheetName val="Aug 2022"/>
      <sheetName val="Sep 2022"/>
      <sheetName val="Oct 2022"/>
      <sheetName val="Nov 2022"/>
      <sheetName val="Dec 2022"/>
      <sheetName val="Jan 2023"/>
      <sheetName val="Feb 2023"/>
      <sheetName val="Mar 2023"/>
      <sheetName val="Apr 2023"/>
      <sheetName val="May 2023 "/>
      <sheetName val="May 2023  new format"/>
      <sheetName val="June 2023"/>
      <sheetName val="July 2023"/>
      <sheetName val="August 2023"/>
      <sheetName val="September 2023"/>
      <sheetName val="October 2023"/>
      <sheetName val="November 2023"/>
      <sheetName val="December 2023"/>
      <sheetName val="January 2024"/>
      <sheetName val="February 2024"/>
      <sheetName val="March 2024"/>
      <sheetName val="April 2024"/>
      <sheetName val="May 2024 pre-112024"/>
      <sheetName val="May 2024"/>
      <sheetName val="June 2024 pre-112024"/>
      <sheetName val="June 2024"/>
      <sheetName val="July 2024 pre M4"/>
      <sheetName val="July 2024 pre-112024"/>
      <sheetName val="July 2024"/>
      <sheetName val="August 2024 pre-112024"/>
      <sheetName val="August 2024"/>
      <sheetName val="September 2024 pre-112024"/>
      <sheetName val="September 2024"/>
      <sheetName val="October 2024 pre-112024"/>
      <sheetName val="October 2024"/>
      <sheetName val="Customer Recovery of DSIM- FER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43">
          <cell r="G43">
            <v>-40.18</v>
          </cell>
        </row>
        <row r="44">
          <cell r="G44">
            <v>1.4799999999999969</v>
          </cell>
        </row>
        <row r="45">
          <cell r="G45">
            <v>-7.6500000000000057</v>
          </cell>
        </row>
        <row r="46">
          <cell r="G46">
            <v>0</v>
          </cell>
        </row>
        <row r="47">
          <cell r="G47">
            <v>60.339999999999918</v>
          </cell>
        </row>
        <row r="52">
          <cell r="G52">
            <v>40.18</v>
          </cell>
        </row>
        <row r="53">
          <cell r="G53">
            <v>-1.48</v>
          </cell>
        </row>
        <row r="54">
          <cell r="G54">
            <v>7.65</v>
          </cell>
        </row>
        <row r="55">
          <cell r="G55">
            <v>0</v>
          </cell>
        </row>
        <row r="56">
          <cell r="G56">
            <v>-60.339999999999996</v>
          </cell>
        </row>
        <row r="61">
          <cell r="G61">
            <v>15272.69</v>
          </cell>
        </row>
        <row r="62">
          <cell r="G62">
            <v>2893.4900000000002</v>
          </cell>
        </row>
        <row r="63">
          <cell r="G63">
            <v>7167.0800000000008</v>
          </cell>
        </row>
        <row r="64">
          <cell r="G64">
            <v>10007.279999999999</v>
          </cell>
        </row>
        <row r="65">
          <cell r="G65">
            <v>2134.4300000000003</v>
          </cell>
        </row>
        <row r="70">
          <cell r="G70">
            <v>-6139.3099999999995</v>
          </cell>
        </row>
        <row r="71">
          <cell r="G71">
            <v>-438.48</v>
          </cell>
        </row>
        <row r="72">
          <cell r="G72">
            <v>1527.44</v>
          </cell>
        </row>
        <row r="73">
          <cell r="G73">
            <v>2858.7400000000002</v>
          </cell>
        </row>
        <row r="74">
          <cell r="G74">
            <v>766.7</v>
          </cell>
        </row>
        <row r="79">
          <cell r="G79">
            <v>-1532.4</v>
          </cell>
        </row>
        <row r="84">
          <cell r="G84">
            <v>0</v>
          </cell>
        </row>
        <row r="88">
          <cell r="G88">
            <v>399931.2</v>
          </cell>
        </row>
        <row r="89">
          <cell r="G89">
            <v>53152.31</v>
          </cell>
        </row>
        <row r="90">
          <cell r="G90">
            <v>135907.26999999999</v>
          </cell>
        </row>
        <row r="91">
          <cell r="G91">
            <v>237389.02</v>
          </cell>
        </row>
        <row r="92">
          <cell r="G92">
            <v>38737.17</v>
          </cell>
        </row>
        <row r="96">
          <cell r="G96">
            <v>13749.099999999999</v>
          </cell>
        </row>
        <row r="97">
          <cell r="G97">
            <v>6555.3099999999995</v>
          </cell>
        </row>
        <row r="98">
          <cell r="G98">
            <v>50867.65</v>
          </cell>
        </row>
        <row r="99">
          <cell r="G99">
            <v>42901.64</v>
          </cell>
        </row>
        <row r="100">
          <cell r="G100">
            <v>-2061.7600000000002</v>
          </cell>
        </row>
        <row r="104">
          <cell r="G104">
            <v>101121.62</v>
          </cell>
        </row>
        <row r="105">
          <cell r="G105">
            <v>19110.61</v>
          </cell>
        </row>
        <row r="106">
          <cell r="G106">
            <v>41010.36</v>
          </cell>
        </row>
        <row r="107">
          <cell r="G107">
            <v>41471.58</v>
          </cell>
        </row>
        <row r="108">
          <cell r="G108">
            <v>3068.29</v>
          </cell>
        </row>
        <row r="112">
          <cell r="G112">
            <v>-6130.02</v>
          </cell>
        </row>
        <row r="113">
          <cell r="G113">
            <v>0</v>
          </cell>
        </row>
        <row r="114">
          <cell r="G114">
            <v>0</v>
          </cell>
        </row>
        <row r="115">
          <cell r="G115">
            <v>0</v>
          </cell>
        </row>
        <row r="116">
          <cell r="G116">
            <v>0</v>
          </cell>
        </row>
        <row r="120">
          <cell r="G120">
            <v>79691.66</v>
          </cell>
        </row>
        <row r="121">
          <cell r="G121">
            <v>14400.35</v>
          </cell>
        </row>
        <row r="122">
          <cell r="G122">
            <v>26572.47</v>
          </cell>
        </row>
        <row r="123">
          <cell r="G123">
            <v>57202.17</v>
          </cell>
        </row>
        <row r="124">
          <cell r="G124">
            <v>8821.34</v>
          </cell>
        </row>
        <row r="145">
          <cell r="G145">
            <v>153239284.89905</v>
          </cell>
        </row>
        <row r="146">
          <cell r="G146">
            <v>46560109.629100002</v>
          </cell>
        </row>
        <row r="147">
          <cell r="G147">
            <v>80438413.420566693</v>
          </cell>
        </row>
        <row r="148">
          <cell r="G148">
            <v>143005435.02040002</v>
          </cell>
        </row>
        <row r="149">
          <cell r="G149">
            <v>38353635.6259</v>
          </cell>
        </row>
      </sheetData>
      <sheetData sheetId="55"/>
      <sheetData sheetId="56">
        <row r="43">
          <cell r="G43">
            <v>2.0499999999999998</v>
          </cell>
        </row>
        <row r="44">
          <cell r="G44">
            <v>-0.04</v>
          </cell>
        </row>
        <row r="45">
          <cell r="G45">
            <v>24.29</v>
          </cell>
        </row>
        <row r="46">
          <cell r="G46">
            <v>0</v>
          </cell>
        </row>
        <row r="47">
          <cell r="G47">
            <v>2.0400000000000063</v>
          </cell>
        </row>
        <row r="52">
          <cell r="G52">
            <v>-2.0499999999999998</v>
          </cell>
        </row>
        <row r="53">
          <cell r="G53">
            <v>0.04</v>
          </cell>
        </row>
        <row r="54">
          <cell r="G54">
            <v>-24.29</v>
          </cell>
        </row>
        <row r="55">
          <cell r="G55">
            <v>0</v>
          </cell>
        </row>
        <row r="56">
          <cell r="G56">
            <v>-2.04</v>
          </cell>
        </row>
        <row r="61">
          <cell r="G61">
            <v>21088.54</v>
          </cell>
        </row>
        <row r="62">
          <cell r="G62">
            <v>3226.6400000000003</v>
          </cell>
        </row>
        <row r="63">
          <cell r="G63">
            <v>8441.09</v>
          </cell>
        </row>
        <row r="64">
          <cell r="G64">
            <v>10205.679999999998</v>
          </cell>
        </row>
        <row r="65">
          <cell r="G65">
            <v>1606.05</v>
          </cell>
        </row>
        <row r="70">
          <cell r="G70">
            <v>-8434.44</v>
          </cell>
        </row>
        <row r="71">
          <cell r="G71">
            <v>-538.62</v>
          </cell>
        </row>
        <row r="72">
          <cell r="G72">
            <v>2065.7800000000002</v>
          </cell>
        </row>
        <row r="73">
          <cell r="G73">
            <v>2918.99</v>
          </cell>
        </row>
        <row r="74">
          <cell r="G74">
            <v>638.53</v>
          </cell>
        </row>
        <row r="79">
          <cell r="G79">
            <v>-2108.59</v>
          </cell>
        </row>
        <row r="84">
          <cell r="G84">
            <v>0</v>
          </cell>
        </row>
        <row r="88">
          <cell r="G88">
            <v>550284.06000000006</v>
          </cell>
        </row>
        <row r="89">
          <cell r="G89">
            <v>61400.54</v>
          </cell>
        </row>
        <row r="90">
          <cell r="G90">
            <v>153069.72</v>
          </cell>
        </row>
        <row r="91">
          <cell r="G91">
            <v>242276.25</v>
          </cell>
        </row>
        <row r="92">
          <cell r="G92">
            <v>32245.66</v>
          </cell>
        </row>
        <row r="96">
          <cell r="G96">
            <v>18960.89</v>
          </cell>
        </row>
        <row r="97">
          <cell r="G97">
            <v>7540.88</v>
          </cell>
        </row>
        <row r="98">
          <cell r="G98">
            <v>56708.21</v>
          </cell>
        </row>
        <row r="99">
          <cell r="G99">
            <v>43784.85</v>
          </cell>
        </row>
        <row r="100">
          <cell r="G100">
            <v>-3304.64</v>
          </cell>
        </row>
        <row r="104">
          <cell r="G104">
            <v>139158.87</v>
          </cell>
        </row>
        <row r="105">
          <cell r="G105">
            <v>22082.53</v>
          </cell>
        </row>
        <row r="106">
          <cell r="G106">
            <v>46230.35</v>
          </cell>
        </row>
        <row r="107">
          <cell r="G107">
            <v>42325.37</v>
          </cell>
        </row>
        <row r="108">
          <cell r="G108">
            <v>2554.11</v>
          </cell>
        </row>
        <row r="112">
          <cell r="G112">
            <v>-8436.74</v>
          </cell>
        </row>
        <row r="113">
          <cell r="G113">
            <v>0</v>
          </cell>
        </row>
        <row r="114">
          <cell r="G114">
            <v>0</v>
          </cell>
        </row>
        <row r="115">
          <cell r="G115">
            <v>0</v>
          </cell>
        </row>
        <row r="116">
          <cell r="G116">
            <v>0</v>
          </cell>
        </row>
        <row r="120">
          <cell r="G120">
            <v>109632.56</v>
          </cell>
        </row>
        <row r="121">
          <cell r="G121">
            <v>16699.72</v>
          </cell>
        </row>
        <row r="122">
          <cell r="G122">
            <v>29757.98</v>
          </cell>
        </row>
        <row r="123">
          <cell r="G123">
            <v>58379.82</v>
          </cell>
        </row>
        <row r="124">
          <cell r="G124">
            <v>7343.07</v>
          </cell>
        </row>
        <row r="145">
          <cell r="G145">
            <v>210846674.27977499</v>
          </cell>
        </row>
        <row r="146">
          <cell r="G146">
            <v>53859029.526499979</v>
          </cell>
        </row>
        <row r="147">
          <cell r="G147">
            <v>90499639.286300018</v>
          </cell>
        </row>
        <row r="148">
          <cell r="G148">
            <v>145949547.34579995</v>
          </cell>
        </row>
        <row r="149">
          <cell r="G149">
            <v>31926396.805000003</v>
          </cell>
        </row>
      </sheetData>
      <sheetData sheetId="57"/>
      <sheetData sheetId="58"/>
      <sheetData sheetId="59">
        <row r="43">
          <cell r="G43">
            <v>-0.89</v>
          </cell>
        </row>
        <row r="44">
          <cell r="G44">
            <v>0</v>
          </cell>
        </row>
        <row r="45">
          <cell r="G45">
            <v>0</v>
          </cell>
        </row>
        <row r="46">
          <cell r="G46">
            <v>0</v>
          </cell>
        </row>
        <row r="47">
          <cell r="G47">
            <v>1.8799999999999955</v>
          </cell>
        </row>
        <row r="52">
          <cell r="G52">
            <v>0.89</v>
          </cell>
        </row>
        <row r="53">
          <cell r="G53">
            <v>0</v>
          </cell>
        </row>
        <row r="54">
          <cell r="G54">
            <v>0</v>
          </cell>
        </row>
        <row r="55">
          <cell r="G55">
            <v>0</v>
          </cell>
        </row>
        <row r="56">
          <cell r="G56">
            <v>-1.879999999999999</v>
          </cell>
        </row>
        <row r="61">
          <cell r="G61">
            <v>29719.760000000002</v>
          </cell>
        </row>
        <row r="62">
          <cell r="G62">
            <v>3751.46</v>
          </cell>
        </row>
        <row r="63">
          <cell r="G63">
            <v>9552.92</v>
          </cell>
        </row>
        <row r="64">
          <cell r="G64">
            <v>11485.87</v>
          </cell>
        </row>
        <row r="65">
          <cell r="G65">
            <v>2573.2800000000002</v>
          </cell>
        </row>
        <row r="70">
          <cell r="G70">
            <v>-11887.46</v>
          </cell>
        </row>
        <row r="71">
          <cell r="G71">
            <v>-625.93000000000006</v>
          </cell>
        </row>
        <row r="72">
          <cell r="G72">
            <v>2125.2199999999998</v>
          </cell>
        </row>
        <row r="73">
          <cell r="G73">
            <v>3285.31</v>
          </cell>
        </row>
        <row r="74">
          <cell r="G74">
            <v>1014.83</v>
          </cell>
        </row>
        <row r="79">
          <cell r="G79">
            <v>-2971.84</v>
          </cell>
        </row>
        <row r="84">
          <cell r="G84">
            <v>0</v>
          </cell>
        </row>
        <row r="88">
          <cell r="G88">
            <v>775735.18</v>
          </cell>
        </row>
        <row r="89">
          <cell r="G89">
            <v>71356.66</v>
          </cell>
        </row>
        <row r="90">
          <cell r="G90">
            <v>179581.22</v>
          </cell>
        </row>
        <row r="91">
          <cell r="G91">
            <v>272680.88</v>
          </cell>
        </row>
        <row r="92">
          <cell r="G92">
            <v>51249.120000000003</v>
          </cell>
        </row>
        <row r="96">
          <cell r="G96">
            <v>26753.03</v>
          </cell>
        </row>
        <row r="97">
          <cell r="G97">
            <v>8763.1</v>
          </cell>
        </row>
        <row r="98">
          <cell r="G98">
            <v>66944.479999999996</v>
          </cell>
        </row>
        <row r="99">
          <cell r="G99">
            <v>49279.68</v>
          </cell>
        </row>
        <row r="100">
          <cell r="G100">
            <v>-5004.2300000000005</v>
          </cell>
        </row>
        <row r="104">
          <cell r="G104">
            <v>196164.08</v>
          </cell>
        </row>
        <row r="105">
          <cell r="G105">
            <v>25663.360000000001</v>
          </cell>
        </row>
        <row r="106">
          <cell r="G106">
            <v>54193.15</v>
          </cell>
        </row>
        <row r="107">
          <cell r="G107">
            <v>47637.02</v>
          </cell>
        </row>
        <row r="108">
          <cell r="G108">
            <v>4059.34</v>
          </cell>
        </row>
        <row r="112">
          <cell r="G112">
            <v>-11887.19</v>
          </cell>
        </row>
        <row r="113">
          <cell r="G113">
            <v>0</v>
          </cell>
        </row>
        <row r="114">
          <cell r="G114">
            <v>0</v>
          </cell>
        </row>
        <row r="115">
          <cell r="G115">
            <v>0</v>
          </cell>
        </row>
        <row r="116">
          <cell r="G116">
            <v>0</v>
          </cell>
        </row>
        <row r="120">
          <cell r="G120">
            <v>154556.13</v>
          </cell>
        </row>
        <row r="121">
          <cell r="G121">
            <v>19404</v>
          </cell>
        </row>
        <row r="122">
          <cell r="G122">
            <v>35066.160000000003</v>
          </cell>
        </row>
        <row r="123">
          <cell r="G123">
            <v>65706.240000000005</v>
          </cell>
        </row>
        <row r="124">
          <cell r="G124">
            <v>11670.58</v>
          </cell>
        </row>
        <row r="128">
          <cell r="G128">
            <v>0</v>
          </cell>
        </row>
        <row r="129">
          <cell r="G129">
            <v>0</v>
          </cell>
        </row>
        <row r="130">
          <cell r="G130">
            <v>0</v>
          </cell>
        </row>
        <row r="131">
          <cell r="G131">
            <v>0</v>
          </cell>
        </row>
        <row r="132">
          <cell r="G132">
            <v>0</v>
          </cell>
        </row>
        <row r="136">
          <cell r="G136">
            <v>0</v>
          </cell>
        </row>
        <row r="137">
          <cell r="G137">
            <v>0</v>
          </cell>
        </row>
        <row r="138">
          <cell r="G138">
            <v>0</v>
          </cell>
        </row>
        <row r="139">
          <cell r="G139">
            <v>0</v>
          </cell>
        </row>
        <row r="140">
          <cell r="G140">
            <v>0</v>
          </cell>
        </row>
        <row r="185">
          <cell r="G185">
            <v>297215222.53432494</v>
          </cell>
        </row>
        <row r="186">
          <cell r="G186">
            <v>62593563.4212</v>
          </cell>
        </row>
        <row r="187">
          <cell r="G187">
            <v>106261076.09569998</v>
          </cell>
        </row>
        <row r="188">
          <cell r="G188">
            <v>164265592.85449997</v>
          </cell>
        </row>
        <row r="189">
          <cell r="G189">
            <v>50741690.576499999</v>
          </cell>
        </row>
      </sheetData>
      <sheetData sheetId="60"/>
      <sheetData sheetId="61">
        <row r="43">
          <cell r="G43">
            <v>-1.03</v>
          </cell>
        </row>
        <row r="44">
          <cell r="G44">
            <v>0</v>
          </cell>
        </row>
        <row r="45">
          <cell r="G45">
            <v>0</v>
          </cell>
        </row>
        <row r="46">
          <cell r="G46">
            <v>0</v>
          </cell>
        </row>
        <row r="47">
          <cell r="G47">
            <v>-0.62999999999999901</v>
          </cell>
        </row>
        <row r="52">
          <cell r="G52">
            <v>1.03</v>
          </cell>
        </row>
        <row r="53">
          <cell r="G53">
            <v>0</v>
          </cell>
        </row>
        <row r="54">
          <cell r="G54">
            <v>0</v>
          </cell>
        </row>
        <row r="55">
          <cell r="G55">
            <v>0</v>
          </cell>
        </row>
        <row r="56">
          <cell r="G56">
            <v>0.62999999999999989</v>
          </cell>
        </row>
        <row r="61">
          <cell r="G61">
            <v>24582.71</v>
          </cell>
        </row>
        <row r="62">
          <cell r="G62">
            <v>3132.0099999999998</v>
          </cell>
        </row>
        <row r="63">
          <cell r="G63">
            <v>7901.75</v>
          </cell>
        </row>
        <row r="64">
          <cell r="G64">
            <v>9866.36</v>
          </cell>
        </row>
        <row r="65">
          <cell r="G65">
            <v>1691.71</v>
          </cell>
        </row>
        <row r="70">
          <cell r="G70">
            <v>-9833.23</v>
          </cell>
        </row>
        <row r="71">
          <cell r="G71">
            <v>-433.28</v>
          </cell>
        </row>
        <row r="72">
          <cell r="G72">
            <v>1788.41</v>
          </cell>
        </row>
        <row r="73">
          <cell r="G73">
            <v>2760.25</v>
          </cell>
        </row>
        <row r="74">
          <cell r="G74">
            <v>871.28</v>
          </cell>
        </row>
        <row r="79">
          <cell r="G79">
            <v>-2054.02</v>
          </cell>
        </row>
        <row r="84">
          <cell r="G84">
            <v>0</v>
          </cell>
        </row>
        <row r="88">
          <cell r="G88">
            <v>652536.16</v>
          </cell>
        </row>
        <row r="89">
          <cell r="G89">
            <v>61559.39</v>
          </cell>
        </row>
        <row r="90">
          <cell r="G90">
            <v>150175.5</v>
          </cell>
        </row>
        <row r="91">
          <cell r="G91">
            <v>227966.48</v>
          </cell>
        </row>
        <row r="92">
          <cell r="G92">
            <v>47332.49</v>
          </cell>
        </row>
        <row r="96">
          <cell r="G96">
            <v>39508.960000000006</v>
          </cell>
        </row>
        <row r="97">
          <cell r="G97">
            <v>1056.6300000000001</v>
          </cell>
        </row>
        <row r="98">
          <cell r="G98">
            <v>76187.87</v>
          </cell>
        </row>
        <row r="99">
          <cell r="G99">
            <v>27599.86</v>
          </cell>
        </row>
        <row r="100">
          <cell r="G100">
            <v>-2072.35</v>
          </cell>
        </row>
        <row r="104">
          <cell r="G104">
            <v>205912.03</v>
          </cell>
        </row>
        <row r="105">
          <cell r="G105">
            <v>30466.63</v>
          </cell>
        </row>
        <row r="106">
          <cell r="G106">
            <v>75451.360000000001</v>
          </cell>
        </row>
        <row r="107">
          <cell r="G107">
            <v>59146.61</v>
          </cell>
        </row>
        <row r="108">
          <cell r="G108">
            <v>4126.08</v>
          </cell>
        </row>
        <row r="112">
          <cell r="G112">
            <v>-10641.72</v>
          </cell>
        </row>
        <row r="113">
          <cell r="G113">
            <v>0</v>
          </cell>
        </row>
        <row r="114">
          <cell r="G114">
            <v>0</v>
          </cell>
        </row>
        <row r="115">
          <cell r="G115">
            <v>0</v>
          </cell>
        </row>
        <row r="116">
          <cell r="G116">
            <v>0</v>
          </cell>
        </row>
        <row r="120">
          <cell r="G120">
            <v>164218.72</v>
          </cell>
        </row>
        <row r="121">
          <cell r="G121">
            <v>20230.02</v>
          </cell>
        </row>
        <row r="122">
          <cell r="G122">
            <v>36936.76</v>
          </cell>
        </row>
        <row r="123">
          <cell r="G123">
            <v>66928.86</v>
          </cell>
        </row>
        <row r="124">
          <cell r="G124">
            <v>11429.81</v>
          </cell>
        </row>
        <row r="128">
          <cell r="G128">
            <v>0</v>
          </cell>
        </row>
        <row r="129">
          <cell r="G129">
            <v>0</v>
          </cell>
        </row>
        <row r="130">
          <cell r="G130">
            <v>0</v>
          </cell>
        </row>
        <row r="131">
          <cell r="G131">
            <v>0</v>
          </cell>
        </row>
        <row r="132">
          <cell r="G132">
            <v>0</v>
          </cell>
        </row>
        <row r="136">
          <cell r="G136">
            <v>808.59</v>
          </cell>
        </row>
        <row r="137">
          <cell r="G137">
            <v>0</v>
          </cell>
        </row>
        <row r="138">
          <cell r="G138">
            <v>270.11</v>
          </cell>
        </row>
        <row r="139">
          <cell r="G139">
            <v>449.22</v>
          </cell>
        </row>
        <row r="140">
          <cell r="G140">
            <v>256.39</v>
          </cell>
        </row>
        <row r="185">
          <cell r="G185">
            <v>286260248.13420004</v>
          </cell>
        </row>
        <row r="186">
          <cell r="G186">
            <v>61218366.141400002</v>
          </cell>
        </row>
        <row r="187">
          <cell r="G187">
            <v>102925993.0899</v>
          </cell>
        </row>
        <row r="188">
          <cell r="G188">
            <v>160549625.93380001</v>
          </cell>
        </row>
        <row r="189">
          <cell r="G189">
            <v>43563811.763799995</v>
          </cell>
        </row>
      </sheetData>
      <sheetData sheetId="62"/>
      <sheetData sheetId="63">
        <row r="43">
          <cell r="G43">
            <v>0.09</v>
          </cell>
        </row>
        <row r="44">
          <cell r="G44">
            <v>-13.34</v>
          </cell>
        </row>
        <row r="45">
          <cell r="G45">
            <v>-21.910000000000004</v>
          </cell>
        </row>
        <row r="46">
          <cell r="G46">
            <v>0</v>
          </cell>
        </row>
        <row r="47">
          <cell r="G47">
            <v>23.909999999999997</v>
          </cell>
        </row>
        <row r="52">
          <cell r="G52">
            <v>-0.09</v>
          </cell>
        </row>
        <row r="53">
          <cell r="G53">
            <v>13.34</v>
          </cell>
        </row>
        <row r="54">
          <cell r="G54">
            <v>21.910000000000004</v>
          </cell>
        </row>
        <row r="55">
          <cell r="G55">
            <v>0</v>
          </cell>
        </row>
        <row r="56">
          <cell r="G56">
            <v>-23.910000000000004</v>
          </cell>
        </row>
        <row r="61">
          <cell r="G61">
            <v>12910.83</v>
          </cell>
        </row>
        <row r="62">
          <cell r="G62">
            <v>1793.12</v>
          </cell>
        </row>
        <row r="63">
          <cell r="G63">
            <v>3931.8199999999997</v>
          </cell>
        </row>
        <row r="64">
          <cell r="G64">
            <v>6642.73</v>
          </cell>
        </row>
        <row r="65">
          <cell r="G65">
            <v>410.82</v>
          </cell>
        </row>
        <row r="70">
          <cell r="G70">
            <v>-5164.26</v>
          </cell>
        </row>
        <row r="71">
          <cell r="G71">
            <v>-9.27</v>
          </cell>
        </row>
        <row r="72">
          <cell r="G72">
            <v>954.36</v>
          </cell>
        </row>
        <row r="73">
          <cell r="G73">
            <v>1670.44</v>
          </cell>
        </row>
        <row r="74">
          <cell r="G74">
            <v>754.73</v>
          </cell>
        </row>
        <row r="79">
          <cell r="G79">
            <v>-29.37</v>
          </cell>
        </row>
        <row r="84">
          <cell r="G84">
            <v>0</v>
          </cell>
        </row>
        <row r="88">
          <cell r="G88">
            <v>371026.34</v>
          </cell>
        </row>
        <row r="89">
          <cell r="G89">
            <v>41473.31</v>
          </cell>
        </row>
        <row r="90">
          <cell r="G90">
            <v>82010.759999999995</v>
          </cell>
        </row>
        <row r="91">
          <cell r="G91">
            <v>133744.28</v>
          </cell>
        </row>
        <row r="92">
          <cell r="G92">
            <v>47873.54</v>
          </cell>
        </row>
        <row r="96">
          <cell r="G96">
            <v>65870.849999999991</v>
          </cell>
        </row>
        <row r="97">
          <cell r="G97">
            <v>-16777.75</v>
          </cell>
        </row>
        <row r="98">
          <cell r="G98">
            <v>105975.7</v>
          </cell>
        </row>
        <row r="99">
          <cell r="G99">
            <v>-25603.350000000002</v>
          </cell>
        </row>
        <row r="100">
          <cell r="G100">
            <v>2847.81</v>
          </cell>
        </row>
        <row r="104">
          <cell r="G104">
            <v>221472.05</v>
          </cell>
        </row>
        <row r="105">
          <cell r="G105">
            <v>42961.17</v>
          </cell>
        </row>
        <row r="106">
          <cell r="G106">
            <v>136666.79999999999</v>
          </cell>
        </row>
        <row r="107">
          <cell r="G107">
            <v>93674.7</v>
          </cell>
        </row>
        <row r="108">
          <cell r="G108">
            <v>4895.76</v>
          </cell>
        </row>
        <row r="112">
          <cell r="G112">
            <v>-7687.86</v>
          </cell>
        </row>
        <row r="113">
          <cell r="G113">
            <v>0</v>
          </cell>
        </row>
        <row r="114">
          <cell r="G114">
            <v>0</v>
          </cell>
        </row>
        <row r="115">
          <cell r="G115">
            <v>0</v>
          </cell>
        </row>
        <row r="116">
          <cell r="G116">
            <v>0</v>
          </cell>
        </row>
        <row r="120">
          <cell r="G120">
            <v>180686.07</v>
          </cell>
        </row>
        <row r="121">
          <cell r="G121">
            <v>23057.42</v>
          </cell>
        </row>
        <row r="122">
          <cell r="G122">
            <v>44351.64</v>
          </cell>
        </row>
        <row r="123">
          <cell r="G123">
            <v>75897.94</v>
          </cell>
        </row>
        <row r="124">
          <cell r="G124">
            <v>12808.45</v>
          </cell>
        </row>
        <row r="128">
          <cell r="G128">
            <v>0</v>
          </cell>
        </row>
        <row r="129">
          <cell r="G129">
            <v>0</v>
          </cell>
        </row>
        <row r="130">
          <cell r="G130">
            <v>0</v>
          </cell>
        </row>
        <row r="131">
          <cell r="G131">
            <v>0</v>
          </cell>
        </row>
        <row r="132">
          <cell r="G132">
            <v>0</v>
          </cell>
        </row>
        <row r="136">
          <cell r="G136">
            <v>2523.39</v>
          </cell>
        </row>
        <row r="137">
          <cell r="G137">
            <v>0</v>
          </cell>
        </row>
        <row r="138">
          <cell r="G138">
            <v>1003.15</v>
          </cell>
        </row>
        <row r="139">
          <cell r="G139">
            <v>1634.19</v>
          </cell>
        </row>
        <row r="140">
          <cell r="G140">
            <v>750.73</v>
          </cell>
        </row>
        <row r="185">
          <cell r="G185">
            <v>255273952.1169</v>
          </cell>
        </row>
        <row r="186">
          <cell r="G186">
            <v>60723433.253599994</v>
          </cell>
        </row>
        <row r="187">
          <cell r="G187">
            <v>100768422.81480001</v>
          </cell>
        </row>
        <row r="188">
          <cell r="G188">
            <v>165231923.7969</v>
          </cell>
        </row>
        <row r="189">
          <cell r="G189">
            <v>37736677.327199996</v>
          </cell>
        </row>
      </sheetData>
      <sheetData sheetId="64"/>
      <sheetData sheetId="65">
        <row r="43">
          <cell r="G43">
            <v>0.12</v>
          </cell>
        </row>
        <row r="44">
          <cell r="G44">
            <v>0</v>
          </cell>
        </row>
        <row r="45">
          <cell r="G45">
            <v>-0.23999999999999988</v>
          </cell>
        </row>
        <row r="46">
          <cell r="G46">
            <v>0</v>
          </cell>
        </row>
        <row r="47">
          <cell r="G47">
            <v>-1.6500000000000057</v>
          </cell>
        </row>
        <row r="52">
          <cell r="G52">
            <v>-0.12</v>
          </cell>
        </row>
        <row r="53">
          <cell r="G53">
            <v>0</v>
          </cell>
        </row>
        <row r="54">
          <cell r="G54">
            <v>0.23999999999999988</v>
          </cell>
        </row>
        <row r="55">
          <cell r="G55">
            <v>0</v>
          </cell>
        </row>
        <row r="56">
          <cell r="G56">
            <v>1.6499999999999995</v>
          </cell>
        </row>
        <row r="61">
          <cell r="G61">
            <v>10097.26</v>
          </cell>
        </row>
        <row r="62">
          <cell r="G62">
            <v>1660.3400000000001</v>
          </cell>
        </row>
        <row r="63">
          <cell r="G63">
            <v>3875.32</v>
          </cell>
        </row>
        <row r="64">
          <cell r="G64">
            <v>6210.1900000000005</v>
          </cell>
        </row>
        <row r="65">
          <cell r="G65">
            <v>527.76</v>
          </cell>
        </row>
        <row r="70">
          <cell r="G70">
            <v>-4038.9</v>
          </cell>
        </row>
        <row r="71">
          <cell r="G71">
            <v>3.02</v>
          </cell>
        </row>
        <row r="72">
          <cell r="G72">
            <v>972.67</v>
          </cell>
        </row>
        <row r="73">
          <cell r="G73">
            <v>1557.45</v>
          </cell>
        </row>
        <row r="74">
          <cell r="G74">
            <v>999.16</v>
          </cell>
        </row>
        <row r="79">
          <cell r="G79">
            <v>-4346.1400000000003</v>
          </cell>
        </row>
        <row r="84">
          <cell r="G84">
            <v>0</v>
          </cell>
        </row>
        <row r="88">
          <cell r="G88">
            <v>290799.03999999998</v>
          </cell>
        </row>
        <row r="89">
          <cell r="G89">
            <v>38034.870000000003</v>
          </cell>
        </row>
        <row r="90">
          <cell r="G90">
            <v>78462.94</v>
          </cell>
        </row>
        <row r="91">
          <cell r="G91">
            <v>124692.04</v>
          </cell>
        </row>
        <row r="92">
          <cell r="G92">
            <v>63446.49</v>
          </cell>
        </row>
        <row r="96">
          <cell r="G96">
            <v>52503.4</v>
          </cell>
        </row>
        <row r="97">
          <cell r="G97">
            <v>-15937.83</v>
          </cell>
        </row>
        <row r="98">
          <cell r="G98">
            <v>100960.68000000001</v>
          </cell>
        </row>
        <row r="99">
          <cell r="G99">
            <v>-25184.92</v>
          </cell>
        </row>
        <row r="100">
          <cell r="G100">
            <v>3890.19</v>
          </cell>
        </row>
        <row r="104">
          <cell r="G104">
            <v>175685.81</v>
          </cell>
        </row>
        <row r="105">
          <cell r="G105">
            <v>40089.54</v>
          </cell>
        </row>
        <row r="106">
          <cell r="G106">
            <v>130701.12</v>
          </cell>
        </row>
        <row r="107">
          <cell r="G107">
            <v>89258.82</v>
          </cell>
        </row>
        <row r="108">
          <cell r="G108">
            <v>6494.52</v>
          </cell>
        </row>
        <row r="112">
          <cell r="G112">
            <v>-1712.1400000000003</v>
          </cell>
        </row>
        <row r="113">
          <cell r="G113">
            <v>0</v>
          </cell>
        </row>
        <row r="114">
          <cell r="G114">
            <v>0</v>
          </cell>
        </row>
        <row r="115">
          <cell r="G115">
            <v>0</v>
          </cell>
        </row>
        <row r="116">
          <cell r="G116">
            <v>0</v>
          </cell>
        </row>
        <row r="120">
          <cell r="G120">
            <v>143375.67999999999</v>
          </cell>
        </row>
        <row r="121">
          <cell r="G121">
            <v>21425.81</v>
          </cell>
        </row>
        <row r="122">
          <cell r="G122">
            <v>42352.71</v>
          </cell>
        </row>
        <row r="123">
          <cell r="G123">
            <v>71954.05</v>
          </cell>
        </row>
        <row r="124">
          <cell r="G124">
            <v>16985.669999999998</v>
          </cell>
        </row>
        <row r="128">
          <cell r="G128">
            <v>0</v>
          </cell>
        </row>
        <row r="129">
          <cell r="G129">
            <v>0</v>
          </cell>
        </row>
        <row r="130">
          <cell r="G130">
            <v>0</v>
          </cell>
        </row>
        <row r="131">
          <cell r="G131">
            <v>0</v>
          </cell>
        </row>
        <row r="132">
          <cell r="G132">
            <v>0</v>
          </cell>
        </row>
        <row r="136">
          <cell r="G136">
            <v>2019.33</v>
          </cell>
        </row>
        <row r="137">
          <cell r="G137">
            <v>0</v>
          </cell>
        </row>
        <row r="138">
          <cell r="G138">
            <v>959.28</v>
          </cell>
        </row>
        <row r="139">
          <cell r="G139">
            <v>1568.4</v>
          </cell>
        </row>
        <row r="140">
          <cell r="G140">
            <v>999.16</v>
          </cell>
        </row>
        <row r="185">
          <cell r="G185">
            <v>201939088.9147</v>
          </cell>
        </row>
        <row r="186">
          <cell r="G186">
            <v>56246827.012800001</v>
          </cell>
        </row>
        <row r="187">
          <cell r="G187">
            <v>96410730.746499971</v>
          </cell>
        </row>
        <row r="188">
          <cell r="G188">
            <v>156338420.49240002</v>
          </cell>
        </row>
        <row r="189">
          <cell r="G189">
            <v>49957863.223899998</v>
          </cell>
        </row>
      </sheetData>
      <sheetData sheetId="6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etro ST Rate Oct 2024"/>
      <sheetName val="Metro ST Rate Sep 2024"/>
      <sheetName val="Metro ST Rate Aug 2024"/>
      <sheetName val="Metro ST Rate July 2024"/>
      <sheetName val="Metro ST Rate June 2024"/>
      <sheetName val="Metro ST Rate May 2024"/>
    </sheetNames>
    <sheetDataSet>
      <sheetData sheetId="0">
        <row r="44">
          <cell r="E44">
            <v>4.9961500000000004E-3</v>
          </cell>
        </row>
      </sheetData>
      <sheetData sheetId="1">
        <row r="43">
          <cell r="E43">
            <v>5.1888699999999999E-3</v>
          </cell>
        </row>
      </sheetData>
      <sheetData sheetId="2">
        <row r="44">
          <cell r="E44">
            <v>5.4406000000000003E-3</v>
          </cell>
        </row>
      </sheetData>
      <sheetData sheetId="3">
        <row r="44">
          <cell r="E44">
            <v>5.46883E-3</v>
          </cell>
        </row>
      </sheetData>
      <sheetData sheetId="4">
        <row r="44">
          <cell r="E44">
            <v>5.4667700000000001E-3</v>
          </cell>
        </row>
      </sheetData>
      <sheetData sheetId="5">
        <row r="44">
          <cell r="E44">
            <v>5.4564799999999997E-3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vot - SI Project"/>
      <sheetName val="SI0000 Alloc"/>
      <sheetName val="SI Project Data"/>
      <sheetName val="Input"/>
      <sheetName val="Program Descriptions"/>
      <sheetName val="Sheet1"/>
    </sheetNames>
    <sheetDataSet>
      <sheetData sheetId="0">
        <row r="32">
          <cell r="N32">
            <v>608870.71</v>
          </cell>
          <cell r="O32">
            <v>658498.81000000006</v>
          </cell>
          <cell r="P32">
            <v>126913.37</v>
          </cell>
          <cell r="Q32">
            <v>114980.09</v>
          </cell>
          <cell r="R32">
            <v>26409.059999999921</v>
          </cell>
        </row>
      </sheetData>
      <sheetData sheetId="1"/>
      <sheetData sheetId="2"/>
      <sheetData sheetId="3"/>
      <sheetData sheetId="4"/>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vot - SI Project"/>
      <sheetName val="SI0000 Alloc"/>
      <sheetName val="SI Project Data"/>
      <sheetName val="Input"/>
      <sheetName val="Program Descriptions"/>
    </sheetNames>
    <sheetDataSet>
      <sheetData sheetId="0">
        <row r="32">
          <cell r="N32">
            <v>599997.53</v>
          </cell>
          <cell r="O32">
            <v>28834.37</v>
          </cell>
          <cell r="P32">
            <v>35205.839999999997</v>
          </cell>
          <cell r="Q32">
            <v>74640.209999999992</v>
          </cell>
          <cell r="R32">
            <v>9266.5900000000511</v>
          </cell>
        </row>
      </sheetData>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vot - SI Project"/>
      <sheetName val="SI0000 Alloc"/>
      <sheetName val="SI Project Data"/>
      <sheetName val="Input"/>
      <sheetName val="Program Descriptions"/>
    </sheetNames>
    <sheetDataSet>
      <sheetData sheetId="0">
        <row r="32">
          <cell r="N32">
            <v>1063916.22</v>
          </cell>
          <cell r="O32">
            <v>150110.25999999998</v>
          </cell>
          <cell r="P32">
            <v>249533.82</v>
          </cell>
          <cell r="Q32">
            <v>349645.29</v>
          </cell>
          <cell r="R32">
            <v>91602.230000000112</v>
          </cell>
        </row>
      </sheetData>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2B4A1-150A-49F4-9589-E4D8EEB24C17}">
  <dimension ref="A1:G75"/>
  <sheetViews>
    <sheetView workbookViewId="0">
      <pane xSplit="1" ySplit="4" topLeftCell="B5" activePane="bottomRight" state="frozen"/>
      <selection activeCell="C7" sqref="C7"/>
      <selection pane="topRight" activeCell="C7" sqref="C7"/>
      <selection pane="bottomLeft" activeCell="C7" sqref="C7"/>
      <selection pane="bottomRight" activeCell="B6" sqref="B6"/>
    </sheetView>
  </sheetViews>
  <sheetFormatPr defaultColWidth="9.1796875" defaultRowHeight="14.5" x14ac:dyDescent="0.35"/>
  <cols>
    <col min="1" max="1" width="17" style="63" bestFit="1" customWidth="1"/>
    <col min="2" max="2" width="62.26953125" style="359" customWidth="1"/>
    <col min="3" max="3" width="62.1796875" style="359" customWidth="1"/>
    <col min="4" max="5" width="9.1796875" style="39"/>
    <col min="6" max="6" width="29.7265625" style="39" customWidth="1"/>
    <col min="7" max="16384" width="9.1796875" style="39"/>
  </cols>
  <sheetData>
    <row r="1" spans="1:7" x14ac:dyDescent="0.35">
      <c r="A1" s="63" t="str">
        <f>+'PPC Cycle 3'!A1</f>
        <v>Evergy Metro, Inc. - DSIM Rider Update Filed 12/01/2024</v>
      </c>
    </row>
    <row r="4" spans="1:7" s="63" customFormat="1" x14ac:dyDescent="0.35">
      <c r="A4" s="360" t="s">
        <v>188</v>
      </c>
      <c r="B4" s="361" t="s">
        <v>190</v>
      </c>
      <c r="C4" s="361" t="s">
        <v>191</v>
      </c>
    </row>
    <row r="5" spans="1:7" s="346" customFormat="1" ht="29" x14ac:dyDescent="0.35">
      <c r="A5" s="362" t="s">
        <v>189</v>
      </c>
      <c r="B5" s="363" t="s">
        <v>263</v>
      </c>
      <c r="C5" s="363" t="s">
        <v>192</v>
      </c>
      <c r="F5" s="364"/>
      <c r="G5" s="347"/>
    </row>
    <row r="6" spans="1:7" s="346" customFormat="1" ht="29" x14ac:dyDescent="0.35">
      <c r="A6" s="362" t="s">
        <v>193</v>
      </c>
      <c r="B6" s="363" t="s">
        <v>194</v>
      </c>
      <c r="C6" s="363" t="s">
        <v>195</v>
      </c>
      <c r="F6" s="365"/>
      <c r="G6" s="347"/>
    </row>
    <row r="7" spans="1:7" s="346" customFormat="1" ht="87" x14ac:dyDescent="0.35">
      <c r="A7" s="362" t="s">
        <v>196</v>
      </c>
      <c r="B7" s="363" t="s">
        <v>264</v>
      </c>
      <c r="C7" s="363" t="s">
        <v>265</v>
      </c>
      <c r="F7" s="347"/>
      <c r="G7" s="347"/>
    </row>
    <row r="8" spans="1:7" s="346" customFormat="1" ht="87" x14ac:dyDescent="0.35">
      <c r="A8" s="362" t="s">
        <v>314</v>
      </c>
      <c r="B8" s="363" t="s">
        <v>315</v>
      </c>
      <c r="C8" s="363" t="s">
        <v>318</v>
      </c>
      <c r="F8" s="347"/>
      <c r="G8" s="347"/>
    </row>
    <row r="9" spans="1:7" s="346" customFormat="1" ht="72.5" x14ac:dyDescent="0.35">
      <c r="A9" s="362" t="s">
        <v>197</v>
      </c>
      <c r="B9" s="363" t="s">
        <v>266</v>
      </c>
      <c r="C9" s="363" t="s">
        <v>203</v>
      </c>
      <c r="F9" s="347"/>
      <c r="G9" s="347"/>
    </row>
    <row r="10" spans="1:7" s="346" customFormat="1" ht="130.5" x14ac:dyDescent="0.35">
      <c r="A10" s="362" t="s">
        <v>198</v>
      </c>
      <c r="B10" s="363" t="s">
        <v>325</v>
      </c>
      <c r="C10" s="363" t="s">
        <v>204</v>
      </c>
      <c r="F10" s="347"/>
      <c r="G10" s="347"/>
    </row>
    <row r="11" spans="1:7" s="346" customFormat="1" ht="130.5" x14ac:dyDescent="0.35">
      <c r="A11" s="362" t="s">
        <v>246</v>
      </c>
      <c r="B11" s="363" t="s">
        <v>247</v>
      </c>
      <c r="C11" s="363" t="s">
        <v>204</v>
      </c>
      <c r="F11" s="347"/>
      <c r="G11" s="347"/>
    </row>
    <row r="12" spans="1:7" s="346" customFormat="1" ht="43.5" x14ac:dyDescent="0.35">
      <c r="A12" s="362" t="s">
        <v>199</v>
      </c>
      <c r="B12" s="363" t="s">
        <v>267</v>
      </c>
      <c r="C12" s="363" t="s">
        <v>268</v>
      </c>
      <c r="F12" s="347"/>
      <c r="G12" s="347"/>
    </row>
    <row r="13" spans="1:7" s="346" customFormat="1" ht="72.5" x14ac:dyDescent="0.35">
      <c r="A13" s="362" t="s">
        <v>200</v>
      </c>
      <c r="B13" s="363" t="s">
        <v>269</v>
      </c>
      <c r="C13" s="363" t="s">
        <v>270</v>
      </c>
      <c r="F13" s="347"/>
      <c r="G13" s="347"/>
    </row>
    <row r="14" spans="1:7" s="346" customFormat="1" ht="58" x14ac:dyDescent="0.35">
      <c r="A14" s="362" t="s">
        <v>316</v>
      </c>
      <c r="B14" s="363" t="s">
        <v>317</v>
      </c>
      <c r="C14" s="363" t="s">
        <v>319</v>
      </c>
      <c r="F14" s="347"/>
      <c r="G14" s="347"/>
    </row>
    <row r="15" spans="1:7" s="346" customFormat="1" ht="204.75" customHeight="1" x14ac:dyDescent="0.35">
      <c r="A15" s="362" t="s">
        <v>201</v>
      </c>
      <c r="B15" s="363" t="s">
        <v>235</v>
      </c>
      <c r="C15" s="363" t="s">
        <v>217</v>
      </c>
      <c r="F15" s="366"/>
      <c r="G15" s="347"/>
    </row>
    <row r="16" spans="1:7" s="346" customFormat="1" ht="238.5" customHeight="1" x14ac:dyDescent="0.35">
      <c r="A16" s="362" t="s">
        <v>202</v>
      </c>
      <c r="B16" s="363" t="s">
        <v>271</v>
      </c>
      <c r="C16" s="363" t="s">
        <v>216</v>
      </c>
      <c r="F16" s="347"/>
      <c r="G16" s="347"/>
    </row>
    <row r="17" spans="1:4" s="346" customFormat="1" ht="220.5" customHeight="1" x14ac:dyDescent="0.35">
      <c r="A17" s="362" t="s">
        <v>205</v>
      </c>
      <c r="B17" s="363" t="s">
        <v>272</v>
      </c>
      <c r="C17" s="363" t="s">
        <v>220</v>
      </c>
    </row>
    <row r="18" spans="1:4" s="346" customFormat="1" ht="200.5" customHeight="1" x14ac:dyDescent="0.35">
      <c r="A18" s="362" t="s">
        <v>206</v>
      </c>
      <c r="B18" s="363" t="s">
        <v>326</v>
      </c>
      <c r="C18" s="367" t="s">
        <v>334</v>
      </c>
      <c r="D18" s="368"/>
    </row>
    <row r="19" spans="1:4" s="346" customFormat="1" ht="111" customHeight="1" x14ac:dyDescent="0.35">
      <c r="A19" s="362" t="s">
        <v>207</v>
      </c>
      <c r="B19" s="363" t="s">
        <v>273</v>
      </c>
      <c r="C19" s="363" t="s">
        <v>218</v>
      </c>
    </row>
    <row r="20" spans="1:4" s="346" customFormat="1" ht="107.25" customHeight="1" x14ac:dyDescent="0.35">
      <c r="A20" s="362" t="s">
        <v>208</v>
      </c>
      <c r="B20" s="363" t="s">
        <v>320</v>
      </c>
      <c r="C20" s="363" t="s">
        <v>219</v>
      </c>
      <c r="D20" s="368"/>
    </row>
    <row r="21" spans="1:4" s="346" customFormat="1" ht="34.5" customHeight="1" x14ac:dyDescent="0.35">
      <c r="A21" s="362" t="s">
        <v>209</v>
      </c>
      <c r="B21" s="363" t="s">
        <v>274</v>
      </c>
      <c r="C21" s="363" t="s">
        <v>275</v>
      </c>
    </row>
    <row r="22" spans="1:4" s="346" customFormat="1" ht="34.5" customHeight="1" x14ac:dyDescent="0.35">
      <c r="A22" s="362" t="s">
        <v>210</v>
      </c>
      <c r="B22" s="363" t="s">
        <v>276</v>
      </c>
      <c r="C22" s="363" t="s">
        <v>277</v>
      </c>
    </row>
    <row r="23" spans="1:4" s="346" customFormat="1" ht="78.75" customHeight="1" x14ac:dyDescent="0.35">
      <c r="A23" s="362" t="s">
        <v>211</v>
      </c>
      <c r="B23" s="363" t="s">
        <v>278</v>
      </c>
      <c r="C23" s="363" t="s">
        <v>213</v>
      </c>
    </row>
    <row r="24" spans="1:4" s="346" customFormat="1" ht="72.5" x14ac:dyDescent="0.35">
      <c r="A24" s="362" t="s">
        <v>212</v>
      </c>
      <c r="B24" s="363" t="s">
        <v>279</v>
      </c>
      <c r="C24" s="363" t="s">
        <v>213</v>
      </c>
    </row>
    <row r="25" spans="1:4" s="346" customFormat="1" x14ac:dyDescent="0.35">
      <c r="A25" s="369"/>
      <c r="B25" s="370"/>
      <c r="C25" s="370"/>
    </row>
    <row r="26" spans="1:4" s="346" customFormat="1" x14ac:dyDescent="0.35">
      <c r="A26" s="369"/>
      <c r="B26" s="370"/>
      <c r="C26" s="370"/>
    </row>
    <row r="27" spans="1:4" s="346" customFormat="1" x14ac:dyDescent="0.35">
      <c r="A27" s="369"/>
      <c r="B27" s="370"/>
      <c r="C27" s="370"/>
    </row>
    <row r="28" spans="1:4" s="346" customFormat="1" x14ac:dyDescent="0.35">
      <c r="A28" s="369"/>
      <c r="B28" s="370"/>
      <c r="C28" s="370"/>
    </row>
    <row r="29" spans="1:4" s="346" customFormat="1" x14ac:dyDescent="0.35">
      <c r="A29" s="369"/>
      <c r="B29" s="370"/>
      <c r="C29" s="370"/>
    </row>
    <row r="30" spans="1:4" s="346" customFormat="1" x14ac:dyDescent="0.35">
      <c r="A30" s="369"/>
      <c r="B30" s="370"/>
      <c r="C30" s="370"/>
    </row>
    <row r="31" spans="1:4" s="346" customFormat="1" x14ac:dyDescent="0.35">
      <c r="A31" s="369"/>
      <c r="B31" s="370"/>
      <c r="C31" s="370"/>
    </row>
    <row r="32" spans="1:4" s="346" customFormat="1" x14ac:dyDescent="0.35">
      <c r="A32" s="369"/>
      <c r="B32" s="370"/>
      <c r="C32" s="370"/>
    </row>
    <row r="33" spans="1:3" s="346" customFormat="1" x14ac:dyDescent="0.35">
      <c r="A33" s="369"/>
      <c r="B33" s="370"/>
      <c r="C33" s="370"/>
    </row>
    <row r="34" spans="1:3" s="346" customFormat="1" x14ac:dyDescent="0.35">
      <c r="A34" s="369"/>
      <c r="B34" s="370"/>
      <c r="C34" s="370"/>
    </row>
    <row r="35" spans="1:3" s="346" customFormat="1" x14ac:dyDescent="0.35">
      <c r="A35" s="369"/>
      <c r="B35" s="370"/>
      <c r="C35" s="370"/>
    </row>
    <row r="36" spans="1:3" s="346" customFormat="1" x14ac:dyDescent="0.35">
      <c r="A36" s="369"/>
      <c r="B36" s="370"/>
      <c r="C36" s="370"/>
    </row>
    <row r="37" spans="1:3" s="346" customFormat="1" x14ac:dyDescent="0.35">
      <c r="A37" s="369"/>
      <c r="B37" s="370"/>
      <c r="C37" s="370"/>
    </row>
    <row r="38" spans="1:3" s="346" customFormat="1" x14ac:dyDescent="0.35">
      <c r="A38" s="369"/>
      <c r="B38" s="370"/>
      <c r="C38" s="370"/>
    </row>
    <row r="39" spans="1:3" s="346" customFormat="1" x14ac:dyDescent="0.35">
      <c r="A39" s="369"/>
      <c r="B39" s="370"/>
      <c r="C39" s="370"/>
    </row>
    <row r="40" spans="1:3" s="346" customFormat="1" x14ac:dyDescent="0.35">
      <c r="A40" s="369"/>
      <c r="B40" s="370"/>
      <c r="C40" s="370"/>
    </row>
    <row r="41" spans="1:3" s="346" customFormat="1" x14ac:dyDescent="0.35">
      <c r="A41" s="369"/>
      <c r="B41" s="370"/>
      <c r="C41" s="370"/>
    </row>
    <row r="42" spans="1:3" s="346" customFormat="1" x14ac:dyDescent="0.35">
      <c r="A42" s="369"/>
      <c r="B42" s="370"/>
      <c r="C42" s="370"/>
    </row>
    <row r="43" spans="1:3" s="346" customFormat="1" x14ac:dyDescent="0.35">
      <c r="A43" s="369"/>
      <c r="B43" s="370"/>
      <c r="C43" s="370"/>
    </row>
    <row r="44" spans="1:3" s="346" customFormat="1" x14ac:dyDescent="0.35">
      <c r="A44" s="369"/>
      <c r="B44" s="370"/>
      <c r="C44" s="370"/>
    </row>
    <row r="45" spans="1:3" s="346" customFormat="1" x14ac:dyDescent="0.35">
      <c r="A45" s="369"/>
      <c r="B45" s="370"/>
      <c r="C45" s="370"/>
    </row>
    <row r="46" spans="1:3" s="346" customFormat="1" x14ac:dyDescent="0.35">
      <c r="A46" s="369"/>
      <c r="B46" s="370"/>
      <c r="C46" s="370"/>
    </row>
    <row r="47" spans="1:3" s="346" customFormat="1" x14ac:dyDescent="0.35">
      <c r="A47" s="369"/>
      <c r="B47" s="370"/>
      <c r="C47" s="370"/>
    </row>
    <row r="48" spans="1:3" s="346" customFormat="1" x14ac:dyDescent="0.35">
      <c r="A48" s="369"/>
      <c r="B48" s="370"/>
      <c r="C48" s="370"/>
    </row>
    <row r="49" spans="1:3" s="346" customFormat="1" x14ac:dyDescent="0.35">
      <c r="A49" s="369"/>
      <c r="B49" s="370"/>
      <c r="C49" s="370"/>
    </row>
    <row r="50" spans="1:3" s="346" customFormat="1" x14ac:dyDescent="0.35">
      <c r="A50" s="369"/>
      <c r="B50" s="370"/>
      <c r="C50" s="370"/>
    </row>
    <row r="51" spans="1:3" s="346" customFormat="1" x14ac:dyDescent="0.35">
      <c r="A51" s="369"/>
      <c r="B51" s="370"/>
      <c r="C51" s="370"/>
    </row>
    <row r="52" spans="1:3" s="346" customFormat="1" x14ac:dyDescent="0.35">
      <c r="A52" s="369"/>
      <c r="B52" s="370"/>
      <c r="C52" s="370"/>
    </row>
    <row r="53" spans="1:3" s="346" customFormat="1" x14ac:dyDescent="0.35">
      <c r="A53" s="369"/>
      <c r="B53" s="370"/>
      <c r="C53" s="370"/>
    </row>
    <row r="54" spans="1:3" s="346" customFormat="1" x14ac:dyDescent="0.35">
      <c r="A54" s="369"/>
      <c r="B54" s="370"/>
      <c r="C54" s="370"/>
    </row>
    <row r="55" spans="1:3" s="346" customFormat="1" x14ac:dyDescent="0.35">
      <c r="A55" s="369"/>
      <c r="B55" s="370"/>
      <c r="C55" s="370"/>
    </row>
    <row r="56" spans="1:3" s="346" customFormat="1" x14ac:dyDescent="0.35">
      <c r="A56" s="369"/>
      <c r="B56" s="370"/>
      <c r="C56" s="370"/>
    </row>
    <row r="57" spans="1:3" s="346" customFormat="1" x14ac:dyDescent="0.35">
      <c r="A57" s="369"/>
      <c r="B57" s="370"/>
      <c r="C57" s="370"/>
    </row>
    <row r="58" spans="1:3" s="346" customFormat="1" x14ac:dyDescent="0.35">
      <c r="A58" s="369"/>
      <c r="B58" s="370"/>
      <c r="C58" s="370"/>
    </row>
    <row r="59" spans="1:3" s="346" customFormat="1" x14ac:dyDescent="0.35">
      <c r="A59" s="369"/>
      <c r="B59" s="370"/>
      <c r="C59" s="370"/>
    </row>
    <row r="60" spans="1:3" s="346" customFormat="1" x14ac:dyDescent="0.35">
      <c r="A60" s="369"/>
      <c r="B60" s="370"/>
      <c r="C60" s="370"/>
    </row>
    <row r="61" spans="1:3" s="346" customFormat="1" x14ac:dyDescent="0.35">
      <c r="A61" s="369"/>
      <c r="B61" s="370"/>
      <c r="C61" s="370"/>
    </row>
    <row r="62" spans="1:3" s="346" customFormat="1" x14ac:dyDescent="0.35">
      <c r="A62" s="369"/>
      <c r="B62" s="370"/>
      <c r="C62" s="370"/>
    </row>
    <row r="63" spans="1:3" s="346" customFormat="1" x14ac:dyDescent="0.35">
      <c r="A63" s="369"/>
      <c r="B63" s="370"/>
      <c r="C63" s="370"/>
    </row>
    <row r="64" spans="1:3" s="346" customFormat="1" x14ac:dyDescent="0.35">
      <c r="A64" s="369"/>
      <c r="B64" s="370"/>
      <c r="C64" s="370"/>
    </row>
    <row r="65" spans="1:3" s="346" customFormat="1" x14ac:dyDescent="0.35">
      <c r="A65" s="369"/>
      <c r="B65" s="370"/>
      <c r="C65" s="370"/>
    </row>
    <row r="66" spans="1:3" s="346" customFormat="1" x14ac:dyDescent="0.35">
      <c r="A66" s="369"/>
      <c r="B66" s="370"/>
      <c r="C66" s="370"/>
    </row>
    <row r="67" spans="1:3" s="346" customFormat="1" x14ac:dyDescent="0.35">
      <c r="A67" s="369"/>
      <c r="B67" s="370"/>
      <c r="C67" s="370"/>
    </row>
    <row r="68" spans="1:3" s="346" customFormat="1" x14ac:dyDescent="0.35">
      <c r="A68" s="369"/>
      <c r="B68" s="370"/>
      <c r="C68" s="370"/>
    </row>
    <row r="69" spans="1:3" s="346" customFormat="1" x14ac:dyDescent="0.35">
      <c r="A69" s="369"/>
      <c r="B69" s="370"/>
      <c r="C69" s="370"/>
    </row>
    <row r="70" spans="1:3" s="346" customFormat="1" x14ac:dyDescent="0.35">
      <c r="A70" s="369"/>
      <c r="B70" s="370"/>
      <c r="C70" s="370"/>
    </row>
    <row r="71" spans="1:3" s="346" customFormat="1" x14ac:dyDescent="0.35">
      <c r="A71" s="369"/>
      <c r="B71" s="370"/>
      <c r="C71" s="370"/>
    </row>
    <row r="72" spans="1:3" s="346" customFormat="1" x14ac:dyDescent="0.35">
      <c r="A72" s="369"/>
      <c r="B72" s="370"/>
      <c r="C72" s="370"/>
    </row>
    <row r="73" spans="1:3" s="346" customFormat="1" x14ac:dyDescent="0.35">
      <c r="A73" s="369"/>
      <c r="B73" s="370"/>
      <c r="C73" s="370"/>
    </row>
    <row r="74" spans="1:3" s="346" customFormat="1" x14ac:dyDescent="0.35">
      <c r="A74" s="369"/>
      <c r="B74" s="370"/>
      <c r="C74" s="370"/>
    </row>
    <row r="75" spans="1:3" s="346" customFormat="1" x14ac:dyDescent="0.35">
      <c r="A75" s="369"/>
      <c r="B75" s="370"/>
      <c r="C75" s="370"/>
    </row>
  </sheetData>
  <phoneticPr fontId="41" type="noConversion"/>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1DA52-1042-45D8-A4CB-A6813B156E39}">
  <sheetPr>
    <pageSetUpPr fitToPage="1"/>
  </sheetPr>
  <dimension ref="A1:W39"/>
  <sheetViews>
    <sheetView workbookViewId="0">
      <selection activeCell="I5" sqref="I5"/>
    </sheetView>
  </sheetViews>
  <sheetFormatPr defaultColWidth="9.1796875" defaultRowHeight="14.5" x14ac:dyDescent="0.35"/>
  <cols>
    <col min="1" max="1" width="24.7265625" style="46" customWidth="1"/>
    <col min="2" max="2" width="16.1796875" style="46" customWidth="1"/>
    <col min="3" max="3" width="15.1796875" style="46" customWidth="1"/>
    <col min="4" max="4" width="12.54296875" style="46" bestFit="1" customWidth="1"/>
    <col min="5" max="5" width="13.26953125" style="46" customWidth="1"/>
    <col min="6" max="6" width="11.54296875" style="46" customWidth="1"/>
    <col min="7" max="16384" width="9.1796875" style="46"/>
  </cols>
  <sheetData>
    <row r="1" spans="1:23" x14ac:dyDescent="0.35">
      <c r="A1" s="3" t="str">
        <f>+'PPC Cycle 3'!A1</f>
        <v>Evergy Metro, Inc. - DSIM Rider Update Filed 12/01/2024</v>
      </c>
    </row>
    <row r="2" spans="1:23" x14ac:dyDescent="0.35">
      <c r="A2" s="9" t="str">
        <f>+'PPC Cycle 3'!A2</f>
        <v>Projections for Cycle 3 January 2025 - December 2025 DSIM</v>
      </c>
    </row>
    <row r="3" spans="1:23" x14ac:dyDescent="0.35">
      <c r="A3" s="9"/>
    </row>
    <row r="4" spans="1:23" ht="40.5" customHeight="1" x14ac:dyDescent="0.35">
      <c r="B4" s="374" t="s">
        <v>111</v>
      </c>
      <c r="C4" s="374"/>
    </row>
    <row r="5" spans="1:23" ht="87" x14ac:dyDescent="0.35">
      <c r="B5" s="147" t="s">
        <v>64</v>
      </c>
      <c r="C5" s="48" t="s">
        <v>29</v>
      </c>
      <c r="D5" s="275" t="str">
        <f>+'PPC Cycle 3'!D4</f>
        <v>3. Cycle 3 PY5 Extension- January 2025 - December 2025</v>
      </c>
      <c r="E5" s="275" t="s">
        <v>297</v>
      </c>
      <c r="F5" s="275" t="s">
        <v>296</v>
      </c>
    </row>
    <row r="6" spans="1:23" x14ac:dyDescent="0.35">
      <c r="A6" s="20" t="s">
        <v>24</v>
      </c>
      <c r="B6" s="23">
        <f>ROUND(SUM('[13]Summary Monthly TD Calc'!$Z18:$AK18),4)</f>
        <v>38232301.448799998</v>
      </c>
      <c r="C6" s="86">
        <f ca="1">SUM(OFFSET(C6,0,1):OFFSET(G6,0,-1))</f>
        <v>2473805.52</v>
      </c>
      <c r="D6" s="225">
        <f>ROUND(+SUM('[13]Monthly TD Calc-PY5'!$BM711:$BX711),2)</f>
        <v>369110.95</v>
      </c>
      <c r="E6" s="225">
        <f>ROUND(+SUM('[13]Monthly TD Calc-PY4'!$BM575:$BX575),2)</f>
        <v>665090.56999999995</v>
      </c>
      <c r="F6" s="225">
        <f>ROUND(SUM('[13]Monthly TD Calc-PY1-3'!$BM563:$BX563),2)</f>
        <v>1439604</v>
      </c>
    </row>
    <row r="7" spans="1:23" x14ac:dyDescent="0.35">
      <c r="A7" s="20" t="s">
        <v>104</v>
      </c>
      <c r="B7" s="23">
        <f>ROUND(SUM('[13]Summary Monthly TD Calc'!$Z19:$AK19),4)</f>
        <v>13291113.1982</v>
      </c>
      <c r="C7" s="86">
        <f ca="1">SUM(OFFSET(C7,0,1):OFFSET(G7,0,-1))</f>
        <v>867796.8</v>
      </c>
      <c r="D7" s="225">
        <f>ROUND(+SUM('[13]Monthly TD Calc-PY5'!$BM712:$BX712),2)</f>
        <v>549459.04</v>
      </c>
      <c r="E7" s="225">
        <f>ROUND(+SUM('[13]Monthly TD Calc-PY4'!$BM576:$BX576),2)</f>
        <v>84656.47</v>
      </c>
      <c r="F7" s="225">
        <f>ROUND(SUM('[13]Monthly TD Calc-PY1-3'!$BM564:$BX564),2)</f>
        <v>233681.29</v>
      </c>
    </row>
    <row r="8" spans="1:23" x14ac:dyDescent="0.35">
      <c r="A8" s="20" t="s">
        <v>105</v>
      </c>
      <c r="B8" s="23">
        <f>ROUND(SUM('[13]Summary Monthly TD Calc'!$Z20:$AK20),4)</f>
        <v>30488182.987199999</v>
      </c>
      <c r="C8" s="86">
        <f ca="1">SUM(OFFSET(C8,0,1):OFFSET(G8,0,-1))</f>
        <v>1427600.9300000002</v>
      </c>
      <c r="D8" s="225">
        <f>ROUND(+SUM('[13]Monthly TD Calc-PY5'!$BM713:$BX713),2)</f>
        <v>499028.26</v>
      </c>
      <c r="E8" s="225">
        <f>ROUND(+SUM('[13]Monthly TD Calc-PY4'!$BM577:$BX577),2)</f>
        <v>473253.56</v>
      </c>
      <c r="F8" s="225">
        <f>ROUND(SUM('[13]Monthly TD Calc-PY1-3'!$BM565:$BX565),2)</f>
        <v>455319.11</v>
      </c>
    </row>
    <row r="9" spans="1:23" x14ac:dyDescent="0.35">
      <c r="A9" s="20" t="s">
        <v>106</v>
      </c>
      <c r="B9" s="23">
        <f>ROUND(SUM('[13]Summary Monthly TD Calc'!$Z21:$AK21),4)</f>
        <v>35745541.489200003</v>
      </c>
      <c r="C9" s="86">
        <f ca="1">SUM(OFFSET(C9,0,1):OFFSET(G9,0,-1))</f>
        <v>1057393.83</v>
      </c>
      <c r="D9" s="225">
        <f>ROUND(+SUM('[13]Monthly TD Calc-PY5'!$BM714:$BX714),2)</f>
        <v>284618.44</v>
      </c>
      <c r="E9" s="225">
        <f>ROUND(+SUM('[13]Monthly TD Calc-PY4'!$BM578:$BX578),2)</f>
        <v>357544.3</v>
      </c>
      <c r="F9" s="225">
        <f>ROUND(SUM('[13]Monthly TD Calc-PY1-3'!$BM566:$BX566),2)</f>
        <v>415231.09</v>
      </c>
    </row>
    <row r="10" spans="1:23" x14ac:dyDescent="0.35">
      <c r="A10" s="20" t="s">
        <v>107</v>
      </c>
      <c r="B10" s="23">
        <f>ROUND(SUM('[13]Summary Monthly TD Calc'!$Z22:$AK22),4)</f>
        <v>6222946.2965000002</v>
      </c>
      <c r="C10" s="86">
        <f ca="1">SUM(OFFSET(C10,0,1):OFFSET(G10,0,-1))</f>
        <v>75991.839999999997</v>
      </c>
      <c r="D10" s="225">
        <f>ROUND(+SUM('[13]Monthly TD Calc-PY5'!$BM715:$BX715),2)</f>
        <v>29375.759999999998</v>
      </c>
      <c r="E10" s="225">
        <f>ROUND(+SUM('[13]Monthly TD Calc-PY4'!$BM579:$BX579),2)</f>
        <v>24374.54</v>
      </c>
      <c r="F10" s="225">
        <f>ROUND(SUM('[13]Monthly TD Calc-PY1-3'!$BM567:$BX567),2)</f>
        <v>22241.54</v>
      </c>
    </row>
    <row r="11" spans="1:23" x14ac:dyDescent="0.35">
      <c r="A11" s="30" t="s">
        <v>5</v>
      </c>
      <c r="B11" s="24">
        <f>SUM(B6:B10)</f>
        <v>123980085.4199</v>
      </c>
      <c r="C11" s="279">
        <f ca="1">SUM(C6:C10)</f>
        <v>5902588.9199999999</v>
      </c>
      <c r="D11" s="279">
        <f t="shared" ref="D11" si="0">SUM(D6:D10)</f>
        <v>1731592.45</v>
      </c>
      <c r="E11" s="279">
        <f>SUM(E6:E10)</f>
        <v>1604919.44</v>
      </c>
      <c r="F11" s="279">
        <f t="shared" ref="F11" si="1">SUM(F6:F10)</f>
        <v>2566077.0299999998</v>
      </c>
    </row>
    <row r="13" spans="1:23" x14ac:dyDescent="0.35">
      <c r="A13" s="69" t="s">
        <v>30</v>
      </c>
      <c r="B13" s="20"/>
      <c r="C13" s="21"/>
      <c r="N13" s="1"/>
      <c r="O13" s="1"/>
      <c r="P13" s="1"/>
      <c r="Q13" s="1"/>
      <c r="R13" s="1"/>
      <c r="S13" s="1"/>
      <c r="T13" s="1"/>
      <c r="U13" s="1"/>
      <c r="V13" s="1"/>
      <c r="W13" s="1"/>
    </row>
    <row r="14" spans="1:23" s="39" customFormat="1" ht="45" customHeight="1" x14ac:dyDescent="0.35">
      <c r="A14" s="373" t="s">
        <v>292</v>
      </c>
      <c r="B14" s="373"/>
      <c r="C14" s="373"/>
      <c r="D14" s="373"/>
      <c r="E14" s="373"/>
      <c r="F14" s="278"/>
      <c r="G14" s="278"/>
      <c r="H14" s="278"/>
      <c r="I14" s="278"/>
      <c r="J14" s="278"/>
      <c r="K14" s="278"/>
      <c r="L14" s="278"/>
      <c r="M14" s="278"/>
    </row>
    <row r="15" spans="1:23" s="39" customFormat="1" x14ac:dyDescent="0.35">
      <c r="A15" s="375" t="s">
        <v>260</v>
      </c>
      <c r="B15" s="375"/>
      <c r="C15" s="375"/>
      <c r="D15" s="375"/>
      <c r="E15" s="375"/>
      <c r="F15" s="375"/>
      <c r="G15" s="375"/>
      <c r="H15" s="375"/>
      <c r="I15" s="375"/>
      <c r="J15" s="375"/>
      <c r="K15" s="375"/>
      <c r="L15" s="375"/>
      <c r="M15" s="375"/>
    </row>
    <row r="16" spans="1:23" ht="29.25" customHeight="1" x14ac:dyDescent="0.35">
      <c r="A16" s="388" t="s">
        <v>293</v>
      </c>
      <c r="B16" s="388"/>
      <c r="C16" s="388"/>
      <c r="D16" s="388"/>
      <c r="E16" s="388"/>
      <c r="F16" s="278"/>
      <c r="G16" s="278"/>
      <c r="H16" s="278"/>
      <c r="I16" s="278"/>
      <c r="J16" s="278"/>
      <c r="K16" s="278"/>
      <c r="L16" s="278"/>
      <c r="M16" s="278"/>
    </row>
    <row r="17" spans="1:13" ht="27.75" customHeight="1" x14ac:dyDescent="0.35">
      <c r="A17" s="373" t="s">
        <v>294</v>
      </c>
      <c r="B17" s="373"/>
      <c r="C17" s="373"/>
      <c r="D17" s="373"/>
      <c r="E17" s="373"/>
      <c r="F17" s="278"/>
      <c r="G17" s="278"/>
      <c r="H17" s="278"/>
      <c r="I17" s="278"/>
      <c r="J17" s="278"/>
      <c r="K17" s="278"/>
      <c r="L17" s="278"/>
      <c r="M17" s="278"/>
    </row>
    <row r="18" spans="1:13" ht="31.5" customHeight="1" x14ac:dyDescent="0.35">
      <c r="A18" s="373" t="s">
        <v>295</v>
      </c>
      <c r="B18" s="373"/>
      <c r="C18" s="373"/>
      <c r="D18" s="373"/>
      <c r="E18" s="373"/>
      <c r="G18" s="278"/>
    </row>
    <row r="35" spans="2:3" x14ac:dyDescent="0.35">
      <c r="B35" s="8"/>
      <c r="C35" s="8"/>
    </row>
    <row r="39" spans="2:3" x14ac:dyDescent="0.35">
      <c r="B39" s="8"/>
      <c r="C39" s="8"/>
    </row>
  </sheetData>
  <mergeCells count="6">
    <mergeCell ref="A18:E18"/>
    <mergeCell ref="B4:C4"/>
    <mergeCell ref="A15:M15"/>
    <mergeCell ref="A14:E14"/>
    <mergeCell ref="A16:E16"/>
    <mergeCell ref="A17:E17"/>
  </mergeCells>
  <pageMargins left="0.2" right="0.2" top="0.75" bottom="0.25" header="0.3" footer="0.3"/>
  <pageSetup scale="88" orientation="landscape" r:id="rId1"/>
  <headerFooter>
    <oddHeader>&amp;C&amp;F &amp;A&amp;R&amp;"Arial"&amp;10&amp;K000000CONFIDENTIAL</oddHeader>
    <oddFooter>&amp;R&amp;1#&amp;"Calibri"&amp;10&amp;KA80000Internal Use Only</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C97A9-86F0-4DC5-B0B7-D5AE2D28BC10}">
  <sheetPr>
    <pageSetUpPr fitToPage="1"/>
  </sheetPr>
  <dimension ref="A1:W37"/>
  <sheetViews>
    <sheetView workbookViewId="0">
      <selection activeCell="I14" sqref="I14"/>
    </sheetView>
  </sheetViews>
  <sheetFormatPr defaultColWidth="9.1796875" defaultRowHeight="14.5" x14ac:dyDescent="0.35"/>
  <cols>
    <col min="1" max="1" width="24.7265625" style="46" customWidth="1"/>
    <col min="2" max="2" width="16.1796875" style="46" customWidth="1"/>
    <col min="3" max="3" width="15.1796875" style="46" customWidth="1"/>
    <col min="4" max="4" width="12.54296875" style="46" bestFit="1" customWidth="1"/>
    <col min="5" max="5" width="13.26953125" style="46" customWidth="1"/>
    <col min="6" max="6" width="11.54296875" style="46" customWidth="1"/>
    <col min="7" max="16384" width="9.1796875" style="46"/>
  </cols>
  <sheetData>
    <row r="1" spans="1:23" x14ac:dyDescent="0.35">
      <c r="A1" s="3" t="str">
        <f>+'PPC Cycle 3'!A1</f>
        <v>Evergy Metro, Inc. - DSIM Rider Update Filed 12/01/2024</v>
      </c>
    </row>
    <row r="2" spans="1:23" x14ac:dyDescent="0.35">
      <c r="A2" s="9" t="str">
        <f>+'PPC Cycle 4'!A2</f>
        <v>Projections for Cycle 4 January 2025 - December 2025 DSIM</v>
      </c>
    </row>
    <row r="3" spans="1:23" x14ac:dyDescent="0.35">
      <c r="A3" s="9"/>
    </row>
    <row r="4" spans="1:23" ht="40.5" customHeight="1" x14ac:dyDescent="0.35">
      <c r="B4" s="374" t="s">
        <v>291</v>
      </c>
      <c r="C4" s="374"/>
    </row>
    <row r="5" spans="1:23" ht="58" x14ac:dyDescent="0.35">
      <c r="B5" s="147" t="s">
        <v>64</v>
      </c>
      <c r="C5" s="372" t="s">
        <v>29</v>
      </c>
      <c r="D5" s="344" t="str">
        <f>+'PPC Cycle 4'!D4</f>
        <v>3. Cycle 4 PY1- January 2025 - December 2025</v>
      </c>
    </row>
    <row r="6" spans="1:23" x14ac:dyDescent="0.35">
      <c r="A6" s="20" t="s">
        <v>24</v>
      </c>
      <c r="B6" s="23">
        <f>ROUND(SUM('[3]Monthly TD Calc TOU'!$F749:$Q749),4)</f>
        <v>2825435.4764999999</v>
      </c>
      <c r="C6" s="86">
        <f ca="1">SUM(OFFSET(C6,0,1):OFFSET(E6,0,-1))</f>
        <v>290111.64</v>
      </c>
      <c r="D6" s="225">
        <f>ROUND(+SUM('[3]Monthly TD Calc TOU'!$F716:$Q716),2)</f>
        <v>290111.64</v>
      </c>
    </row>
    <row r="7" spans="1:23" x14ac:dyDescent="0.35">
      <c r="A7" s="20" t="s">
        <v>104</v>
      </c>
      <c r="B7" s="23">
        <f>ROUND(SUM('[3]Monthly TD Calc TOU'!$F750:$Q750),4)</f>
        <v>310748.68229999999</v>
      </c>
      <c r="C7" s="86">
        <f ca="1">SUM(OFFSET(C7,0,1):OFFSET(E7,0,-1))</f>
        <v>14814.5</v>
      </c>
      <c r="D7" s="225">
        <f>ROUND(+SUM('[3]Monthly TD Calc TOU'!$F717:$Q717),2)</f>
        <v>14814.5</v>
      </c>
    </row>
    <row r="8" spans="1:23" x14ac:dyDescent="0.35">
      <c r="A8" s="20" t="s">
        <v>105</v>
      </c>
      <c r="B8" s="23">
        <f>ROUND(SUM('[3]Monthly TD Calc TOU'!$F751:$Q751),4)</f>
        <v>550305.75600000005</v>
      </c>
      <c r="C8" s="86">
        <f ca="1">SUM(OFFSET(C8,0,1):OFFSET(E8,0,-1))</f>
        <v>26235.03</v>
      </c>
      <c r="D8" s="225">
        <f>ROUND(+SUM('[3]Monthly TD Calc TOU'!$F718:$Q718),2)</f>
        <v>26235.03</v>
      </c>
    </row>
    <row r="9" spans="1:23" x14ac:dyDescent="0.35">
      <c r="A9" s="20" t="s">
        <v>106</v>
      </c>
      <c r="B9" s="23">
        <f>ROUND(SUM('[3]Monthly TD Calc TOU'!$F752:$Q752),4)</f>
        <v>892069.32330000005</v>
      </c>
      <c r="C9" s="86">
        <f ca="1">SUM(OFFSET(C9,0,1):OFFSET(E9,0,-1))</f>
        <v>42528.12</v>
      </c>
      <c r="D9" s="225">
        <f>ROUND(+SUM('[3]Monthly TD Calc TOU'!$F719:$Q719),2)</f>
        <v>42528.12</v>
      </c>
    </row>
    <row r="10" spans="1:23" x14ac:dyDescent="0.35">
      <c r="A10" s="20" t="s">
        <v>107</v>
      </c>
      <c r="B10" s="23">
        <f>ROUND(SUM('[3]Monthly TD Calc TOU'!$F753:$Q753),4)</f>
        <v>250732.8247</v>
      </c>
      <c r="C10" s="86">
        <f ca="1">SUM(OFFSET(C10,0,1):OFFSET(E10,0,-1))</f>
        <v>11953.32</v>
      </c>
      <c r="D10" s="225">
        <f>ROUND(+SUM('[3]Monthly TD Calc TOU'!$F720:$Q720),2)</f>
        <v>11953.32</v>
      </c>
    </row>
    <row r="11" spans="1:23" x14ac:dyDescent="0.35">
      <c r="A11" s="30" t="s">
        <v>5</v>
      </c>
      <c r="B11" s="24">
        <f>SUM(B6:B10)</f>
        <v>4829292.0627999995</v>
      </c>
      <c r="C11" s="279">
        <f ca="1">SUM(C6:C10)</f>
        <v>385642.61000000004</v>
      </c>
      <c r="D11" s="279">
        <f t="shared" ref="D11" si="0">SUM(D6:D10)</f>
        <v>385642.61000000004</v>
      </c>
    </row>
    <row r="13" spans="1:23" x14ac:dyDescent="0.35">
      <c r="A13" s="69" t="s">
        <v>30</v>
      </c>
      <c r="B13" s="20"/>
      <c r="C13" s="21"/>
      <c r="N13" s="1"/>
      <c r="O13" s="1"/>
      <c r="P13" s="1"/>
      <c r="Q13" s="1"/>
      <c r="R13" s="1"/>
      <c r="S13" s="1"/>
      <c r="T13" s="1"/>
      <c r="U13" s="1"/>
      <c r="V13" s="1"/>
      <c r="W13" s="1"/>
    </row>
    <row r="14" spans="1:23" s="39" customFormat="1" ht="45" customHeight="1" x14ac:dyDescent="0.35">
      <c r="A14" s="373" t="s">
        <v>331</v>
      </c>
      <c r="B14" s="373"/>
      <c r="C14" s="373"/>
      <c r="D14" s="373"/>
      <c r="E14" s="373"/>
      <c r="F14" s="278"/>
      <c r="G14" s="278"/>
      <c r="H14" s="278"/>
      <c r="I14" s="278"/>
      <c r="J14" s="278"/>
      <c r="K14" s="278"/>
      <c r="L14" s="278"/>
      <c r="M14" s="278"/>
    </row>
    <row r="15" spans="1:23" s="39" customFormat="1" x14ac:dyDescent="0.35">
      <c r="A15" s="375" t="s">
        <v>329</v>
      </c>
      <c r="B15" s="375"/>
      <c r="C15" s="375"/>
      <c r="D15" s="375"/>
      <c r="E15" s="375"/>
      <c r="F15" s="375"/>
      <c r="G15" s="375"/>
      <c r="H15" s="375"/>
      <c r="I15" s="375"/>
      <c r="J15" s="375"/>
      <c r="K15" s="375"/>
      <c r="L15" s="375"/>
      <c r="M15" s="375"/>
    </row>
    <row r="16" spans="1:23" ht="29.25" customHeight="1" x14ac:dyDescent="0.35">
      <c r="A16" s="388" t="s">
        <v>332</v>
      </c>
      <c r="B16" s="388"/>
      <c r="C16" s="388"/>
      <c r="D16" s="388"/>
      <c r="E16" s="388"/>
      <c r="F16" s="278"/>
      <c r="G16" s="278"/>
      <c r="H16" s="278"/>
      <c r="I16" s="278"/>
      <c r="J16" s="278"/>
      <c r="K16" s="278"/>
      <c r="L16" s="278"/>
      <c r="M16" s="278"/>
    </row>
    <row r="33" spans="2:3" x14ac:dyDescent="0.35">
      <c r="B33" s="8"/>
      <c r="C33" s="8"/>
    </row>
    <row r="37" spans="2:3" x14ac:dyDescent="0.35">
      <c r="B37" s="8"/>
      <c r="C37" s="8"/>
    </row>
  </sheetData>
  <mergeCells count="4">
    <mergeCell ref="B4:C4"/>
    <mergeCell ref="A14:E14"/>
    <mergeCell ref="A15:M15"/>
    <mergeCell ref="A16:E16"/>
  </mergeCells>
  <pageMargins left="0.2" right="0.2" top="0.75" bottom="0.25" header="0.3" footer="0.3"/>
  <pageSetup scale="88" orientation="landscape" r:id="rId1"/>
  <headerFooter>
    <oddHeader>&amp;C&amp;F &amp;A&amp;R&amp;"Arial"&amp;10&amp;K000000CONFIDENTIAL</oddHeader>
    <oddFooter>&amp;R&amp;1#&amp;"Calibri"&amp;10&amp;KA80000Internal Use Only</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I69"/>
  <sheetViews>
    <sheetView zoomScale="85" zoomScaleNormal="85" workbookViewId="0"/>
  </sheetViews>
  <sheetFormatPr defaultColWidth="9.1796875" defaultRowHeight="14.5" outlineLevelCol="1" x14ac:dyDescent="0.35"/>
  <cols>
    <col min="1" max="1" width="61.7265625" style="46" customWidth="1"/>
    <col min="2" max="2" width="12.1796875" style="46" customWidth="1"/>
    <col min="3" max="3" width="12.453125" style="46" customWidth="1"/>
    <col min="4" max="4" width="12.453125" style="46" hidden="1" customWidth="1" outlineLevel="1"/>
    <col min="5" max="5" width="15.453125" style="46" customWidth="1" collapsed="1"/>
    <col min="6" max="6" width="15.81640625" style="46" customWidth="1"/>
    <col min="7" max="7" width="12.26953125" style="46" customWidth="1"/>
    <col min="8" max="9" width="13.26953125" style="46" customWidth="1"/>
    <col min="10" max="10" width="12.26953125" style="46" bestFit="1" customWidth="1"/>
    <col min="11" max="11" width="11.54296875" style="46" bestFit="1" customWidth="1"/>
    <col min="12" max="12" width="12.81640625" style="46" customWidth="1"/>
    <col min="13" max="13" width="11.54296875" style="46" bestFit="1" customWidth="1"/>
    <col min="14" max="14" width="15" style="46" bestFit="1" customWidth="1"/>
    <col min="15" max="15" width="16" style="46" bestFit="1" customWidth="1"/>
    <col min="16" max="16" width="15" style="46" hidden="1" customWidth="1" outlineLevel="1"/>
    <col min="17" max="17" width="17.453125" style="46" bestFit="1" customWidth="1" collapsed="1"/>
    <col min="18" max="18" width="16.26953125" style="46" bestFit="1" customWidth="1"/>
    <col min="19" max="19" width="15.26953125" style="46" bestFit="1" customWidth="1"/>
    <col min="20" max="20" width="12.453125" style="46" customWidth="1"/>
    <col min="21" max="22" width="14.26953125" style="46" bestFit="1" customWidth="1"/>
    <col min="23" max="16384" width="9.1796875" style="46"/>
  </cols>
  <sheetData>
    <row r="1" spans="1:35" x14ac:dyDescent="0.35">
      <c r="A1" s="3" t="str">
        <f>+'PPC Cycle 3'!A1</f>
        <v>Evergy Metro, Inc. - DSIM Rider Update Filed 12/01/2024</v>
      </c>
      <c r="B1" s="3"/>
      <c r="C1" s="3"/>
      <c r="D1" s="3"/>
    </row>
    <row r="2" spans="1:35" x14ac:dyDescent="0.35">
      <c r="E2" s="3" t="s">
        <v>60</v>
      </c>
    </row>
    <row r="3" spans="1:35" ht="29" x14ac:dyDescent="0.35">
      <c r="E3" s="48" t="s">
        <v>45</v>
      </c>
      <c r="F3" s="70" t="s">
        <v>69</v>
      </c>
      <c r="G3" s="70" t="s">
        <v>53</v>
      </c>
      <c r="H3" s="48" t="s">
        <v>3</v>
      </c>
      <c r="I3" s="70" t="s">
        <v>54</v>
      </c>
      <c r="J3" s="48" t="s">
        <v>10</v>
      </c>
      <c r="K3" s="48" t="s">
        <v>9</v>
      </c>
      <c r="S3" s="48"/>
    </row>
    <row r="4" spans="1:35" x14ac:dyDescent="0.35">
      <c r="A4" s="20" t="s">
        <v>24</v>
      </c>
      <c r="B4" s="20"/>
      <c r="C4" s="20"/>
      <c r="D4" s="20"/>
      <c r="E4" s="22">
        <f>SUM(C19:M19)</f>
        <v>81677.042750000008</v>
      </c>
      <c r="F4" s="133">
        <f>N26</f>
        <v>0</v>
      </c>
      <c r="G4" s="22">
        <f>SUM(C33:L33)</f>
        <v>0</v>
      </c>
      <c r="H4" s="22">
        <f>G4-E4</f>
        <v>-81677.042750000008</v>
      </c>
      <c r="I4" s="22">
        <f>+B46</f>
        <v>145366.36489999978</v>
      </c>
      <c r="J4" s="22">
        <f>SUM(C51:L51)</f>
        <v>3639.5499999999997</v>
      </c>
      <c r="K4" s="25">
        <f>SUM(H4:J4)</f>
        <v>67328.872149999777</v>
      </c>
      <c r="L4" s="47">
        <f>+K4-M46</f>
        <v>0</v>
      </c>
    </row>
    <row r="5" spans="1:35" ht="15" thickBot="1" x14ac:dyDescent="0.4">
      <c r="A5" s="20" t="s">
        <v>25</v>
      </c>
      <c r="B5" s="20"/>
      <c r="C5" s="20"/>
      <c r="D5" s="20"/>
      <c r="E5" s="22">
        <f>SUM(C20:M23)</f>
        <v>82894.998880000014</v>
      </c>
      <c r="F5" s="133">
        <f>SUM(N27:N30)</f>
        <v>0</v>
      </c>
      <c r="G5" s="22">
        <f>SUM(C34:L37)</f>
        <v>0</v>
      </c>
      <c r="H5" s="22">
        <f>G5-E5</f>
        <v>-82894.998880000014</v>
      </c>
      <c r="I5" s="22">
        <f>+B47</f>
        <v>133648.96931999922</v>
      </c>
      <c r="J5" s="22">
        <f>SUM(C52:L52)</f>
        <v>3285.13</v>
      </c>
      <c r="K5" s="25">
        <f>SUM(H5:J5)</f>
        <v>54039.100439999202</v>
      </c>
      <c r="L5" s="47">
        <f>+K5-M47</f>
        <v>0</v>
      </c>
    </row>
    <row r="6" spans="1:35" ht="15.5" thickTop="1" thickBot="1" x14ac:dyDescent="0.4">
      <c r="E6" s="27">
        <f t="shared" ref="E6" si="0">SUM(E4:E5)</f>
        <v>164572.04163000002</v>
      </c>
      <c r="F6" s="134">
        <f t="shared" ref="F6:I6" si="1">SUM(F4:F5)</f>
        <v>0</v>
      </c>
      <c r="G6" s="27">
        <f t="shared" si="1"/>
        <v>0</v>
      </c>
      <c r="H6" s="27">
        <f t="shared" si="1"/>
        <v>-164572.04163000002</v>
      </c>
      <c r="I6" s="27">
        <f t="shared" si="1"/>
        <v>279015.33421999903</v>
      </c>
      <c r="J6" s="27">
        <f>SUM(J4:J5)</f>
        <v>6924.68</v>
      </c>
      <c r="K6" s="27">
        <f>SUM(K4:K5)</f>
        <v>121367.97258999897</v>
      </c>
      <c r="T6" s="5"/>
    </row>
    <row r="7" spans="1:35" ht="44" thickTop="1" x14ac:dyDescent="0.35">
      <c r="K7" s="222"/>
      <c r="L7" s="221" t="s">
        <v>122</v>
      </c>
    </row>
    <row r="8" spans="1:35" x14ac:dyDescent="0.35">
      <c r="A8" s="20" t="s">
        <v>104</v>
      </c>
      <c r="K8" s="25">
        <f>ROUND($K$5*L8,2)</f>
        <v>7336.59</v>
      </c>
      <c r="L8" s="219">
        <f>+'PCR Cycle 2'!L8</f>
        <v>0.13576441564001979</v>
      </c>
    </row>
    <row r="9" spans="1:35" x14ac:dyDescent="0.35">
      <c r="A9" s="20" t="s">
        <v>105</v>
      </c>
      <c r="K9" s="25">
        <f t="shared" ref="K9:K11" si="2">ROUND($K$5*L9,2)</f>
        <v>19244.169999999998</v>
      </c>
      <c r="L9" s="219">
        <f>+'PCR Cycle 2'!L9</f>
        <v>0.35611574316442379</v>
      </c>
    </row>
    <row r="10" spans="1:35" x14ac:dyDescent="0.35">
      <c r="A10" s="20" t="s">
        <v>106</v>
      </c>
      <c r="K10" s="25">
        <f t="shared" si="2"/>
        <v>22605.56</v>
      </c>
      <c r="L10" s="219">
        <f>+'PCR Cycle 2'!L10</f>
        <v>0.4183185730547726</v>
      </c>
    </row>
    <row r="11" spans="1:35" ht="15" thickBot="1" x14ac:dyDescent="0.4">
      <c r="A11" s="20" t="s">
        <v>107</v>
      </c>
      <c r="J11" s="4"/>
      <c r="K11" s="25">
        <f t="shared" si="2"/>
        <v>4852.78</v>
      </c>
      <c r="L11" s="219">
        <f>+'PCR Cycle 2'!L11</f>
        <v>8.9801268140783777E-2</v>
      </c>
      <c r="V11" s="4"/>
    </row>
    <row r="12" spans="1:35" ht="15.5" thickTop="1" thickBot="1" x14ac:dyDescent="0.4">
      <c r="A12" s="20" t="s">
        <v>109</v>
      </c>
      <c r="K12" s="27">
        <f>SUM(K8:K11)</f>
        <v>54039.1</v>
      </c>
      <c r="L12" s="220">
        <f>SUM(L8:L11)</f>
        <v>1</v>
      </c>
      <c r="V12" s="4"/>
      <c r="W12" s="5"/>
    </row>
    <row r="13" spans="1:35" ht="15.5" thickTop="1" thickBot="1" x14ac:dyDescent="0.4">
      <c r="V13" s="4"/>
      <c r="W13" s="5"/>
    </row>
    <row r="14" spans="1:35" ht="87.5" thickBot="1" x14ac:dyDescent="0.4">
      <c r="B14" s="114" t="str">
        <f>+'PCR Cycle 2'!B14</f>
        <v>Cumulative Over/Under Carryover From 06/01/2024 Filing</v>
      </c>
      <c r="C14" s="148" t="str">
        <f>+'PCR Cycle 2'!C14</f>
        <v>Reverse May 2024 - July 2024 Forecast From 06/01/2024 Filing</v>
      </c>
      <c r="D14" s="148">
        <f>+'PCR Cycle 2'!D14</f>
        <v>0</v>
      </c>
      <c r="E14" s="382" t="s">
        <v>32</v>
      </c>
      <c r="F14" s="382"/>
      <c r="G14" s="383"/>
      <c r="H14" s="389" t="s">
        <v>32</v>
      </c>
      <c r="I14" s="390"/>
      <c r="J14" s="391"/>
      <c r="K14" s="378" t="s">
        <v>8</v>
      </c>
      <c r="L14" s="379"/>
      <c r="M14" s="380"/>
      <c r="P14" s="287" t="s">
        <v>236</v>
      </c>
    </row>
    <row r="15" spans="1:35" x14ac:dyDescent="0.35">
      <c r="A15" s="46" t="s">
        <v>62</v>
      </c>
      <c r="C15" s="104"/>
      <c r="D15" s="206"/>
      <c r="E15" s="19">
        <f>+'PCR Cycle 2'!E15</f>
        <v>45443</v>
      </c>
      <c r="F15" s="19">
        <f t="shared" ref="F15:M15" si="3">EOMONTH(E15,1)</f>
        <v>45473</v>
      </c>
      <c r="G15" s="19">
        <f t="shared" si="3"/>
        <v>45504</v>
      </c>
      <c r="H15" s="14">
        <f t="shared" si="3"/>
        <v>45535</v>
      </c>
      <c r="I15" s="19">
        <f t="shared" si="3"/>
        <v>45565</v>
      </c>
      <c r="J15" s="15">
        <f t="shared" si="3"/>
        <v>45596</v>
      </c>
      <c r="K15" s="19">
        <f t="shared" si="3"/>
        <v>45626</v>
      </c>
      <c r="L15" s="19">
        <f t="shared" si="3"/>
        <v>45657</v>
      </c>
      <c r="M15" s="15">
        <f t="shared" si="3"/>
        <v>45688</v>
      </c>
      <c r="P15" s="185"/>
      <c r="Z15" s="1"/>
      <c r="AA15" s="1"/>
      <c r="AB15" s="1"/>
      <c r="AC15" s="1"/>
      <c r="AD15" s="1"/>
      <c r="AE15" s="1"/>
      <c r="AF15" s="1"/>
      <c r="AG15" s="1"/>
      <c r="AH15" s="1"/>
      <c r="AI15" s="1"/>
    </row>
    <row r="16" spans="1:35" x14ac:dyDescent="0.35">
      <c r="A16" s="46" t="s">
        <v>5</v>
      </c>
      <c r="C16" s="188"/>
      <c r="D16" s="190">
        <f t="shared" ref="D16" si="4">+D33+D37</f>
        <v>0</v>
      </c>
      <c r="E16" s="108">
        <f>SUM(E33:E37)</f>
        <v>0</v>
      </c>
      <c r="F16" s="108">
        <f t="shared" ref="F16:L16" si="5">SUM(F33:F37)</f>
        <v>0</v>
      </c>
      <c r="G16" s="109">
        <f t="shared" si="5"/>
        <v>0</v>
      </c>
      <c r="H16" s="16">
        <f t="shared" si="5"/>
        <v>0</v>
      </c>
      <c r="I16" s="55">
        <f t="shared" si="5"/>
        <v>0</v>
      </c>
      <c r="J16" s="161">
        <f t="shared" si="5"/>
        <v>0</v>
      </c>
      <c r="K16" s="154">
        <f t="shared" si="5"/>
        <v>0</v>
      </c>
      <c r="L16" s="78">
        <f t="shared" si="5"/>
        <v>0</v>
      </c>
      <c r="M16" s="79"/>
      <c r="P16" s="185">
        <f>-SUM(K16:M16)</f>
        <v>0</v>
      </c>
    </row>
    <row r="17" spans="1:16" x14ac:dyDescent="0.35">
      <c r="C17" s="99"/>
      <c r="D17" s="191"/>
      <c r="E17" s="17"/>
      <c r="F17" s="17"/>
      <c r="G17" s="17"/>
      <c r="H17" s="10"/>
      <c r="I17" s="17"/>
      <c r="J17" s="11"/>
      <c r="K17" s="31"/>
      <c r="L17" s="31"/>
      <c r="M17" s="29"/>
      <c r="P17" s="185"/>
    </row>
    <row r="18" spans="1:16" x14ac:dyDescent="0.35">
      <c r="A18" s="46" t="s">
        <v>61</v>
      </c>
      <c r="C18" s="99"/>
      <c r="D18" s="191"/>
      <c r="E18" s="18"/>
      <c r="F18" s="18"/>
      <c r="G18" s="18"/>
      <c r="H18" s="91"/>
      <c r="I18" s="18"/>
      <c r="J18" s="162"/>
      <c r="K18" s="31"/>
      <c r="L18" s="31"/>
      <c r="M18" s="29"/>
      <c r="N18" s="63" t="s">
        <v>66</v>
      </c>
      <c r="O18" s="39"/>
      <c r="P18" s="185"/>
    </row>
    <row r="19" spans="1:16" x14ac:dyDescent="0.35">
      <c r="A19" s="46" t="s">
        <v>24</v>
      </c>
      <c r="C19" s="188">
        <v>-65735.835099999997</v>
      </c>
      <c r="D19" s="190"/>
      <c r="E19" s="131">
        <f>'[5]May 2024'!$G61</f>
        <v>15272.69</v>
      </c>
      <c r="F19" s="131">
        <f>'[5]June 2024'!$G61</f>
        <v>21088.54</v>
      </c>
      <c r="G19" s="131">
        <f>'[5]July 2024'!$G61</f>
        <v>29719.760000000002</v>
      </c>
      <c r="H19" s="16">
        <f>'[5]August 2024'!$G61</f>
        <v>24582.71</v>
      </c>
      <c r="I19" s="117">
        <f>'[5]September 2024'!$G61</f>
        <v>12910.83</v>
      </c>
      <c r="J19" s="166">
        <f>'[5]October 2024'!$G61</f>
        <v>10097.26</v>
      </c>
      <c r="K19" s="119">
        <f>'PCR Cycle 2'!K27*'TDR Cycle 2'!$N19</f>
        <v>8353.7144500000013</v>
      </c>
      <c r="L19" s="41">
        <f>'PCR Cycle 2'!L27*'TDR Cycle 2'!$N19</f>
        <v>11953.443850000001</v>
      </c>
      <c r="M19" s="61">
        <f>'PCR Cycle 2'!M27*'TDR Cycle 2'!$N19</f>
        <v>13433.929550000001</v>
      </c>
      <c r="N19" s="72">
        <v>5.0000000000000002E-5</v>
      </c>
      <c r="O19" s="4"/>
      <c r="P19" s="185">
        <f t="shared" ref="P19:P23" si="6">-SUM(K19:M19)</f>
        <v>-33741.087850000004</v>
      </c>
    </row>
    <row r="20" spans="1:16" x14ac:dyDescent="0.35">
      <c r="A20" s="46" t="s">
        <v>104</v>
      </c>
      <c r="C20" s="188">
        <v>-9767.2344599999997</v>
      </c>
      <c r="D20" s="190"/>
      <c r="E20" s="131">
        <f>'[5]May 2024'!$G62</f>
        <v>2893.4900000000002</v>
      </c>
      <c r="F20" s="131">
        <f>'[5]June 2024'!$G62</f>
        <v>3226.6400000000003</v>
      </c>
      <c r="G20" s="131">
        <f>'[5]July 2024'!$G62</f>
        <v>3751.46</v>
      </c>
      <c r="H20" s="16">
        <f>'[5]August 2024'!$G62</f>
        <v>3132.0099999999998</v>
      </c>
      <c r="I20" s="117">
        <f>'[5]September 2024'!$G62</f>
        <v>1793.12</v>
      </c>
      <c r="J20" s="166">
        <f>'[5]October 2024'!$G62</f>
        <v>1660.3400000000001</v>
      </c>
      <c r="K20" s="119">
        <f>'PCR Cycle 2'!K28*'TDR Cycle 2'!$N20</f>
        <v>1492.1573700000001</v>
      </c>
      <c r="L20" s="41">
        <f>'PCR Cycle 2'!L28*'TDR Cycle 2'!$N20</f>
        <v>1635.3437699999999</v>
      </c>
      <c r="M20" s="61">
        <f>'PCR Cycle 2'!M28*'TDR Cycle 2'!$N20</f>
        <v>1650.0712800000001</v>
      </c>
      <c r="N20" s="72">
        <v>3.0000000000000001E-5</v>
      </c>
      <c r="O20" s="4"/>
      <c r="P20" s="185">
        <f t="shared" si="6"/>
        <v>-4777.5724200000004</v>
      </c>
    </row>
    <row r="21" spans="1:16" x14ac:dyDescent="0.35">
      <c r="A21" s="46" t="s">
        <v>105</v>
      </c>
      <c r="C21" s="188">
        <v>-25761.157650000001</v>
      </c>
      <c r="D21" s="190"/>
      <c r="E21" s="131">
        <f>'[5]May 2024'!$G63</f>
        <v>7167.0800000000008</v>
      </c>
      <c r="F21" s="131">
        <f>'[5]June 2024'!$G63</f>
        <v>8441.09</v>
      </c>
      <c r="G21" s="131">
        <f>'[5]July 2024'!$G63</f>
        <v>9552.92</v>
      </c>
      <c r="H21" s="16">
        <f>'[5]August 2024'!$G63</f>
        <v>7901.75</v>
      </c>
      <c r="I21" s="117">
        <f>'[5]September 2024'!$G63</f>
        <v>3931.8199999999997</v>
      </c>
      <c r="J21" s="166">
        <f>'[5]October 2024'!$G63</f>
        <v>3875.32</v>
      </c>
      <c r="K21" s="119">
        <f>'PCR Cycle 2'!K29*'TDR Cycle 2'!$N21</f>
        <v>3523.2878400000004</v>
      </c>
      <c r="L21" s="41">
        <f>'PCR Cycle 2'!L29*'TDR Cycle 2'!$N21</f>
        <v>3861.3801200000003</v>
      </c>
      <c r="M21" s="61">
        <f>'PCR Cycle 2'!M29*'TDR Cycle 2'!$N21</f>
        <v>3896.1548000000003</v>
      </c>
      <c r="N21" s="72">
        <v>4.0000000000000003E-5</v>
      </c>
      <c r="O21" s="4"/>
      <c r="P21" s="185">
        <f t="shared" si="6"/>
        <v>-11280.822760000001</v>
      </c>
    </row>
    <row r="22" spans="1:16" x14ac:dyDescent="0.35">
      <c r="A22" s="46" t="s">
        <v>106</v>
      </c>
      <c r="C22" s="188">
        <v>-31851.382919999996</v>
      </c>
      <c r="D22" s="190"/>
      <c r="E22" s="131">
        <f>'[5]May 2024'!$G64</f>
        <v>10007.279999999999</v>
      </c>
      <c r="F22" s="131">
        <f>'[5]June 2024'!$G64</f>
        <v>10205.679999999998</v>
      </c>
      <c r="G22" s="131">
        <f>'[5]July 2024'!$G64</f>
        <v>11485.87</v>
      </c>
      <c r="H22" s="16">
        <f>'[5]August 2024'!$G64</f>
        <v>9866.36</v>
      </c>
      <c r="I22" s="117">
        <f>'[5]September 2024'!$G64</f>
        <v>6642.73</v>
      </c>
      <c r="J22" s="166">
        <f>'[5]October 2024'!$G64</f>
        <v>6210.1900000000005</v>
      </c>
      <c r="K22" s="119">
        <f>'PCR Cycle 2'!K30*'TDR Cycle 2'!$N22</f>
        <v>5711.4012400000001</v>
      </c>
      <c r="L22" s="41">
        <f>'PCR Cycle 2'!L30*'TDR Cycle 2'!$N22</f>
        <v>6259.4634400000004</v>
      </c>
      <c r="M22" s="61">
        <f>'PCR Cycle 2'!M30*'TDR Cycle 2'!$N22</f>
        <v>6315.8346800000008</v>
      </c>
      <c r="N22" s="72">
        <v>4.0000000000000003E-5</v>
      </c>
      <c r="O22" s="4"/>
      <c r="P22" s="185">
        <f t="shared" si="6"/>
        <v>-18286.699360000002</v>
      </c>
    </row>
    <row r="23" spans="1:16" x14ac:dyDescent="0.35">
      <c r="A23" s="46" t="s">
        <v>107</v>
      </c>
      <c r="C23" s="188">
        <v>-6044.4756500000003</v>
      </c>
      <c r="D23" s="190"/>
      <c r="E23" s="131">
        <f>'[5]May 2024'!$G65</f>
        <v>2134.4300000000003</v>
      </c>
      <c r="F23" s="131">
        <f>'[5]June 2024'!$G65</f>
        <v>1606.05</v>
      </c>
      <c r="G23" s="131">
        <f>'[5]July 2024'!$G65</f>
        <v>2573.2800000000002</v>
      </c>
      <c r="H23" s="16">
        <f>'[5]August 2024'!$G65</f>
        <v>1691.71</v>
      </c>
      <c r="I23" s="117">
        <f>'[5]September 2024'!$G65</f>
        <v>410.82</v>
      </c>
      <c r="J23" s="166">
        <f>'[5]October 2024'!$G65</f>
        <v>527.76</v>
      </c>
      <c r="K23" s="119">
        <f>'PCR Cycle 2'!K31*'TDR Cycle 2'!$N23</f>
        <v>401.32413000000003</v>
      </c>
      <c r="L23" s="41">
        <f>'PCR Cycle 2'!L31*'TDR Cycle 2'!$N23</f>
        <v>439.83492000000001</v>
      </c>
      <c r="M23" s="61">
        <f>'PCR Cycle 2'!M31*'TDR Cycle 2'!$N23</f>
        <v>443.79597000000001</v>
      </c>
      <c r="N23" s="72">
        <v>1.0000000000000001E-5</v>
      </c>
      <c r="O23" s="4"/>
      <c r="P23" s="185">
        <f t="shared" si="6"/>
        <v>-1284.9550199999999</v>
      </c>
    </row>
    <row r="24" spans="1:16" x14ac:dyDescent="0.35">
      <c r="C24" s="67"/>
      <c r="D24" s="192"/>
      <c r="E24" s="68"/>
      <c r="F24" s="68"/>
      <c r="G24" s="68"/>
      <c r="H24" s="67"/>
      <c r="I24" s="68"/>
      <c r="J24" s="164"/>
      <c r="K24" s="56"/>
      <c r="L24" s="56"/>
      <c r="M24" s="13"/>
      <c r="O24" s="4"/>
    </row>
    <row r="25" spans="1:16" x14ac:dyDescent="0.35">
      <c r="A25" s="39" t="s">
        <v>65</v>
      </c>
      <c r="B25" s="39"/>
      <c r="C25" s="67"/>
      <c r="D25" s="192"/>
      <c r="E25" s="56"/>
      <c r="F25" s="56"/>
      <c r="G25" s="56"/>
      <c r="H25" s="12"/>
      <c r="I25" s="56"/>
      <c r="J25" s="165"/>
      <c r="K25" s="56"/>
      <c r="L25" s="56"/>
      <c r="M25" s="13"/>
      <c r="N25" s="7"/>
    </row>
    <row r="26" spans="1:16" x14ac:dyDescent="0.35">
      <c r="A26" s="46" t="s">
        <v>24</v>
      </c>
      <c r="C26" s="189"/>
      <c r="D26" s="193"/>
      <c r="E26" s="110">
        <v>0</v>
      </c>
      <c r="F26" s="110">
        <v>0</v>
      </c>
      <c r="G26" s="110">
        <v>0</v>
      </c>
      <c r="H26" s="74">
        <v>0</v>
      </c>
      <c r="I26" s="74">
        <v>0</v>
      </c>
      <c r="J26" s="74">
        <v>0</v>
      </c>
      <c r="K26" s="155">
        <v>0</v>
      </c>
      <c r="L26" s="155">
        <v>0</v>
      </c>
      <c r="M26" s="80"/>
      <c r="N26" s="59">
        <f>SUM(C26:L26)</f>
        <v>0</v>
      </c>
    </row>
    <row r="27" spans="1:16" x14ac:dyDescent="0.35">
      <c r="A27" s="46" t="s">
        <v>104</v>
      </c>
      <c r="C27" s="189"/>
      <c r="D27" s="193"/>
      <c r="E27" s="110">
        <v>0</v>
      </c>
      <c r="F27" s="110">
        <v>0</v>
      </c>
      <c r="G27" s="110">
        <v>0</v>
      </c>
      <c r="H27" s="74">
        <v>0</v>
      </c>
      <c r="I27" s="74">
        <v>0</v>
      </c>
      <c r="J27" s="74">
        <v>0</v>
      </c>
      <c r="K27" s="155">
        <v>0</v>
      </c>
      <c r="L27" s="155">
        <v>0</v>
      </c>
      <c r="M27" s="80"/>
      <c r="N27" s="59">
        <f t="shared" ref="N27:N30" si="7">SUM(C27:L27)</f>
        <v>0</v>
      </c>
    </row>
    <row r="28" spans="1:16" x14ac:dyDescent="0.35">
      <c r="A28" s="46" t="s">
        <v>105</v>
      </c>
      <c r="C28" s="189"/>
      <c r="D28" s="193"/>
      <c r="E28" s="110">
        <v>0</v>
      </c>
      <c r="F28" s="110">
        <v>0</v>
      </c>
      <c r="G28" s="110">
        <v>0</v>
      </c>
      <c r="H28" s="74">
        <v>0</v>
      </c>
      <c r="I28" s="74">
        <v>0</v>
      </c>
      <c r="J28" s="74">
        <v>0</v>
      </c>
      <c r="K28" s="155">
        <v>0</v>
      </c>
      <c r="L28" s="155">
        <v>0</v>
      </c>
      <c r="M28" s="80"/>
      <c r="N28" s="59">
        <f t="shared" si="7"/>
        <v>0</v>
      </c>
    </row>
    <row r="29" spans="1:16" x14ac:dyDescent="0.35">
      <c r="A29" s="46" t="s">
        <v>106</v>
      </c>
      <c r="C29" s="189"/>
      <c r="D29" s="193"/>
      <c r="E29" s="110">
        <v>0</v>
      </c>
      <c r="F29" s="110">
        <v>0</v>
      </c>
      <c r="G29" s="110">
        <v>0</v>
      </c>
      <c r="H29" s="74">
        <v>0</v>
      </c>
      <c r="I29" s="74">
        <v>0</v>
      </c>
      <c r="J29" s="74">
        <v>0</v>
      </c>
      <c r="K29" s="155">
        <v>0</v>
      </c>
      <c r="L29" s="155">
        <v>0</v>
      </c>
      <c r="M29" s="80"/>
      <c r="N29" s="59">
        <f t="shared" si="7"/>
        <v>0</v>
      </c>
    </row>
    <row r="30" spans="1:16" x14ac:dyDescent="0.35">
      <c r="A30" s="46" t="s">
        <v>107</v>
      </c>
      <c r="C30" s="189"/>
      <c r="D30" s="193"/>
      <c r="E30" s="110">
        <v>0</v>
      </c>
      <c r="F30" s="110">
        <v>0</v>
      </c>
      <c r="G30" s="110">
        <v>0</v>
      </c>
      <c r="H30" s="74">
        <v>0</v>
      </c>
      <c r="I30" s="74">
        <v>0</v>
      </c>
      <c r="J30" s="74">
        <v>0</v>
      </c>
      <c r="K30" s="155">
        <v>0</v>
      </c>
      <c r="L30" s="155">
        <v>0</v>
      </c>
      <c r="M30" s="80"/>
      <c r="N30" s="59">
        <f t="shared" si="7"/>
        <v>0</v>
      </c>
    </row>
    <row r="31" spans="1:16" x14ac:dyDescent="0.35">
      <c r="C31" s="67"/>
      <c r="D31" s="192"/>
      <c r="E31" s="68"/>
      <c r="F31" s="68"/>
      <c r="G31" s="68"/>
      <c r="H31" s="67"/>
      <c r="I31" s="68"/>
      <c r="J31" s="164"/>
      <c r="K31" s="56"/>
      <c r="L31" s="56"/>
      <c r="M31" s="13"/>
    </row>
    <row r="32" spans="1:16" x14ac:dyDescent="0.35">
      <c r="A32" s="46" t="s">
        <v>67</v>
      </c>
      <c r="C32" s="36"/>
      <c r="D32" s="194"/>
      <c r="E32" s="37"/>
      <c r="F32" s="37"/>
      <c r="G32" s="37"/>
      <c r="H32" s="36"/>
      <c r="I32" s="37"/>
      <c r="J32" s="167"/>
      <c r="K32" s="52"/>
      <c r="L32" s="52"/>
      <c r="M32" s="38"/>
    </row>
    <row r="33" spans="1:18" x14ac:dyDescent="0.35">
      <c r="A33" s="46" t="s">
        <v>24</v>
      </c>
      <c r="C33" s="188"/>
      <c r="D33" s="190"/>
      <c r="E33" s="110">
        <v>0</v>
      </c>
      <c r="F33" s="110">
        <v>0</v>
      </c>
      <c r="G33" s="110">
        <v>0</v>
      </c>
      <c r="H33" s="74">
        <v>0</v>
      </c>
      <c r="I33" s="74">
        <v>0</v>
      </c>
      <c r="J33" s="74">
        <v>0</v>
      </c>
      <c r="K33" s="155">
        <v>0</v>
      </c>
      <c r="L33" s="155">
        <v>0</v>
      </c>
      <c r="M33" s="79"/>
    </row>
    <row r="34" spans="1:18" x14ac:dyDescent="0.35">
      <c r="A34" s="46" t="s">
        <v>104</v>
      </c>
      <c r="C34" s="188"/>
      <c r="D34" s="190"/>
      <c r="E34" s="110">
        <v>0</v>
      </c>
      <c r="F34" s="110">
        <v>0</v>
      </c>
      <c r="G34" s="110">
        <v>0</v>
      </c>
      <c r="H34" s="74">
        <v>0</v>
      </c>
      <c r="I34" s="74">
        <v>0</v>
      </c>
      <c r="J34" s="74">
        <v>0</v>
      </c>
      <c r="K34" s="155">
        <v>0</v>
      </c>
      <c r="L34" s="155">
        <v>0</v>
      </c>
      <c r="M34" s="79"/>
    </row>
    <row r="35" spans="1:18" x14ac:dyDescent="0.35">
      <c r="A35" s="46" t="s">
        <v>105</v>
      </c>
      <c r="C35" s="188"/>
      <c r="D35" s="190"/>
      <c r="E35" s="110">
        <v>0</v>
      </c>
      <c r="F35" s="110">
        <v>0</v>
      </c>
      <c r="G35" s="110">
        <v>0</v>
      </c>
      <c r="H35" s="74">
        <v>0</v>
      </c>
      <c r="I35" s="74">
        <v>0</v>
      </c>
      <c r="J35" s="74">
        <v>0</v>
      </c>
      <c r="K35" s="155">
        <v>0</v>
      </c>
      <c r="L35" s="155">
        <v>0</v>
      </c>
      <c r="M35" s="79"/>
    </row>
    <row r="36" spans="1:18" x14ac:dyDescent="0.35">
      <c r="A36" s="46" t="s">
        <v>106</v>
      </c>
      <c r="C36" s="188"/>
      <c r="D36" s="190"/>
      <c r="E36" s="110">
        <v>0</v>
      </c>
      <c r="F36" s="110">
        <v>0</v>
      </c>
      <c r="G36" s="110">
        <v>0</v>
      </c>
      <c r="H36" s="74">
        <v>0</v>
      </c>
      <c r="I36" s="74">
        <v>0</v>
      </c>
      <c r="J36" s="74">
        <v>0</v>
      </c>
      <c r="K36" s="155">
        <v>0</v>
      </c>
      <c r="L36" s="155">
        <v>0</v>
      </c>
      <c r="M36" s="79"/>
    </row>
    <row r="37" spans="1:18" x14ac:dyDescent="0.35">
      <c r="A37" s="46" t="s">
        <v>107</v>
      </c>
      <c r="C37" s="188"/>
      <c r="D37" s="190"/>
      <c r="E37" s="110">
        <v>0</v>
      </c>
      <c r="F37" s="110">
        <v>0</v>
      </c>
      <c r="G37" s="110">
        <v>0</v>
      </c>
      <c r="H37" s="74">
        <v>0</v>
      </c>
      <c r="I37" s="74">
        <v>0</v>
      </c>
      <c r="J37" s="74">
        <v>0</v>
      </c>
      <c r="K37" s="155">
        <v>0</v>
      </c>
      <c r="L37" s="155">
        <v>0</v>
      </c>
      <c r="M37" s="79"/>
      <c r="O37" s="47"/>
    </row>
    <row r="38" spans="1:18" x14ac:dyDescent="0.35">
      <c r="C38" s="99"/>
      <c r="D38" s="191"/>
      <c r="E38" s="18"/>
      <c r="F38" s="18"/>
      <c r="G38" s="18"/>
      <c r="H38" s="91"/>
      <c r="I38" s="18"/>
      <c r="J38" s="162"/>
      <c r="K38" s="56"/>
      <c r="L38" s="56"/>
      <c r="M38" s="13"/>
    </row>
    <row r="39" spans="1:18" ht="15" thickBot="1" x14ac:dyDescent="0.4">
      <c r="A39" s="3" t="s">
        <v>15</v>
      </c>
      <c r="B39" s="3"/>
      <c r="C39" s="337">
        <v>-4097.7299999999996</v>
      </c>
      <c r="D39" s="195"/>
      <c r="E39" s="131">
        <f>2157.16+0.01</f>
        <v>2157.17</v>
      </c>
      <c r="F39" s="131">
        <v>1948.77</v>
      </c>
      <c r="G39" s="132">
        <f>1682.2+0.01</f>
        <v>1682.21</v>
      </c>
      <c r="H39" s="26">
        <f>1399.04+0.02</f>
        <v>1399.06</v>
      </c>
      <c r="I39" s="118">
        <f>1152.52+0.03</f>
        <v>1152.55</v>
      </c>
      <c r="J39" s="168">
        <f>995.43+0.01</f>
        <v>995.43999999999994</v>
      </c>
      <c r="K39" s="157">
        <f>ROUND((SUM(J46:J47)+SUM(J51:J52)+SUM(K42:K43)/2)*K$49,2)</f>
        <v>895.86</v>
      </c>
      <c r="L39" s="140">
        <f>ROUND((SUM(K46:K47)+SUM(K51:K52)+SUM(L42:L43)/2)*L$49,2)</f>
        <v>791.35</v>
      </c>
      <c r="M39" s="82"/>
      <c r="P39" s="185">
        <f t="shared" ref="P39" si="8">-SUM(K39:M39)</f>
        <v>-1687.21</v>
      </c>
      <c r="R39" s="333"/>
    </row>
    <row r="40" spans="1:18" x14ac:dyDescent="0.35">
      <c r="C40" s="64"/>
      <c r="D40" s="198"/>
      <c r="E40" s="66"/>
      <c r="F40" s="66"/>
      <c r="G40" s="33"/>
      <c r="H40" s="64"/>
      <c r="I40" s="33"/>
      <c r="J40" s="169"/>
      <c r="K40" s="34"/>
      <c r="L40" s="34"/>
      <c r="M40" s="60"/>
    </row>
    <row r="41" spans="1:18" x14ac:dyDescent="0.35">
      <c r="A41" s="46" t="s">
        <v>51</v>
      </c>
      <c r="C41" s="65"/>
      <c r="D41" s="199"/>
      <c r="E41" s="35"/>
      <c r="F41" s="35"/>
      <c r="G41" s="35"/>
      <c r="H41" s="65"/>
      <c r="I41" s="35"/>
      <c r="J41" s="170"/>
      <c r="K41" s="34"/>
      <c r="L41" s="34"/>
      <c r="M41" s="60"/>
    </row>
    <row r="42" spans="1:18" x14ac:dyDescent="0.35">
      <c r="A42" s="46" t="s">
        <v>24</v>
      </c>
      <c r="C42" s="196">
        <f>C33-C19</f>
        <v>65735.835099999997</v>
      </c>
      <c r="D42" s="200">
        <f t="shared" ref="D42" si="9">D33-D19</f>
        <v>0</v>
      </c>
      <c r="E42" s="41">
        <f t="shared" ref="E42:M42" si="10">E33-E19</f>
        <v>-15272.69</v>
      </c>
      <c r="F42" s="41">
        <f t="shared" si="10"/>
        <v>-21088.54</v>
      </c>
      <c r="G42" s="107">
        <f t="shared" si="10"/>
        <v>-29719.760000000002</v>
      </c>
      <c r="H42" s="40">
        <f t="shared" si="10"/>
        <v>-24582.71</v>
      </c>
      <c r="I42" s="41">
        <f t="shared" si="10"/>
        <v>-12910.83</v>
      </c>
      <c r="J42" s="61">
        <f t="shared" si="10"/>
        <v>-10097.26</v>
      </c>
      <c r="K42" s="119">
        <f t="shared" si="10"/>
        <v>-8353.7144500000013</v>
      </c>
      <c r="L42" s="41">
        <f t="shared" si="10"/>
        <v>-11953.443850000001</v>
      </c>
      <c r="M42" s="61">
        <f t="shared" si="10"/>
        <v>-13433.929550000001</v>
      </c>
    </row>
    <row r="43" spans="1:18" x14ac:dyDescent="0.35">
      <c r="A43" s="46" t="s">
        <v>25</v>
      </c>
      <c r="C43" s="196">
        <f t="shared" ref="C43:D43" si="11">SUM(C34:C37)-SUM(C20:C23)</f>
        <v>73424.250679999997</v>
      </c>
      <c r="D43" s="200">
        <f t="shared" si="11"/>
        <v>0</v>
      </c>
      <c r="E43" s="41">
        <f>SUM(E34:E37)-SUM(E20:E23)</f>
        <v>-22202.28</v>
      </c>
      <c r="F43" s="41">
        <f t="shared" ref="F43:M43" si="12">SUM(F34:F37)-SUM(F20:F23)</f>
        <v>-23479.459999999995</v>
      </c>
      <c r="G43" s="107">
        <f t="shared" si="12"/>
        <v>-27363.53</v>
      </c>
      <c r="H43" s="40">
        <f t="shared" si="12"/>
        <v>-22591.83</v>
      </c>
      <c r="I43" s="41">
        <f t="shared" si="12"/>
        <v>-12778.489999999998</v>
      </c>
      <c r="J43" s="61">
        <f t="shared" si="12"/>
        <v>-12273.61</v>
      </c>
      <c r="K43" s="119">
        <f t="shared" si="12"/>
        <v>-11128.170580000002</v>
      </c>
      <c r="L43" s="41">
        <f t="shared" si="12"/>
        <v>-12196.02225</v>
      </c>
      <c r="M43" s="61">
        <f t="shared" si="12"/>
        <v>-12305.85673</v>
      </c>
    </row>
    <row r="44" spans="1:18" x14ac:dyDescent="0.35">
      <c r="C44" s="99"/>
      <c r="D44" s="191"/>
      <c r="E44" s="17"/>
      <c r="F44" s="17"/>
      <c r="G44" s="17"/>
      <c r="H44" s="10"/>
      <c r="I44" s="17"/>
      <c r="J44" s="11"/>
      <c r="K44" s="17"/>
      <c r="L44" s="17"/>
      <c r="M44" s="11"/>
    </row>
    <row r="45" spans="1:18" ht="15" thickBot="1" x14ac:dyDescent="0.4">
      <c r="A45" s="46" t="s">
        <v>52</v>
      </c>
      <c r="C45" s="99"/>
      <c r="D45" s="191"/>
      <c r="E45" s="17"/>
      <c r="F45" s="17"/>
      <c r="G45" s="17"/>
      <c r="H45" s="10"/>
      <c r="I45" s="17"/>
      <c r="J45" s="11"/>
      <c r="K45" s="17"/>
      <c r="L45" s="17"/>
      <c r="M45" s="11"/>
    </row>
    <row r="46" spans="1:18" x14ac:dyDescent="0.35">
      <c r="A46" s="46" t="s">
        <v>24</v>
      </c>
      <c r="B46" s="297">
        <v>145366.36489999978</v>
      </c>
      <c r="C46" s="196">
        <f t="shared" ref="C46:E47" si="13">+B46+C42+B51</f>
        <v>211102.19999999978</v>
      </c>
      <c r="D46" s="200">
        <f t="shared" si="13"/>
        <v>209000.72999999978</v>
      </c>
      <c r="E46" s="41">
        <f t="shared" si="13"/>
        <v>193728.03999999978</v>
      </c>
      <c r="F46" s="41">
        <f t="shared" ref="F46:M46" si="14">+E46+F42+E51</f>
        <v>173738.23999999976</v>
      </c>
      <c r="G46" s="107">
        <f t="shared" si="14"/>
        <v>145025.90999999974</v>
      </c>
      <c r="H46" s="40">
        <f t="shared" si="14"/>
        <v>121317.58999999975</v>
      </c>
      <c r="I46" s="41">
        <f t="shared" si="14"/>
        <v>109133.66999999975</v>
      </c>
      <c r="J46" s="61">
        <f t="shared" si="14"/>
        <v>99636.189999999755</v>
      </c>
      <c r="K46" s="119">
        <f t="shared" si="14"/>
        <v>91805.49554999976</v>
      </c>
      <c r="L46" s="41">
        <f t="shared" si="14"/>
        <v>80331.591699999757</v>
      </c>
      <c r="M46" s="61">
        <f t="shared" si="14"/>
        <v>67328.872149999763</v>
      </c>
    </row>
    <row r="47" spans="1:18" ht="15" thickBot="1" x14ac:dyDescent="0.4">
      <c r="A47" s="46" t="s">
        <v>25</v>
      </c>
      <c r="B47" s="298">
        <v>133648.96931999922</v>
      </c>
      <c r="C47" s="196">
        <f t="shared" si="13"/>
        <v>207073.21999999922</v>
      </c>
      <c r="D47" s="200">
        <f t="shared" si="13"/>
        <v>205076.95999999921</v>
      </c>
      <c r="E47" s="41">
        <f t="shared" si="13"/>
        <v>182874.67999999921</v>
      </c>
      <c r="F47" s="41">
        <f t="shared" ref="F47:M47" si="15">+E47+F43+E52</f>
        <v>160453.64999999921</v>
      </c>
      <c r="G47" s="107">
        <f t="shared" si="15"/>
        <v>134031.45999999921</v>
      </c>
      <c r="H47" s="40">
        <f t="shared" si="15"/>
        <v>112247.44999999921</v>
      </c>
      <c r="I47" s="41">
        <f t="shared" si="15"/>
        <v>100141.1099999992</v>
      </c>
      <c r="J47" s="61">
        <f t="shared" si="15"/>
        <v>88420.269999999204</v>
      </c>
      <c r="K47" s="119">
        <f t="shared" si="15"/>
        <v>77764.519419999197</v>
      </c>
      <c r="L47" s="41">
        <f t="shared" si="15"/>
        <v>65984.817169999209</v>
      </c>
      <c r="M47" s="61">
        <f t="shared" si="15"/>
        <v>54039.100439999209</v>
      </c>
    </row>
    <row r="48" spans="1:18" x14ac:dyDescent="0.35">
      <c r="C48" s="99"/>
      <c r="D48" s="191"/>
      <c r="E48" s="17"/>
      <c r="F48" s="17"/>
      <c r="G48" s="17"/>
      <c r="H48" s="10"/>
      <c r="I48" s="17"/>
      <c r="J48" s="11"/>
      <c r="K48" s="17"/>
      <c r="L48" s="17"/>
      <c r="M48" s="11"/>
    </row>
    <row r="49" spans="1:18" x14ac:dyDescent="0.35">
      <c r="A49" s="39" t="s">
        <v>121</v>
      </c>
      <c r="B49" s="39"/>
      <c r="C49" s="103"/>
      <c r="D49" s="201"/>
      <c r="E49" s="83">
        <f>+'PCR Cycle 2'!E50</f>
        <v>5.4564799999999997E-3</v>
      </c>
      <c r="F49" s="83">
        <f>+'PCR Cycle 2'!F50</f>
        <v>5.4667700000000001E-3</v>
      </c>
      <c r="G49" s="83">
        <f>+'PCR Cycle 2'!G50</f>
        <v>5.46883E-3</v>
      </c>
      <c r="H49" s="84">
        <f>+'PCR Cycle 2'!H50</f>
        <v>5.4406000000000003E-3</v>
      </c>
      <c r="I49" s="83">
        <f>+'PCR Cycle 2'!I50</f>
        <v>5.1888699999999999E-3</v>
      </c>
      <c r="J49" s="92">
        <f>+'PCR Cycle 2'!J50</f>
        <v>4.9961500000000004E-3</v>
      </c>
      <c r="K49" s="83">
        <f>+'PCR Cycle 2'!K50</f>
        <v>4.9961500000000004E-3</v>
      </c>
      <c r="L49" s="83">
        <f>+'PCR Cycle 2'!L50</f>
        <v>4.9961500000000004E-3</v>
      </c>
      <c r="M49" s="85"/>
    </row>
    <row r="50" spans="1:18" x14ac:dyDescent="0.35">
      <c r="A50" s="39" t="s">
        <v>36</v>
      </c>
      <c r="B50" s="39"/>
      <c r="C50" s="105"/>
      <c r="D50" s="202"/>
      <c r="E50" s="83"/>
      <c r="F50" s="83"/>
      <c r="G50" s="83"/>
      <c r="H50" s="84"/>
      <c r="I50" s="83"/>
      <c r="J50" s="85"/>
      <c r="K50" s="83"/>
      <c r="L50" s="83"/>
      <c r="M50" s="85"/>
    </row>
    <row r="51" spans="1:18" x14ac:dyDescent="0.35">
      <c r="A51" s="46" t="s">
        <v>24</v>
      </c>
      <c r="C51" s="338">
        <v>-2101.4699999999998</v>
      </c>
      <c r="D51" s="200"/>
      <c r="E51" s="241">
        <f>ROUND((D46+D51+E42/2)*E$49,2)</f>
        <v>1098.74</v>
      </c>
      <c r="F51" s="241">
        <f t="shared" ref="F51:F52" si="16">ROUND((E46+E51+F42/2)*F$49,2)</f>
        <v>1007.43</v>
      </c>
      <c r="G51" s="240">
        <f t="shared" ref="G51:G52" si="17">ROUND((F46+F51+G42/2)*G$49,2)</f>
        <v>874.39</v>
      </c>
      <c r="H51" s="40">
        <f t="shared" ref="H51:H52" si="18">ROUND((G46+G51+H42/2)*H$49,2)</f>
        <v>726.91</v>
      </c>
      <c r="I51" s="119">
        <f t="shared" ref="I51:J52" si="19">ROUND((H46+H51+I42/2)*I$49,2)</f>
        <v>599.78</v>
      </c>
      <c r="J51" s="61">
        <f t="shared" si="19"/>
        <v>523.02</v>
      </c>
      <c r="K51" s="158">
        <f t="shared" ref="K51:K52" si="20">ROUND((J46+J51+K42/2)*K$49,2)</f>
        <v>479.54</v>
      </c>
      <c r="L51" s="107">
        <f t="shared" ref="L51:L52" si="21">ROUND((K46+K51+L42/2)*L$49,2)</f>
        <v>431.21</v>
      </c>
      <c r="M51" s="61">
        <f t="shared" ref="M51:M52" si="22">ROUND((L46+L51+M42/2)*M$49,2)</f>
        <v>0</v>
      </c>
      <c r="P51" s="185">
        <f t="shared" ref="P51:P52" si="23">-SUM(K51:M51)</f>
        <v>-910.75</v>
      </c>
    </row>
    <row r="52" spans="1:18" ht="15" thickBot="1" x14ac:dyDescent="0.4">
      <c r="A52" s="46" t="s">
        <v>25</v>
      </c>
      <c r="C52" s="338">
        <v>-1996.26</v>
      </c>
      <c r="D52" s="200"/>
      <c r="E52" s="241">
        <f>ROUND((D47+D52+E43/2)*E$49,2)</f>
        <v>1058.43</v>
      </c>
      <c r="F52" s="241">
        <f t="shared" si="16"/>
        <v>941.34</v>
      </c>
      <c r="G52" s="240">
        <f t="shared" si="17"/>
        <v>807.82</v>
      </c>
      <c r="H52" s="40">
        <f t="shared" si="18"/>
        <v>672.15</v>
      </c>
      <c r="I52" s="119">
        <f t="shared" si="19"/>
        <v>552.77</v>
      </c>
      <c r="J52" s="61">
        <f t="shared" si="19"/>
        <v>472.42</v>
      </c>
      <c r="K52" s="158">
        <f t="shared" si="20"/>
        <v>416.32</v>
      </c>
      <c r="L52" s="107">
        <f t="shared" si="21"/>
        <v>360.14</v>
      </c>
      <c r="M52" s="61">
        <f t="shared" si="22"/>
        <v>0</v>
      </c>
      <c r="N52" s="4"/>
      <c r="O52" s="4"/>
      <c r="P52" s="185">
        <f t="shared" si="23"/>
        <v>-776.46</v>
      </c>
    </row>
    <row r="53" spans="1:18" ht="15.5" thickTop="1" thickBot="1" x14ac:dyDescent="0.4">
      <c r="A53" s="54" t="s">
        <v>22</v>
      </c>
      <c r="B53" s="54"/>
      <c r="C53" s="197">
        <v>0</v>
      </c>
      <c r="D53" s="203"/>
      <c r="E53" s="42">
        <f>SUM(E51:E52)+SUM(E46:E47)-E56</f>
        <v>0</v>
      </c>
      <c r="F53" s="42">
        <f t="shared" ref="F53:M53" si="24">SUM(F51:F52)+SUM(F46:F47)-F56</f>
        <v>0</v>
      </c>
      <c r="G53" s="50">
        <f t="shared" si="24"/>
        <v>0</v>
      </c>
      <c r="H53" s="51">
        <f t="shared" si="24"/>
        <v>0</v>
      </c>
      <c r="I53" s="42">
        <f t="shared" si="24"/>
        <v>0</v>
      </c>
      <c r="J53" s="62">
        <f t="shared" si="24"/>
        <v>0</v>
      </c>
      <c r="K53" s="159">
        <f t="shared" si="24"/>
        <v>0</v>
      </c>
      <c r="L53" s="50">
        <f t="shared" si="24"/>
        <v>0</v>
      </c>
      <c r="M53" s="62">
        <f t="shared" si="24"/>
        <v>0</v>
      </c>
    </row>
    <row r="54" spans="1:18" ht="15.5" thickTop="1" thickBot="1" x14ac:dyDescent="0.4">
      <c r="A54" s="54" t="s">
        <v>23</v>
      </c>
      <c r="B54" s="54"/>
      <c r="C54" s="197">
        <v>0</v>
      </c>
      <c r="D54" s="203"/>
      <c r="E54" s="42">
        <f>SUM(E51:E52)-E39</f>
        <v>0</v>
      </c>
      <c r="F54" s="42">
        <f t="shared" ref="F54:J54" si="25">SUM(F51:F52)-F39</f>
        <v>0</v>
      </c>
      <c r="G54" s="50">
        <f t="shared" ref="G54:I54" si="26">SUM(G51:G52)-G39</f>
        <v>0</v>
      </c>
      <c r="H54" s="51">
        <f t="shared" si="26"/>
        <v>0</v>
      </c>
      <c r="I54" s="42">
        <f t="shared" si="26"/>
        <v>0</v>
      </c>
      <c r="J54" s="62">
        <f t="shared" si="25"/>
        <v>0</v>
      </c>
      <c r="K54" s="160">
        <f t="shared" ref="K54:M54" si="27">SUM(K51:K52)-K39</f>
        <v>0</v>
      </c>
      <c r="L54" s="42">
        <f t="shared" si="27"/>
        <v>0</v>
      </c>
      <c r="M54" s="42">
        <f t="shared" si="27"/>
        <v>0</v>
      </c>
    </row>
    <row r="55" spans="1:18" ht="15.5" thickTop="1" thickBot="1" x14ac:dyDescent="0.4">
      <c r="C55" s="99"/>
      <c r="D55" s="191"/>
      <c r="E55" s="17"/>
      <c r="F55" s="17"/>
      <c r="G55" s="17"/>
      <c r="H55" s="10"/>
      <c r="I55" s="17"/>
      <c r="J55" s="11"/>
      <c r="K55" s="17"/>
      <c r="L55" s="17"/>
      <c r="M55" s="11"/>
    </row>
    <row r="56" spans="1:18" ht="15" thickBot="1" x14ac:dyDescent="0.4">
      <c r="A56" s="46" t="s">
        <v>35</v>
      </c>
      <c r="B56" s="115">
        <f>+B46+B47</f>
        <v>279015.33421999903</v>
      </c>
      <c r="C56" s="196">
        <f>(C16-SUM(C19:C23))+SUM(C51:C52)+B56</f>
        <v>414077.68999999901</v>
      </c>
      <c r="D56" s="200">
        <f>(D16-SUM(D19:D23))+SUM(D51:D52)+C56</f>
        <v>414077.68999999901</v>
      </c>
      <c r="E56" s="41">
        <f>(E16-SUM(E19:E23))+SUM(E51:E52)+D56</f>
        <v>378759.88999999902</v>
      </c>
      <c r="F56" s="41">
        <f t="shared" ref="F56:M56" si="28">(F16-SUM(F19:F23))+SUM(F51:F52)+E56</f>
        <v>336140.65999999904</v>
      </c>
      <c r="G56" s="107">
        <f t="shared" si="28"/>
        <v>280739.57999999903</v>
      </c>
      <c r="H56" s="40">
        <f t="shared" si="28"/>
        <v>234964.09999999902</v>
      </c>
      <c r="I56" s="41">
        <f t="shared" si="28"/>
        <v>210427.32999999903</v>
      </c>
      <c r="J56" s="61">
        <f t="shared" si="28"/>
        <v>189051.89999999903</v>
      </c>
      <c r="K56" s="158">
        <f t="shared" si="28"/>
        <v>170465.87496999901</v>
      </c>
      <c r="L56" s="107">
        <f t="shared" si="28"/>
        <v>147107.758869999</v>
      </c>
      <c r="M56" s="61">
        <f t="shared" si="28"/>
        <v>121367.972589999</v>
      </c>
      <c r="R56" s="336"/>
    </row>
    <row r="57" spans="1:18" x14ac:dyDescent="0.35">
      <c r="A57" s="46" t="s">
        <v>12</v>
      </c>
      <c r="C57" s="116"/>
      <c r="D57" s="204"/>
      <c r="E57" s="17"/>
      <c r="F57" s="17"/>
      <c r="G57" s="17"/>
      <c r="H57" s="10"/>
      <c r="I57" s="17"/>
      <c r="J57" s="11"/>
      <c r="K57" s="17"/>
      <c r="L57" s="17"/>
      <c r="M57" s="11"/>
    </row>
    <row r="58" spans="1:18" ht="15" thickBot="1" x14ac:dyDescent="0.4">
      <c r="A58" s="37"/>
      <c r="B58" s="37"/>
      <c r="C58" s="143"/>
      <c r="D58" s="205"/>
      <c r="E58" s="44"/>
      <c r="F58" s="44"/>
      <c r="G58" s="44"/>
      <c r="H58" s="43"/>
      <c r="I58" s="44"/>
      <c r="J58" s="45"/>
      <c r="K58" s="44"/>
      <c r="L58" s="44"/>
      <c r="M58" s="45"/>
    </row>
    <row r="60" spans="1:18" x14ac:dyDescent="0.35">
      <c r="A60" s="69" t="s">
        <v>11</v>
      </c>
      <c r="B60" s="69"/>
      <c r="C60" s="69"/>
      <c r="D60" s="69"/>
    </row>
    <row r="61" spans="1:18" ht="34.5" customHeight="1" x14ac:dyDescent="0.35">
      <c r="A61" s="381" t="s">
        <v>226</v>
      </c>
      <c r="B61" s="381"/>
      <c r="C61" s="381"/>
      <c r="D61" s="381"/>
      <c r="E61" s="381"/>
      <c r="F61" s="381"/>
      <c r="G61" s="381"/>
      <c r="H61" s="381"/>
      <c r="I61" s="381"/>
      <c r="J61" s="381"/>
      <c r="K61" s="187"/>
      <c r="L61" s="141"/>
      <c r="M61" s="141"/>
    </row>
    <row r="62" spans="1:18" ht="60.75" customHeight="1" x14ac:dyDescent="0.35">
      <c r="A62" s="381" t="s">
        <v>255</v>
      </c>
      <c r="B62" s="381"/>
      <c r="C62" s="381"/>
      <c r="D62" s="381"/>
      <c r="E62" s="381"/>
      <c r="F62" s="381"/>
      <c r="G62" s="381"/>
      <c r="H62" s="381"/>
      <c r="I62" s="381"/>
      <c r="J62" s="381"/>
      <c r="K62" s="381"/>
      <c r="L62" s="141"/>
      <c r="M62" s="141"/>
    </row>
    <row r="63" spans="1:18" ht="33.75" customHeight="1" x14ac:dyDescent="0.35">
      <c r="A63" s="381" t="s">
        <v>225</v>
      </c>
      <c r="B63" s="381"/>
      <c r="C63" s="381"/>
      <c r="D63" s="381"/>
      <c r="E63" s="381"/>
      <c r="F63" s="381"/>
      <c r="G63" s="381"/>
      <c r="H63" s="381"/>
      <c r="I63" s="381"/>
      <c r="J63" s="381"/>
      <c r="K63" s="319"/>
      <c r="L63" s="141"/>
      <c r="M63" s="141"/>
    </row>
    <row r="64" spans="1:18" x14ac:dyDescent="0.35">
      <c r="A64" s="381" t="s">
        <v>259</v>
      </c>
      <c r="B64" s="381"/>
      <c r="C64" s="381"/>
      <c r="D64" s="381"/>
      <c r="E64" s="381"/>
      <c r="F64" s="381"/>
      <c r="G64" s="381"/>
      <c r="H64" s="381"/>
      <c r="I64" s="381"/>
      <c r="J64" s="381"/>
      <c r="K64" s="39"/>
    </row>
    <row r="65" spans="1:11" x14ac:dyDescent="0.35">
      <c r="A65" s="63" t="s">
        <v>286</v>
      </c>
      <c r="B65" s="63"/>
      <c r="C65" s="63"/>
      <c r="D65" s="63"/>
      <c r="E65" s="39"/>
      <c r="F65" s="39"/>
      <c r="G65" s="39"/>
      <c r="H65" s="39"/>
      <c r="I65" s="39"/>
      <c r="J65" s="39"/>
      <c r="K65" s="39"/>
    </row>
    <row r="66" spans="1:11" x14ac:dyDescent="0.35">
      <c r="A66" s="3" t="s">
        <v>68</v>
      </c>
      <c r="B66" s="3"/>
      <c r="C66" s="3"/>
      <c r="D66" s="3"/>
    </row>
    <row r="67" spans="1:11" x14ac:dyDescent="0.35">
      <c r="A67" s="3" t="s">
        <v>182</v>
      </c>
      <c r="B67" s="3"/>
      <c r="C67" s="3"/>
      <c r="D67" s="3"/>
    </row>
    <row r="69" spans="1:11" ht="31.5" customHeight="1" x14ac:dyDescent="0.35">
      <c r="A69" s="377"/>
      <c r="B69" s="377"/>
      <c r="C69" s="377"/>
      <c r="D69" s="377"/>
      <c r="E69" s="377"/>
      <c r="F69" s="377"/>
      <c r="G69" s="377"/>
    </row>
  </sheetData>
  <mergeCells count="8">
    <mergeCell ref="A69:G69"/>
    <mergeCell ref="A63:J63"/>
    <mergeCell ref="E14:G14"/>
    <mergeCell ref="A61:J61"/>
    <mergeCell ref="A62:K62"/>
    <mergeCell ref="H14:J14"/>
    <mergeCell ref="K14:M14"/>
    <mergeCell ref="A64:J64"/>
  </mergeCells>
  <pageMargins left="0.2" right="0.2" top="0.75" bottom="0.25" header="0.3" footer="0.3"/>
  <pageSetup scale="43" orientation="landscape" r:id="rId1"/>
  <headerFooter>
    <oddHeader>&amp;C&amp;F &amp;A&amp;R&amp;"Arial"&amp;10&amp;K000000CONFIDENTIAL</oddHeader>
    <oddFooter>&amp;R&amp;1#&amp;"Calibri"&amp;10&amp;KA80000Internal Use Only</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8C6FD-573A-4176-92FB-AA44C927F50B}">
  <sheetPr>
    <pageSetUpPr fitToPage="1"/>
  </sheetPr>
  <dimension ref="A1:AI74"/>
  <sheetViews>
    <sheetView topLeftCell="A29" zoomScale="85" zoomScaleNormal="85" workbookViewId="0">
      <selection activeCell="L37" sqref="L37"/>
    </sheetView>
  </sheetViews>
  <sheetFormatPr defaultColWidth="9.1796875" defaultRowHeight="14.5" outlineLevelCol="1" x14ac:dyDescent="0.35"/>
  <cols>
    <col min="1" max="1" width="37" style="46" customWidth="1"/>
    <col min="2" max="2" width="12.1796875" style="46" customWidth="1"/>
    <col min="3" max="3" width="12.453125" style="46" customWidth="1"/>
    <col min="4" max="4" width="12.453125" style="46" customWidth="1" outlineLevel="1"/>
    <col min="5" max="5" width="15.453125" style="46" customWidth="1"/>
    <col min="6" max="6" width="15.81640625" style="46" customWidth="1"/>
    <col min="7" max="7" width="12.26953125" style="46" customWidth="1"/>
    <col min="8" max="9" width="13.26953125" style="46" customWidth="1"/>
    <col min="10" max="10" width="12.26953125" style="46" bestFit="1" customWidth="1"/>
    <col min="11" max="11" width="11.54296875" style="46" bestFit="1" customWidth="1"/>
    <col min="12" max="12" width="12.81640625" style="46" customWidth="1"/>
    <col min="13" max="13" width="12.26953125" style="46" bestFit="1" customWidth="1"/>
    <col min="14" max="14" width="15" style="46" bestFit="1" customWidth="1"/>
    <col min="15" max="15" width="16" style="46" bestFit="1" customWidth="1"/>
    <col min="16" max="16" width="15.26953125" style="46" hidden="1" customWidth="1" outlineLevel="1"/>
    <col min="17" max="17" width="17.453125" style="46" bestFit="1" customWidth="1" collapsed="1"/>
    <col min="18" max="18" width="16.26953125" style="46" bestFit="1" customWidth="1"/>
    <col min="19" max="19" width="15.26953125" style="46" bestFit="1" customWidth="1"/>
    <col min="20" max="20" width="12.453125" style="46" customWidth="1"/>
    <col min="21" max="22" width="14.26953125" style="46" bestFit="1" customWidth="1"/>
    <col min="23" max="16384" width="9.1796875" style="46"/>
  </cols>
  <sheetData>
    <row r="1" spans="1:35" x14ac:dyDescent="0.35">
      <c r="A1" s="3" t="str">
        <f>+'PPC Cycle 3'!A1</f>
        <v>Evergy Metro, Inc. - DSIM Rider Update Filed 12/01/2024</v>
      </c>
      <c r="B1" s="3"/>
      <c r="C1" s="3"/>
      <c r="D1" s="3"/>
    </row>
    <row r="2" spans="1:35" x14ac:dyDescent="0.35">
      <c r="E2" s="3" t="s">
        <v>138</v>
      </c>
    </row>
    <row r="3" spans="1:35" ht="29" x14ac:dyDescent="0.35">
      <c r="E3" s="48" t="s">
        <v>45</v>
      </c>
      <c r="F3" s="70" t="s">
        <v>69</v>
      </c>
      <c r="G3" s="70" t="s">
        <v>53</v>
      </c>
      <c r="H3" s="48" t="s">
        <v>3</v>
      </c>
      <c r="I3" s="70" t="s">
        <v>54</v>
      </c>
      <c r="J3" s="48" t="s">
        <v>10</v>
      </c>
      <c r="K3" s="48" t="s">
        <v>9</v>
      </c>
      <c r="S3" s="48"/>
    </row>
    <row r="4" spans="1:35" x14ac:dyDescent="0.35">
      <c r="A4" s="20" t="s">
        <v>24</v>
      </c>
      <c r="B4" s="20"/>
      <c r="C4" s="20"/>
      <c r="D4" s="20"/>
      <c r="E4" s="22">
        <f>SUM(C16:M16)</f>
        <v>1192752.87693</v>
      </c>
      <c r="F4" s="133">
        <f>N23</f>
        <v>18490911.767306805</v>
      </c>
      <c r="G4" s="22">
        <f>SUM(C30:L30)</f>
        <v>1338028.29</v>
      </c>
      <c r="H4" s="22">
        <f>G4-E4</f>
        <v>145275.41307000001</v>
      </c>
      <c r="I4" s="22">
        <f>+B46</f>
        <v>-117547.41165999997</v>
      </c>
      <c r="J4" s="22">
        <f>SUM(C54:L54)</f>
        <v>8762.48</v>
      </c>
      <c r="K4" s="25">
        <f>SUM(H4:J4)</f>
        <v>36490.481410000037</v>
      </c>
      <c r="L4" s="47">
        <f>+K4-M46</f>
        <v>0</v>
      </c>
    </row>
    <row r="5" spans="1:35" x14ac:dyDescent="0.35">
      <c r="A5" s="20" t="s">
        <v>104</v>
      </c>
      <c r="B5" s="20"/>
      <c r="C5" s="20"/>
      <c r="D5" s="20"/>
      <c r="E5" s="22">
        <f t="shared" ref="E5:E7" si="0">SUM(C17:M17)</f>
        <v>226700.28512999997</v>
      </c>
      <c r="F5" s="133">
        <f t="shared" ref="F5:F7" si="1">N24</f>
        <v>6019963.6557068732</v>
      </c>
      <c r="G5" s="22">
        <f t="shared" ref="G5:G7" si="2">SUM(C31:L31)</f>
        <v>415353.82000000007</v>
      </c>
      <c r="H5" s="22">
        <f t="shared" ref="H5:H7" si="3">G5-E5</f>
        <v>188653.53487000009</v>
      </c>
      <c r="I5" s="22">
        <f t="shared" ref="I5:I7" si="4">+B47</f>
        <v>-46470.808810000075</v>
      </c>
      <c r="J5" s="22">
        <f t="shared" ref="J5:J7" si="5">SUM(C55:L55)</f>
        <v>3737.3500000000004</v>
      </c>
      <c r="K5" s="25">
        <f t="shared" ref="K5:K7" si="6">SUM(H5:J5)</f>
        <v>145920.07606000002</v>
      </c>
      <c r="L5" s="47">
        <f>+K5-M47</f>
        <v>0</v>
      </c>
    </row>
    <row r="6" spans="1:35" x14ac:dyDescent="0.35">
      <c r="A6" s="20" t="s">
        <v>105</v>
      </c>
      <c r="B6" s="20"/>
      <c r="C6" s="20"/>
      <c r="D6" s="20"/>
      <c r="E6" s="22">
        <f t="shared" si="0"/>
        <v>721821.22048999998</v>
      </c>
      <c r="F6" s="133">
        <f t="shared" si="1"/>
        <v>12731971.28038807</v>
      </c>
      <c r="G6" s="22">
        <f t="shared" si="2"/>
        <v>637361.58000000007</v>
      </c>
      <c r="H6" s="22">
        <f t="shared" si="3"/>
        <v>-84459.640489999903</v>
      </c>
      <c r="I6" s="22">
        <f t="shared" si="4"/>
        <v>278000.8466499999</v>
      </c>
      <c r="J6" s="22">
        <f t="shared" si="5"/>
        <v>12430.52</v>
      </c>
      <c r="K6" s="25">
        <f t="shared" si="6"/>
        <v>205971.72615999999</v>
      </c>
      <c r="L6" s="47">
        <f>+K6-M48</f>
        <v>0</v>
      </c>
    </row>
    <row r="7" spans="1:35" x14ac:dyDescent="0.35">
      <c r="A7" s="20" t="s">
        <v>106</v>
      </c>
      <c r="B7" s="20"/>
      <c r="C7" s="20"/>
      <c r="D7" s="20"/>
      <c r="E7" s="22">
        <f t="shared" si="0"/>
        <v>502143.83663999999</v>
      </c>
      <c r="F7" s="133">
        <f t="shared" si="1"/>
        <v>14063954.205232326</v>
      </c>
      <c r="G7" s="22">
        <f t="shared" si="2"/>
        <v>444816.36</v>
      </c>
      <c r="H7" s="22">
        <f t="shared" si="3"/>
        <v>-57327.476640000008</v>
      </c>
      <c r="I7" s="22">
        <f t="shared" si="4"/>
        <v>101274.42076000001</v>
      </c>
      <c r="J7" s="22">
        <f t="shared" si="5"/>
        <v>5555.2999999999993</v>
      </c>
      <c r="K7" s="25">
        <f t="shared" si="6"/>
        <v>49502.244120000003</v>
      </c>
      <c r="L7" s="47">
        <f>+K7-M49</f>
        <v>0</v>
      </c>
    </row>
    <row r="8" spans="1:35" ht="15" thickBot="1" x14ac:dyDescent="0.4">
      <c r="A8" s="20" t="s">
        <v>107</v>
      </c>
      <c r="B8" s="20"/>
      <c r="C8" s="20"/>
      <c r="D8" s="20"/>
      <c r="E8" s="22">
        <f>SUM(C20:M20)</f>
        <v>32231.354220000001</v>
      </c>
      <c r="F8" s="133">
        <f>N27</f>
        <v>2125023.1124141212</v>
      </c>
      <c r="G8" s="22">
        <f>SUM(C34:L34)</f>
        <v>29012.809999999998</v>
      </c>
      <c r="H8" s="22">
        <f>G8-E8</f>
        <v>-3218.5442200000034</v>
      </c>
      <c r="I8" s="22">
        <f>+B50</f>
        <v>-6837.8610399999834</v>
      </c>
      <c r="J8" s="22">
        <f>SUM(C58:L58)</f>
        <v>-61.650000000000006</v>
      </c>
      <c r="K8" s="25">
        <f>SUM(H8:J8)</f>
        <v>-10118.055259999986</v>
      </c>
      <c r="L8" s="47">
        <f>+K8-M50</f>
        <v>0</v>
      </c>
    </row>
    <row r="9" spans="1:35" ht="15.5" thickTop="1" thickBot="1" x14ac:dyDescent="0.4">
      <c r="E9" s="27">
        <f t="shared" ref="E9:I9" si="7">SUM(E4:E8)</f>
        <v>2675649.5734100002</v>
      </c>
      <c r="F9" s="134">
        <f t="shared" si="7"/>
        <v>53431824.021048203</v>
      </c>
      <c r="G9" s="27">
        <f t="shared" si="7"/>
        <v>2864572.8600000003</v>
      </c>
      <c r="H9" s="27">
        <f t="shared" si="7"/>
        <v>188923.28659000018</v>
      </c>
      <c r="I9" s="27">
        <f t="shared" si="7"/>
        <v>208419.18589999987</v>
      </c>
      <c r="J9" s="27">
        <f>SUM(J4:J8)</f>
        <v>30423.999999999996</v>
      </c>
      <c r="K9" s="27">
        <f>SUM(K4:K8)</f>
        <v>427766.47249000007</v>
      </c>
      <c r="T9" s="5"/>
    </row>
    <row r="10" spans="1:35" ht="15.5" thickTop="1" thickBot="1" x14ac:dyDescent="0.4">
      <c r="K10" s="222"/>
      <c r="L10" s="221"/>
    </row>
    <row r="11" spans="1:35" ht="87.5" thickBot="1" x14ac:dyDescent="0.4">
      <c r="B11" s="114" t="str">
        <f>+'PCR Cycle 2'!B14</f>
        <v>Cumulative Over/Under Carryover From 06/01/2024 Filing</v>
      </c>
      <c r="C11" s="148" t="str">
        <f>+'PCR Cycle 2'!C14</f>
        <v>Reverse May 2024 - July 2024 Forecast From 06/01/2024 Filing</v>
      </c>
      <c r="D11" s="334" t="s">
        <v>288</v>
      </c>
      <c r="E11" s="382" t="s">
        <v>32</v>
      </c>
      <c r="F11" s="382"/>
      <c r="G11" s="383"/>
      <c r="H11" s="389" t="s">
        <v>32</v>
      </c>
      <c r="I11" s="390"/>
      <c r="J11" s="391"/>
      <c r="K11" s="378" t="s">
        <v>8</v>
      </c>
      <c r="L11" s="379"/>
      <c r="M11" s="380"/>
      <c r="P11" s="287" t="s">
        <v>236</v>
      </c>
    </row>
    <row r="12" spans="1:35" x14ac:dyDescent="0.35">
      <c r="A12" s="46" t="s">
        <v>62</v>
      </c>
      <c r="C12" s="104"/>
      <c r="D12" s="206"/>
      <c r="E12" s="19">
        <f>+'PCR Cycle 2'!E15</f>
        <v>45443</v>
      </c>
      <c r="F12" s="19">
        <f t="shared" ref="F12:M12" si="8">EOMONTH(E12,1)</f>
        <v>45473</v>
      </c>
      <c r="G12" s="19">
        <f t="shared" si="8"/>
        <v>45504</v>
      </c>
      <c r="H12" s="14">
        <f t="shared" si="8"/>
        <v>45535</v>
      </c>
      <c r="I12" s="19">
        <f t="shared" si="8"/>
        <v>45565</v>
      </c>
      <c r="J12" s="15">
        <f t="shared" si="8"/>
        <v>45596</v>
      </c>
      <c r="K12" s="19">
        <f t="shared" si="8"/>
        <v>45626</v>
      </c>
      <c r="L12" s="19">
        <f t="shared" si="8"/>
        <v>45657</v>
      </c>
      <c r="M12" s="15">
        <f t="shared" si="8"/>
        <v>45688</v>
      </c>
      <c r="P12" s="185"/>
      <c r="Z12" s="1"/>
      <c r="AA12" s="1"/>
      <c r="AB12" s="1"/>
      <c r="AC12" s="1"/>
      <c r="AD12" s="1"/>
      <c r="AE12" s="1"/>
      <c r="AF12" s="1"/>
      <c r="AG12" s="1"/>
      <c r="AH12" s="1"/>
      <c r="AI12" s="1"/>
    </row>
    <row r="13" spans="1:35" x14ac:dyDescent="0.35">
      <c r="A13" s="46" t="s">
        <v>5</v>
      </c>
      <c r="C13" s="188">
        <v>-845078.99</v>
      </c>
      <c r="D13" s="190">
        <f t="shared" ref="D13:L13" si="9">SUM(D30:D34)</f>
        <v>-493.27999999990425</v>
      </c>
      <c r="E13" s="108">
        <f t="shared" si="9"/>
        <v>345955.07</v>
      </c>
      <c r="F13" s="108">
        <f t="shared" si="9"/>
        <v>519600.64999999997</v>
      </c>
      <c r="G13" s="109">
        <f t="shared" si="9"/>
        <v>628785.5399999998</v>
      </c>
      <c r="H13" s="16">
        <f t="shared" si="9"/>
        <v>623734.66</v>
      </c>
      <c r="I13" s="55">
        <f t="shared" si="9"/>
        <v>498079.08</v>
      </c>
      <c r="J13" s="161">
        <f t="shared" si="9"/>
        <v>341250.55</v>
      </c>
      <c r="K13" s="154">
        <f t="shared" si="9"/>
        <v>365776.29999999993</v>
      </c>
      <c r="L13" s="78">
        <f t="shared" si="9"/>
        <v>386963.28</v>
      </c>
      <c r="M13" s="79"/>
      <c r="P13" s="185">
        <f>-SUM(K13:M13)</f>
        <v>-752739.58</v>
      </c>
    </row>
    <row r="14" spans="1:35" x14ac:dyDescent="0.35">
      <c r="C14" s="99"/>
      <c r="D14" s="191"/>
      <c r="E14" s="17"/>
      <c r="F14" s="17"/>
      <c r="G14" s="17"/>
      <c r="H14" s="10"/>
      <c r="I14" s="17"/>
      <c r="J14" s="11"/>
      <c r="K14" s="31"/>
      <c r="L14" s="31"/>
      <c r="M14" s="29"/>
      <c r="P14" s="185"/>
    </row>
    <row r="15" spans="1:35" x14ac:dyDescent="0.35">
      <c r="A15" s="46" t="s">
        <v>61</v>
      </c>
      <c r="C15" s="99"/>
      <c r="D15" s="191"/>
      <c r="E15" s="18"/>
      <c r="F15" s="18"/>
      <c r="G15" s="18"/>
      <c r="H15" s="91"/>
      <c r="I15" s="18"/>
      <c r="J15" s="162"/>
      <c r="K15" s="31"/>
      <c r="L15" s="31"/>
      <c r="M15" s="29"/>
      <c r="N15" s="63" t="s">
        <v>66</v>
      </c>
      <c r="O15" s="39"/>
      <c r="P15" s="185"/>
    </row>
    <row r="16" spans="1:35" x14ac:dyDescent="0.35">
      <c r="A16" s="46" t="s">
        <v>24</v>
      </c>
      <c r="C16" s="188">
        <v>-433856.51165999996</v>
      </c>
      <c r="D16" s="190"/>
      <c r="E16" s="131">
        <f>'[5]May 2024'!$G104</f>
        <v>101121.62</v>
      </c>
      <c r="F16" s="131">
        <f>'[5]June 2024'!$G104</f>
        <v>139158.87</v>
      </c>
      <c r="G16" s="131">
        <f>'[5]July 2024'!$G104</f>
        <v>196164.08</v>
      </c>
      <c r="H16" s="16">
        <f>'[5]August 2024'!$G104</f>
        <v>205912.03</v>
      </c>
      <c r="I16" s="117">
        <f>'[5]September 2024'!$G104</f>
        <v>221472.05</v>
      </c>
      <c r="J16" s="166">
        <f>'[5]October 2024'!$G104</f>
        <v>175685.81</v>
      </c>
      <c r="K16" s="119">
        <f>'PCR Cycle 2'!K27*'TDR Cycle 3'!$N16</f>
        <v>145354.63143000001</v>
      </c>
      <c r="L16" s="41">
        <f>'PCR Cycle 2'!L27*'TDR Cycle 3'!$N16</f>
        <v>207989.92298999999</v>
      </c>
      <c r="M16" s="61">
        <f>'PCR Cycle 2'!M27*'TDR Cycle 3'!$N16</f>
        <v>233750.37417</v>
      </c>
      <c r="N16" s="72">
        <v>8.7000000000000001E-4</v>
      </c>
      <c r="O16" s="4"/>
      <c r="P16" s="185">
        <f t="shared" ref="P16:P20" si="10">-SUM(K16:M16)</f>
        <v>-587094.92859000002</v>
      </c>
    </row>
    <row r="17" spans="1:16" x14ac:dyDescent="0.35">
      <c r="A17" s="46" t="s">
        <v>104</v>
      </c>
      <c r="C17" s="188">
        <v>-66742.768810000009</v>
      </c>
      <c r="D17" s="190"/>
      <c r="E17" s="131">
        <f>'[5]May 2024'!$G105</f>
        <v>19110.61</v>
      </c>
      <c r="F17" s="131">
        <f>'[5]June 2024'!$G105</f>
        <v>22082.53</v>
      </c>
      <c r="G17" s="131">
        <f>'[5]July 2024'!$G105</f>
        <v>25663.360000000001</v>
      </c>
      <c r="H17" s="16">
        <f>'[5]August 2024'!$G105</f>
        <v>30466.63</v>
      </c>
      <c r="I17" s="117">
        <f>'[5]September 2024'!$G105</f>
        <v>42961.17</v>
      </c>
      <c r="J17" s="166">
        <f>'[5]October 2024'!$G105</f>
        <v>40089.54</v>
      </c>
      <c r="K17" s="119">
        <f>'PCR Cycle 2'!K28*'TDR Cycle 3'!$N17</f>
        <v>35314.391089999997</v>
      </c>
      <c r="L17" s="41">
        <f>'PCR Cycle 2'!L28*'TDR Cycle 3'!$N17</f>
        <v>38703.135889999998</v>
      </c>
      <c r="M17" s="61">
        <f>'PCR Cycle 2'!M28*'TDR Cycle 3'!$N17</f>
        <v>39051.686959999999</v>
      </c>
      <c r="N17" s="72">
        <v>7.1000000000000002E-4</v>
      </c>
      <c r="O17" s="4"/>
      <c r="P17" s="185">
        <f t="shared" si="10"/>
        <v>-113069.21393999999</v>
      </c>
    </row>
    <row r="18" spans="1:16" x14ac:dyDescent="0.35">
      <c r="A18" s="46" t="s">
        <v>105</v>
      </c>
      <c r="C18" s="188">
        <v>-145979.89335000003</v>
      </c>
      <c r="D18" s="190"/>
      <c r="E18" s="131">
        <f>'[5]May 2024'!$G106</f>
        <v>41010.36</v>
      </c>
      <c r="F18" s="131">
        <f>'[5]June 2024'!$G106</f>
        <v>46230.35</v>
      </c>
      <c r="G18" s="131">
        <f>'[5]July 2024'!$G106</f>
        <v>54193.15</v>
      </c>
      <c r="H18" s="16">
        <f>'[5]August 2024'!$G106</f>
        <v>75451.360000000001</v>
      </c>
      <c r="I18" s="117">
        <f>'[5]September 2024'!$G106</f>
        <v>136666.79999999999</v>
      </c>
      <c r="J18" s="166">
        <f>'[5]October 2024'!$G106</f>
        <v>130701.12</v>
      </c>
      <c r="K18" s="119">
        <f>'PCR Cycle 2'!K29*'TDR Cycle 3'!$N18</f>
        <v>119791.78655999999</v>
      </c>
      <c r="L18" s="41">
        <f>'PCR Cycle 2'!L29*'TDR Cycle 3'!$N18</f>
        <v>131286.92408</v>
      </c>
      <c r="M18" s="61">
        <f>'PCR Cycle 2'!M29*'TDR Cycle 3'!$N18</f>
        <v>132469.26319999999</v>
      </c>
      <c r="N18" s="72">
        <v>1.3599999999999999E-3</v>
      </c>
      <c r="O18" s="4"/>
      <c r="P18" s="185">
        <f t="shared" si="10"/>
        <v>-383547.97383999999</v>
      </c>
    </row>
    <row r="19" spans="1:16" x14ac:dyDescent="0.35">
      <c r="A19" s="46" t="s">
        <v>106</v>
      </c>
      <c r="C19" s="188">
        <v>-131955.72924000002</v>
      </c>
      <c r="D19" s="190"/>
      <c r="E19" s="131">
        <f>'[5]May 2024'!$G107</f>
        <v>41471.58</v>
      </c>
      <c r="F19" s="131">
        <f>'[5]June 2024'!$G107</f>
        <v>42325.37</v>
      </c>
      <c r="G19" s="131">
        <f>'[5]July 2024'!$G107</f>
        <v>47637.02</v>
      </c>
      <c r="H19" s="16">
        <f>'[5]August 2024'!$G107</f>
        <v>59146.61</v>
      </c>
      <c r="I19" s="117">
        <f>'[5]September 2024'!$G107</f>
        <v>93674.7</v>
      </c>
      <c r="J19" s="166">
        <f>'[5]October 2024'!$G107</f>
        <v>89258.82</v>
      </c>
      <c r="K19" s="119">
        <f>'PCR Cycle 2'!K30*'TDR Cycle 3'!$N19</f>
        <v>81387.467669999998</v>
      </c>
      <c r="L19" s="41">
        <f>'PCR Cycle 2'!L30*'TDR Cycle 3'!$N19</f>
        <v>89197.354019999999</v>
      </c>
      <c r="M19" s="61">
        <f>'PCR Cycle 2'!M30*'TDR Cycle 3'!$N19</f>
        <v>90000.644189999992</v>
      </c>
      <c r="N19" s="72">
        <v>5.6999999999999998E-4</v>
      </c>
      <c r="O19" s="4"/>
      <c r="P19" s="185">
        <f t="shared" si="10"/>
        <v>-260585.46588</v>
      </c>
    </row>
    <row r="20" spans="1:16" x14ac:dyDescent="0.35">
      <c r="A20" s="46" t="s">
        <v>107</v>
      </c>
      <c r="C20" s="188">
        <v>-9671.1610400000009</v>
      </c>
      <c r="D20" s="190"/>
      <c r="E20" s="131">
        <f>'[5]May 2024'!$G108</f>
        <v>3068.29</v>
      </c>
      <c r="F20" s="131">
        <f>'[5]June 2024'!$G108</f>
        <v>2554.11</v>
      </c>
      <c r="G20" s="131">
        <f>'[5]July 2024'!$G108</f>
        <v>4059.34</v>
      </c>
      <c r="H20" s="16">
        <f>'[5]August 2024'!$G108</f>
        <v>4126.08</v>
      </c>
      <c r="I20" s="117">
        <f>'[5]September 2024'!$G108</f>
        <v>4895.76</v>
      </c>
      <c r="J20" s="166">
        <f>'[5]October 2024'!$G108</f>
        <v>6494.52</v>
      </c>
      <c r="K20" s="119">
        <f>'PCR Cycle 2'!K31*'TDR Cycle 3'!$N20</f>
        <v>5217.2136899999996</v>
      </c>
      <c r="L20" s="41">
        <f>'PCR Cycle 2'!L31*'TDR Cycle 3'!$N20</f>
        <v>5717.8539599999995</v>
      </c>
      <c r="M20" s="61">
        <f>'PCR Cycle 2'!M31*'TDR Cycle 3'!$N20</f>
        <v>5769.3476099999998</v>
      </c>
      <c r="N20" s="72">
        <v>1.2999999999999999E-4</v>
      </c>
      <c r="O20" s="4"/>
      <c r="P20" s="185">
        <f t="shared" si="10"/>
        <v>-16704.415259999998</v>
      </c>
    </row>
    <row r="21" spans="1:16" x14ac:dyDescent="0.35">
      <c r="C21" s="67"/>
      <c r="D21" s="192"/>
      <c r="E21" s="68"/>
      <c r="F21" s="68"/>
      <c r="G21" s="68"/>
      <c r="H21" s="67"/>
      <c r="I21" s="68"/>
      <c r="J21" s="164"/>
      <c r="K21" s="56"/>
      <c r="L21" s="56"/>
      <c r="M21" s="13"/>
      <c r="O21" s="4"/>
    </row>
    <row r="22" spans="1:16" x14ac:dyDescent="0.35">
      <c r="A22" s="39" t="s">
        <v>65</v>
      </c>
      <c r="B22" s="39"/>
      <c r="C22" s="67"/>
      <c r="D22" s="192"/>
      <c r="E22" s="56"/>
      <c r="F22" s="56"/>
      <c r="G22" s="56"/>
      <c r="H22" s="12"/>
      <c r="I22" s="56"/>
      <c r="J22" s="165"/>
      <c r="K22" s="56"/>
      <c r="L22" s="56"/>
      <c r="M22" s="13"/>
      <c r="N22" s="7"/>
    </row>
    <row r="23" spans="1:16" x14ac:dyDescent="0.35">
      <c r="A23" s="46" t="s">
        <v>24</v>
      </c>
      <c r="C23" s="189">
        <v>-5393703.4595999997</v>
      </c>
      <c r="D23" s="193">
        <f>-SUM('[14]Summary Monthly TD Calc'!$M18:$Q18)+SUM('[13]Summary Monthly TD Calc'!$M18:$Q18)</f>
        <v>-7530.6772931944579</v>
      </c>
      <c r="E23" s="110">
        <f>ROUND(SUM('[13]Monthly TD Calc-PY1-3'!BE461:BE461)+SUM('[13]Monthly TD Calc-PY4'!BE469:BE469)+SUM('[13]Monthly TD Calc-PY5'!BE577:BE577),4)</f>
        <v>2643492.7418</v>
      </c>
      <c r="F23" s="110">
        <f>ROUND(SUM('[13]Monthly TD Calc-PY1-3'!BF461:BF461)+SUM('[13]Monthly TD Calc-PY4'!BF469:BF469)+SUM('[13]Monthly TD Calc-PY5'!BF577:BF577),4)</f>
        <v>2686911.236</v>
      </c>
      <c r="G23" s="121">
        <f>ROUND(SUM('[13]Monthly TD Calc-PY1-3'!BG461:BG461)+SUM('[13]Monthly TD Calc-PY4'!BG469:BG469)+SUM('[13]Monthly TD Calc-PY5'!BG577:BG577),4)</f>
        <v>3712172.5194999999</v>
      </c>
      <c r="H23" s="74">
        <f>ROUND(SUM('[13]Monthly TD Calc-PY1-3'!BH461:BH461)+SUM('[13]Monthly TD Calc-PY4'!BH469:BH469)+SUM('[13]Monthly TD Calc-PY5'!BH577:BH577),4)</f>
        <v>3597636.5362</v>
      </c>
      <c r="I23" s="75">
        <f>ROUND(SUM('[13]Monthly TD Calc-PY1-3'!BI461:BI461)+SUM('[13]Monthly TD Calc-PY4'!BI469:BI469)+SUM('[13]Monthly TD Calc-PY5'!BI577:BI577),4)</f>
        <v>2668646.2766</v>
      </c>
      <c r="J23" s="166">
        <f>ROUND(SUM('[13]Monthly TD Calc-PY1-3'!BJ461:BJ461)+SUM('[13]Monthly TD Calc-PY4'!BJ469:BJ469)+SUM('[13]Monthly TD Calc-PY5'!BJ577:BJ577),4)</f>
        <v>2750290.4026000001</v>
      </c>
      <c r="K23" s="155">
        <f>ROUND(SUM('[13]Monthly TD Calc-PY1-3'!BK461:BK461)+SUM('[13]Monthly TD Calc-PY4'!BK469:BK469)+SUM('[13]Monthly TD Calc-PY5'!BK577:BK577),4)</f>
        <v>2691021.6647999999</v>
      </c>
      <c r="L23" s="155">
        <f>ROUND(SUM('[13]Monthly TD Calc-PY1-3'!BL461:BL461)+SUM('[13]Monthly TD Calc-PY4'!BL469:BL469)+SUM('[13]Monthly TD Calc-PY5'!BL577:BL577),4)</f>
        <v>3141974.5266999998</v>
      </c>
      <c r="M23" s="80"/>
      <c r="N23" s="59">
        <f>SUM(C23:L23)</f>
        <v>18490911.767306805</v>
      </c>
      <c r="P23" s="185">
        <f t="shared" ref="P23:P27" si="11">-SUM(K23:M23)</f>
        <v>-5832996.1914999997</v>
      </c>
    </row>
    <row r="24" spans="1:16" x14ac:dyDescent="0.35">
      <c r="A24" s="46" t="s">
        <v>104</v>
      </c>
      <c r="C24" s="189">
        <v>-999851.70879999991</v>
      </c>
      <c r="D24" s="193">
        <f>-SUM('[14]Summary Monthly TD Calc'!$M19:$Q19)+SUM('[13]Summary Monthly TD Calc'!$M19:$Q19)</f>
        <v>1.9245068731252104</v>
      </c>
      <c r="E24" s="110">
        <f>ROUND(SUM('[13]Monthly TD Calc-PY1-3'!BE462:BE462)+SUM('[13]Monthly TD Calc-PY4'!BE470:BE470)+SUM('[13]Monthly TD Calc-PY5'!BE578:BE578),4)</f>
        <v>665908.76179999998</v>
      </c>
      <c r="F24" s="110">
        <f>ROUND(SUM('[13]Monthly TD Calc-PY1-3'!BF462:BF462)+SUM('[13]Monthly TD Calc-PY4'!BF470:BF470)+SUM('[13]Monthly TD Calc-PY5'!BF578:BF578),4)</f>
        <v>835731.44209999999</v>
      </c>
      <c r="G24" s="121">
        <f>ROUND(SUM('[13]Monthly TD Calc-PY1-3'!BG462:BG462)+SUM('[13]Monthly TD Calc-PY4'!BG470:BG470)+SUM('[13]Monthly TD Calc-PY5'!BG578:BG578),4)</f>
        <v>907591.99699999997</v>
      </c>
      <c r="H24" s="74">
        <f>ROUND(SUM('[13]Monthly TD Calc-PY1-3'!BH462:BH462)+SUM('[13]Monthly TD Calc-PY4'!BH470:BH470)+SUM('[13]Monthly TD Calc-PY5'!BH578:BH578),4)</f>
        <v>938131.12230000005</v>
      </c>
      <c r="I24" s="75">
        <f>ROUND(SUM('[13]Monthly TD Calc-PY1-3'!BI462:BI462)+SUM('[13]Monthly TD Calc-PY4'!BI470:BI470)+SUM('[13]Monthly TD Calc-PY5'!BI578:BI578),4)</f>
        <v>858927.13589999999</v>
      </c>
      <c r="J24" s="166">
        <f>ROUND(SUM('[13]Monthly TD Calc-PY1-3'!BJ462:BJ462)+SUM('[13]Monthly TD Calc-PY4'!BJ470:BJ470)+SUM('[13]Monthly TD Calc-PY5'!BJ578:BJ578),4)</f>
        <v>916543.55440000002</v>
      </c>
      <c r="K24" s="155">
        <f>ROUND(SUM('[13]Monthly TD Calc-PY1-3'!BK462:BK462)+SUM('[13]Monthly TD Calc-PY4'!BK470:BK470)+SUM('[13]Monthly TD Calc-PY5'!BK578:BK578),4)</f>
        <v>897251.93</v>
      </c>
      <c r="L24" s="139">
        <f>ROUND(SUM('[13]Monthly TD Calc-PY1-3'!BL462:BL462)+SUM('[13]Monthly TD Calc-PY4'!BL470:BL470)+SUM('[13]Monthly TD Calc-PY5'!BL578:BL578),4)</f>
        <v>999727.49650000001</v>
      </c>
      <c r="M24" s="80"/>
      <c r="N24" s="59">
        <f t="shared" ref="N24:N27" si="12">SUM(C24:L24)</f>
        <v>6019963.6557068732</v>
      </c>
      <c r="P24" s="185">
        <f t="shared" si="11"/>
        <v>-1896979.4265000001</v>
      </c>
    </row>
    <row r="25" spans="1:16" x14ac:dyDescent="0.35">
      <c r="A25" s="46" t="s">
        <v>105</v>
      </c>
      <c r="C25" s="189">
        <v>-4096311.6954999999</v>
      </c>
      <c r="D25" s="193">
        <f>-SUM('[14]Summary Monthly TD Calc'!$M20:$Q20)+SUM('[13]Summary Monthly TD Calc'!$M20:$Q20)</f>
        <v>3.8610880710184574</v>
      </c>
      <c r="E25" s="110">
        <f>ROUND(SUM('[13]Monthly TD Calc-PY1-3'!BE463:BE463)+SUM('[13]Monthly TD Calc-PY4'!BE471:BE471)+SUM('[13]Monthly TD Calc-PY5'!BE579:BE579),4)</f>
        <v>2023723.8158</v>
      </c>
      <c r="F25" s="110">
        <f>ROUND(SUM('[13]Monthly TD Calc-PY1-3'!BF463:BF463)+SUM('[13]Monthly TD Calc-PY4'!BF471:BF471)+SUM('[13]Monthly TD Calc-PY5'!BF579:BF579),4)</f>
        <v>1967302.0053000001</v>
      </c>
      <c r="G25" s="121">
        <f>ROUND(SUM('[13]Monthly TD Calc-PY1-3'!BG463:BG463)+SUM('[13]Monthly TD Calc-PY4'!BG471:BG471)+SUM('[13]Monthly TD Calc-PY5'!BG579:BG579),4)</f>
        <v>2060400.6318000001</v>
      </c>
      <c r="H25" s="74">
        <f>ROUND(SUM('[13]Monthly TD Calc-PY1-3'!BH463:BH463)+SUM('[13]Monthly TD Calc-PY4'!BH471:BH471)+SUM('[13]Monthly TD Calc-PY5'!BH579:BH579),4)</f>
        <v>2145536.11</v>
      </c>
      <c r="I25" s="75">
        <f>ROUND(SUM('[13]Monthly TD Calc-PY1-3'!BI463:BI463)+SUM('[13]Monthly TD Calc-PY4'!BI471:BI471)+SUM('[13]Monthly TD Calc-PY5'!BI579:BI579),4)</f>
        <v>2014632.1009</v>
      </c>
      <c r="J25" s="166">
        <f>ROUND(SUM('[13]Monthly TD Calc-PY1-3'!BJ463:BJ463)+SUM('[13]Monthly TD Calc-PY4'!BJ471:BJ471)+SUM('[13]Monthly TD Calc-PY5'!BJ579:BJ579),4)</f>
        <v>2165280.8960000002</v>
      </c>
      <c r="K25" s="155">
        <f>ROUND(SUM('[13]Monthly TD Calc-PY1-3'!BK463:BK463)+SUM('[13]Monthly TD Calc-PY4'!BK471:BK471)+SUM('[13]Monthly TD Calc-PY5'!BK579:BK579),4)</f>
        <v>2122078.5189</v>
      </c>
      <c r="L25" s="139">
        <f>ROUND(SUM('[13]Monthly TD Calc-PY1-3'!BL463:BL463)+SUM('[13]Monthly TD Calc-PY4'!BL471:BL471)+SUM('[13]Monthly TD Calc-PY5'!BL579:BL579),4)</f>
        <v>2329325.0361000001</v>
      </c>
      <c r="M25" s="80"/>
      <c r="N25" s="59">
        <f t="shared" si="12"/>
        <v>12731971.28038807</v>
      </c>
      <c r="P25" s="185">
        <f t="shared" si="11"/>
        <v>-4451403.5549999997</v>
      </c>
    </row>
    <row r="26" spans="1:16" x14ac:dyDescent="0.35">
      <c r="A26" s="46" t="s">
        <v>106</v>
      </c>
      <c r="C26" s="189">
        <v>-4700348.7796</v>
      </c>
      <c r="D26" s="193">
        <f>-SUM('[14]Summary Monthly TD Calc'!$M21:$Q21)+SUM('[13]Summary Monthly TD Calc'!$M21:$Q21)</f>
        <v>6.1430323254317045</v>
      </c>
      <c r="E26" s="110">
        <f>ROUND(SUM('[13]Monthly TD Calc-PY1-3'!BE464:BE464)+SUM('[13]Monthly TD Calc-PY4'!BE472:BE472)+SUM('[13]Monthly TD Calc-PY5'!BE580:BE580),4)</f>
        <v>2278778.1764000002</v>
      </c>
      <c r="F26" s="110">
        <f>ROUND(SUM('[13]Monthly TD Calc-PY1-3'!BF464:BF464)+SUM('[13]Monthly TD Calc-PY4'!BF472:BF472)+SUM('[13]Monthly TD Calc-PY5'!BF580:BF580),4)</f>
        <v>2219356.2991999998</v>
      </c>
      <c r="G26" s="121">
        <f>ROUND(SUM('[13]Monthly TD Calc-PY1-3'!BG464:BG464)+SUM('[13]Monthly TD Calc-PY4'!BG472:BG472)+SUM('[13]Monthly TD Calc-PY5'!BG580:BG580),4)</f>
        <v>2286344.6285999999</v>
      </c>
      <c r="H26" s="74">
        <f>ROUND(SUM('[13]Monthly TD Calc-PY1-3'!BH464:BH464)+SUM('[13]Monthly TD Calc-PY4'!BH472:BH472)+SUM('[13]Monthly TD Calc-PY5'!BH580:BH580),4)</f>
        <v>2361791.3417000002</v>
      </c>
      <c r="I26" s="75">
        <f>ROUND(SUM('[13]Monthly TD Calc-PY1-3'!BI464:BI464)+SUM('[13]Monthly TD Calc-PY4'!BI472:BI472)+SUM('[13]Monthly TD Calc-PY5'!BI580:BI580),4)</f>
        <v>2239297.02</v>
      </c>
      <c r="J26" s="166">
        <f>ROUND(SUM('[13]Monthly TD Calc-PY1-3'!BJ464:BJ464)+SUM('[13]Monthly TD Calc-PY4'!BJ472:BJ472)+SUM('[13]Monthly TD Calc-PY5'!BJ580:BJ580),4)</f>
        <v>2377618.5339000002</v>
      </c>
      <c r="K26" s="155">
        <f>ROUND(SUM('[13]Monthly TD Calc-PY1-3'!BK464:BK464)+SUM('[13]Monthly TD Calc-PY4'!BK472:BK472)+SUM('[13]Monthly TD Calc-PY5'!BK580:BK580),4)</f>
        <v>2337794.9522000002</v>
      </c>
      <c r="L26" s="139">
        <f>ROUND(SUM('[13]Monthly TD Calc-PY1-3'!BL464:BL464)+SUM('[13]Monthly TD Calc-PY4'!BL472:BL472)+SUM('[13]Monthly TD Calc-PY5'!BL580:BL580),4)</f>
        <v>2663315.8898</v>
      </c>
      <c r="M26" s="80"/>
      <c r="N26" s="59">
        <f t="shared" si="12"/>
        <v>14063954.205232326</v>
      </c>
      <c r="P26" s="185">
        <f t="shared" si="11"/>
        <v>-5001110.8420000002</v>
      </c>
    </row>
    <row r="27" spans="1:16" x14ac:dyDescent="0.35">
      <c r="A27" s="46" t="s">
        <v>107</v>
      </c>
      <c r="C27" s="189">
        <v>-742753.23059999989</v>
      </c>
      <c r="D27" s="193">
        <f>-SUM('[14]Summary Monthly TD Calc'!$M22:$Q22)+SUM('[13]Summary Monthly TD Calc'!$M22:$Q22)</f>
        <v>1.6417141209822148</v>
      </c>
      <c r="E27" s="110">
        <f>ROUND(SUM('[13]Monthly TD Calc-PY1-3'!BE465:BE465)+SUM('[13]Monthly TD Calc-PY4'!BE473:BE473)+SUM('[13]Monthly TD Calc-PY5'!BE581:BE581),4)</f>
        <v>345754.70600000001</v>
      </c>
      <c r="F27" s="110">
        <f>ROUND(SUM('[13]Monthly TD Calc-PY1-3'!BF465:BF465)+SUM('[13]Monthly TD Calc-PY4'!BF473:BF473)+SUM('[13]Monthly TD Calc-PY5'!BF581:BF581),4)</f>
        <v>339934.23719999997</v>
      </c>
      <c r="G27" s="121">
        <f>ROUND(SUM('[13]Monthly TD Calc-PY1-3'!BG465:BG465)+SUM('[13]Monthly TD Calc-PY4'!BG473:BG473)+SUM('[13]Monthly TD Calc-PY5'!BG581:BG581),4)</f>
        <v>349894.85110000003</v>
      </c>
      <c r="H27" s="74">
        <f>ROUND(SUM('[13]Monthly TD Calc-PY1-3'!BH465:BH465)+SUM('[13]Monthly TD Calc-PY4'!BH473:BH473)+SUM('[13]Monthly TD Calc-PY5'!BH581:BH581),4)</f>
        <v>355817.19530000002</v>
      </c>
      <c r="I27" s="75">
        <f>ROUND(SUM('[13]Monthly TD Calc-PY1-3'!BI465:BI465)+SUM('[13]Monthly TD Calc-PY4'!BI473:BI473)+SUM('[13]Monthly TD Calc-PY5'!BI581:BI581),4)</f>
        <v>332730.53700000001</v>
      </c>
      <c r="J27" s="166">
        <f>ROUND(SUM('[13]Monthly TD Calc-PY1-3'!BJ465:BJ465)+SUM('[13]Monthly TD Calc-PY4'!BJ473:BJ473)+SUM('[13]Monthly TD Calc-PY5'!BJ581:BJ581),4)</f>
        <v>349292.51319999999</v>
      </c>
      <c r="K27" s="155">
        <f>ROUND(SUM('[13]Monthly TD Calc-PY1-3'!BK465:BK465)+SUM('[13]Monthly TD Calc-PY4'!BK473:BK473)+SUM('[13]Monthly TD Calc-PY5'!BK581:BK581),4)</f>
        <v>354267.35399999999</v>
      </c>
      <c r="L27" s="139">
        <f>ROUND(SUM('[13]Monthly TD Calc-PY1-3'!BL465:BL465)+SUM('[13]Monthly TD Calc-PY4'!BL473:BL473)+SUM('[13]Monthly TD Calc-PY5'!BL581:BL581),4)</f>
        <v>440083.3075</v>
      </c>
      <c r="M27" s="80"/>
      <c r="N27" s="59">
        <f t="shared" si="12"/>
        <v>2125023.1124141212</v>
      </c>
      <c r="P27" s="185">
        <f t="shared" si="11"/>
        <v>-794350.66149999993</v>
      </c>
    </row>
    <row r="28" spans="1:16" x14ac:dyDescent="0.35">
      <c r="C28" s="67"/>
      <c r="D28" s="192"/>
      <c r="E28" s="56"/>
      <c r="F28" s="56"/>
      <c r="G28" s="56"/>
      <c r="H28" s="12"/>
      <c r="I28" s="56"/>
      <c r="J28" s="165"/>
      <c r="K28" s="56"/>
      <c r="L28" s="56"/>
      <c r="M28" s="13"/>
    </row>
    <row r="29" spans="1:16" x14ac:dyDescent="0.35">
      <c r="A29" s="46" t="s">
        <v>67</v>
      </c>
      <c r="C29" s="36"/>
      <c r="D29" s="194"/>
      <c r="E29" s="37"/>
      <c r="F29" s="37"/>
      <c r="G29" s="37"/>
      <c r="H29" s="36"/>
      <c r="I29" s="37"/>
      <c r="J29" s="167"/>
      <c r="K29" s="52"/>
      <c r="L29" s="52"/>
      <c r="M29" s="38"/>
    </row>
    <row r="30" spans="1:16" x14ac:dyDescent="0.35">
      <c r="A30" s="46" t="s">
        <v>24</v>
      </c>
      <c r="C30" s="188">
        <v>-377674.1</v>
      </c>
      <c r="D30" s="190">
        <f>-SUM('[14]Summary Monthly TD Calc'!$M3:$Q3)+SUM('[13]Summary Monthly TD Calc'!$M3:$Q3)</f>
        <v>-493.68999999994412</v>
      </c>
      <c r="E30" s="108">
        <f>'[13]Summary Monthly TD Calc'!R3</f>
        <v>143251.47</v>
      </c>
      <c r="F30" s="108">
        <f>'[13]Summary Monthly TD Calc'!S3</f>
        <v>230034.17</v>
      </c>
      <c r="G30" s="109">
        <f>'[13]Summary Monthly TD Calc'!T3</f>
        <v>342981.01999999996</v>
      </c>
      <c r="H30" s="16">
        <f>'[13]Summary Monthly TD Calc'!U3</f>
        <v>329622.40999999997</v>
      </c>
      <c r="I30" s="55">
        <f>'[13]Summary Monthly TD Calc'!V3</f>
        <v>226807.88</v>
      </c>
      <c r="J30" s="166">
        <f>'[13]Summary Monthly TD Calc'!W3</f>
        <v>133691.25999999998</v>
      </c>
      <c r="K30" s="156">
        <f>'[13]Summary Monthly TD Calc'!X3</f>
        <v>147960.35999999999</v>
      </c>
      <c r="L30" s="156">
        <f>'[13]Summary Monthly TD Calc'!Y3</f>
        <v>161847.50999999998</v>
      </c>
      <c r="M30" s="79"/>
      <c r="P30" s="185">
        <f t="shared" ref="P30:P36" si="13">-SUM(K30:M30)</f>
        <v>-309807.87</v>
      </c>
    </row>
    <row r="31" spans="1:16" x14ac:dyDescent="0.35">
      <c r="A31" s="46" t="s">
        <v>104</v>
      </c>
      <c r="C31" s="188">
        <v>-75540.75</v>
      </c>
      <c r="D31" s="190">
        <f>-SUM('[14]Summary Monthly TD Calc'!$M4:$Q4)+SUM('[13]Summary Monthly TD Calc'!$M4:$Q4)</f>
        <v>0.12000000002444722</v>
      </c>
      <c r="E31" s="108">
        <f>'[13]Summary Monthly TD Calc'!R4</f>
        <v>42784.53</v>
      </c>
      <c r="F31" s="108">
        <f>'[13]Summary Monthly TD Calc'!S4</f>
        <v>69662.450000000012</v>
      </c>
      <c r="G31" s="109">
        <f>'[13]Summary Monthly TD Calc'!T4</f>
        <v>71214.73</v>
      </c>
      <c r="H31" s="16">
        <f>'[13]Summary Monthly TD Calc'!U4</f>
        <v>72352.39</v>
      </c>
      <c r="I31" s="55">
        <f>'[13]Summary Monthly TD Calc'!V4</f>
        <v>65410.560000000019</v>
      </c>
      <c r="J31" s="166">
        <f>'[13]Summary Monthly TD Calc'!W4</f>
        <v>54887.19</v>
      </c>
      <c r="K31" s="156">
        <f>'[13]Summary Monthly TD Calc'!X4</f>
        <v>56124.42</v>
      </c>
      <c r="L31" s="138">
        <f>'[13]Summary Monthly TD Calc'!Y4</f>
        <v>58458.180000000008</v>
      </c>
      <c r="M31" s="79"/>
      <c r="P31" s="185">
        <f t="shared" si="13"/>
        <v>-114582.6</v>
      </c>
    </row>
    <row r="32" spans="1:16" x14ac:dyDescent="0.35">
      <c r="A32" s="46" t="s">
        <v>105</v>
      </c>
      <c r="C32" s="188">
        <v>-221578.88</v>
      </c>
      <c r="D32" s="190">
        <f>-SUM('[14]Summary Monthly TD Calc'!$M5:$Q5)+SUM('[13]Summary Monthly TD Calc'!$M5:$Q5)</f>
        <v>0.15000000002328306</v>
      </c>
      <c r="E32" s="108">
        <f>'[13]Summary Monthly TD Calc'!R5</f>
        <v>91575.31</v>
      </c>
      <c r="F32" s="108">
        <f>'[13]Summary Monthly TD Calc'!S5</f>
        <v>124661.19</v>
      </c>
      <c r="G32" s="109">
        <f>'[13]Summary Monthly TD Calc'!T5</f>
        <v>122397.35999999999</v>
      </c>
      <c r="H32" s="16">
        <f>'[13]Summary Monthly TD Calc'!U5</f>
        <v>126161.52</v>
      </c>
      <c r="I32" s="55">
        <f>'[13]Summary Monthly TD Calc'!V5</f>
        <v>117961.92000000001</v>
      </c>
      <c r="J32" s="166">
        <f>'[13]Summary Monthly TD Calc'!W5</f>
        <v>89245.36</v>
      </c>
      <c r="K32" s="156">
        <f>'[13]Summary Monthly TD Calc'!X5</f>
        <v>92919.4</v>
      </c>
      <c r="L32" s="138">
        <f>'[13]Summary Monthly TD Calc'!Y5</f>
        <v>94018.25</v>
      </c>
      <c r="M32" s="79"/>
      <c r="P32" s="185">
        <f t="shared" si="13"/>
        <v>-186937.65</v>
      </c>
    </row>
    <row r="33" spans="1:18" x14ac:dyDescent="0.35">
      <c r="A33" s="46" t="s">
        <v>106</v>
      </c>
      <c r="C33" s="188">
        <v>-160078.31</v>
      </c>
      <c r="D33" s="190">
        <f>-SUM('[14]Summary Monthly TD Calc'!$M6:$Q6)+SUM('[13]Summary Monthly TD Calc'!$M6:$Q6)</f>
        <v>0.11999999999534339</v>
      </c>
      <c r="E33" s="108">
        <f>'[13]Summary Monthly TD Calc'!R6</f>
        <v>64303.43</v>
      </c>
      <c r="F33" s="108">
        <f>'[13]Summary Monthly TD Calc'!S6</f>
        <v>89569.41</v>
      </c>
      <c r="G33" s="109">
        <f>'[13]Summary Monthly TD Calc'!T6</f>
        <v>86736.2</v>
      </c>
      <c r="H33" s="16">
        <f>'[13]Summary Monthly TD Calc'!U6</f>
        <v>89798.54</v>
      </c>
      <c r="I33" s="55">
        <f>'[13]Summary Monthly TD Calc'!V6</f>
        <v>82559.7</v>
      </c>
      <c r="J33" s="166">
        <f>'[13]Summary Monthly TD Calc'!W6</f>
        <v>59585.54</v>
      </c>
      <c r="K33" s="156">
        <f>'[13]Summary Monthly TD Calc'!X6</f>
        <v>64584.639999999999</v>
      </c>
      <c r="L33" s="138">
        <f>'[13]Summary Monthly TD Calc'!Y6</f>
        <v>67757.09</v>
      </c>
      <c r="M33" s="79"/>
      <c r="P33" s="185">
        <f t="shared" si="13"/>
        <v>-132341.72999999998</v>
      </c>
    </row>
    <row r="34" spans="1:18" x14ac:dyDescent="0.35">
      <c r="A34" s="46" t="s">
        <v>107</v>
      </c>
      <c r="C34" s="188">
        <v>-10206.950000000001</v>
      </c>
      <c r="D34" s="190">
        <f>-SUM('[14]Summary Monthly TD Calc'!$M7:$Q7)+SUM('[13]Summary Monthly TD Calc'!$M7:$Q7)</f>
        <v>1.9999999996798579E-2</v>
      </c>
      <c r="E34" s="108">
        <f>'[13]Summary Monthly TD Calc'!R7</f>
        <v>4040.3300000000004</v>
      </c>
      <c r="F34" s="108">
        <f>'[13]Summary Monthly TD Calc'!S7</f>
        <v>5673.43</v>
      </c>
      <c r="G34" s="109">
        <f>'[13]Summary Monthly TD Calc'!T7</f>
        <v>5456.23</v>
      </c>
      <c r="H34" s="16">
        <f>'[13]Summary Monthly TD Calc'!U7</f>
        <v>5799.8</v>
      </c>
      <c r="I34" s="55">
        <f>'[13]Summary Monthly TD Calc'!V7</f>
        <v>5339.02</v>
      </c>
      <c r="J34" s="166">
        <f>'[13]Summary Monthly TD Calc'!W7</f>
        <v>3841.2000000000003</v>
      </c>
      <c r="K34" s="156">
        <f>'[13]Summary Monthly TD Calc'!X7</f>
        <v>4187.4800000000005</v>
      </c>
      <c r="L34" s="138">
        <f>'[13]Summary Monthly TD Calc'!Y7</f>
        <v>4882.25</v>
      </c>
      <c r="M34" s="79"/>
      <c r="O34" s="47"/>
      <c r="P34" s="185">
        <f t="shared" si="13"/>
        <v>-9069.73</v>
      </c>
    </row>
    <row r="35" spans="1:18" x14ac:dyDescent="0.35">
      <c r="C35" s="67"/>
      <c r="D35" s="192"/>
      <c r="E35" s="56"/>
      <c r="F35" s="56"/>
      <c r="G35" s="56"/>
      <c r="H35" s="12"/>
      <c r="I35" s="56"/>
      <c r="J35" s="165"/>
      <c r="K35" s="56"/>
      <c r="L35" s="56"/>
      <c r="M35" s="13"/>
    </row>
    <row r="36" spans="1:18" ht="15" thickBot="1" x14ac:dyDescent="0.4">
      <c r="A36" s="3" t="s">
        <v>15</v>
      </c>
      <c r="B36" s="3"/>
      <c r="C36" s="337">
        <v>-3372.75</v>
      </c>
      <c r="D36" s="195">
        <f>SUM(D54:D58)</f>
        <v>-6.0399999999999636</v>
      </c>
      <c r="E36" s="131">
        <v>1188.21</v>
      </c>
      <c r="F36" s="131">
        <f>2310.6-0.02</f>
        <v>2310.58</v>
      </c>
      <c r="G36" s="132">
        <f>3878.13-0.02</f>
        <v>3878.11</v>
      </c>
      <c r="H36" s="26">
        <f>5374.57-0.03</f>
        <v>5374.54</v>
      </c>
      <c r="I36" s="118">
        <f>5794.71-0.03</f>
        <v>5794.68</v>
      </c>
      <c r="J36" s="168">
        <f>5352.2-0.01</f>
        <v>5352.19</v>
      </c>
      <c r="K36" s="157">
        <f>ROUND((SUM(J46:J50)+SUM(J54:J58)+SUM(K39:K43)/2)*K$52,2)-0.01</f>
        <v>5073.4799999999996</v>
      </c>
      <c r="L36" s="140">
        <f>ROUND((SUM(K46:K50)+SUM(K54:K58)+SUM(L39:L43)/2)*L$52,2)+0.01</f>
        <v>4831</v>
      </c>
      <c r="M36" s="82"/>
      <c r="P36" s="185">
        <f t="shared" si="13"/>
        <v>-9904.48</v>
      </c>
      <c r="R36" s="333"/>
    </row>
    <row r="37" spans="1:18" x14ac:dyDescent="0.35">
      <c r="C37" s="64"/>
      <c r="D37" s="198"/>
      <c r="E37" s="66"/>
      <c r="F37" s="66"/>
      <c r="G37" s="33"/>
      <c r="H37" s="64"/>
      <c r="I37" s="33"/>
      <c r="J37" s="169"/>
      <c r="K37" s="34"/>
      <c r="L37" s="34"/>
      <c r="M37" s="60"/>
    </row>
    <row r="38" spans="1:18" x14ac:dyDescent="0.35">
      <c r="A38" s="46" t="s">
        <v>51</v>
      </c>
      <c r="C38" s="65"/>
      <c r="D38" s="199"/>
      <c r="E38" s="35"/>
      <c r="F38" s="35"/>
      <c r="G38" s="35"/>
      <c r="H38" s="65"/>
      <c r="I38" s="35"/>
      <c r="J38" s="170"/>
      <c r="K38" s="34"/>
      <c r="L38" s="34"/>
      <c r="M38" s="60"/>
    </row>
    <row r="39" spans="1:18" x14ac:dyDescent="0.35">
      <c r="A39" s="46" t="s">
        <v>24</v>
      </c>
      <c r="C39" s="196">
        <f t="shared" ref="C39" si="14">C30-C16</f>
        <v>56182.411659999983</v>
      </c>
      <c r="D39" s="200">
        <f t="shared" ref="D39" si="15">D30-D16</f>
        <v>-493.68999999994412</v>
      </c>
      <c r="E39" s="41">
        <f t="shared" ref="E39:M39" si="16">E30-E16</f>
        <v>42129.850000000006</v>
      </c>
      <c r="F39" s="41">
        <f t="shared" si="16"/>
        <v>90875.300000000017</v>
      </c>
      <c r="G39" s="107">
        <f t="shared" si="16"/>
        <v>146816.93999999997</v>
      </c>
      <c r="H39" s="40">
        <f t="shared" si="16"/>
        <v>123710.37999999998</v>
      </c>
      <c r="I39" s="41">
        <f t="shared" si="16"/>
        <v>5335.8300000000163</v>
      </c>
      <c r="J39" s="61">
        <f t="shared" si="16"/>
        <v>-41994.550000000017</v>
      </c>
      <c r="K39" s="119">
        <f t="shared" si="16"/>
        <v>2605.7285699999775</v>
      </c>
      <c r="L39" s="41">
        <f t="shared" si="16"/>
        <v>-46142.412990000012</v>
      </c>
      <c r="M39" s="61">
        <f t="shared" si="16"/>
        <v>-233750.37417</v>
      </c>
    </row>
    <row r="40" spans="1:18" x14ac:dyDescent="0.35">
      <c r="A40" s="46" t="s">
        <v>104</v>
      </c>
      <c r="C40" s="196">
        <f t="shared" ref="C40" si="17">C31-C17</f>
        <v>-8797.9811899999913</v>
      </c>
      <c r="D40" s="200">
        <f t="shared" ref="D40:M40" si="18">D31-D17</f>
        <v>0.12000000002444722</v>
      </c>
      <c r="E40" s="41">
        <f t="shared" si="18"/>
        <v>23673.919999999998</v>
      </c>
      <c r="F40" s="41">
        <f t="shared" si="18"/>
        <v>47579.920000000013</v>
      </c>
      <c r="G40" s="107">
        <f t="shared" si="18"/>
        <v>45551.369999999995</v>
      </c>
      <c r="H40" s="40">
        <f t="shared" si="18"/>
        <v>41885.759999999995</v>
      </c>
      <c r="I40" s="41">
        <f t="shared" si="18"/>
        <v>22449.390000000021</v>
      </c>
      <c r="J40" s="61">
        <f t="shared" si="18"/>
        <v>14797.650000000001</v>
      </c>
      <c r="K40" s="119">
        <f t="shared" si="18"/>
        <v>20810.028910000001</v>
      </c>
      <c r="L40" s="41">
        <f t="shared" si="18"/>
        <v>19755.04411000001</v>
      </c>
      <c r="M40" s="61">
        <f t="shared" si="18"/>
        <v>-39051.686959999999</v>
      </c>
    </row>
    <row r="41" spans="1:18" x14ac:dyDescent="0.35">
      <c r="A41" s="46" t="s">
        <v>105</v>
      </c>
      <c r="C41" s="196">
        <f t="shared" ref="C41" si="19">C32-C18</f>
        <v>-75598.986649999977</v>
      </c>
      <c r="D41" s="200">
        <f t="shared" ref="D41:M41" si="20">D32-D18</f>
        <v>0.15000000002328306</v>
      </c>
      <c r="E41" s="41">
        <f t="shared" si="20"/>
        <v>50564.95</v>
      </c>
      <c r="F41" s="41">
        <f t="shared" si="20"/>
        <v>78430.84</v>
      </c>
      <c r="G41" s="107">
        <f t="shared" si="20"/>
        <v>68204.209999999992</v>
      </c>
      <c r="H41" s="40">
        <f t="shared" si="20"/>
        <v>50710.16</v>
      </c>
      <c r="I41" s="41">
        <f t="shared" si="20"/>
        <v>-18704.879999999976</v>
      </c>
      <c r="J41" s="61">
        <f t="shared" si="20"/>
        <v>-41455.759999999995</v>
      </c>
      <c r="K41" s="119">
        <f t="shared" si="20"/>
        <v>-26872.386559999999</v>
      </c>
      <c r="L41" s="41">
        <f t="shared" si="20"/>
        <v>-37268.674079999997</v>
      </c>
      <c r="M41" s="61">
        <f t="shared" si="20"/>
        <v>-132469.26319999999</v>
      </c>
    </row>
    <row r="42" spans="1:18" x14ac:dyDescent="0.35">
      <c r="A42" s="46" t="s">
        <v>106</v>
      </c>
      <c r="C42" s="196">
        <f t="shared" ref="C42" si="21">C33-C19</f>
        <v>-28122.580759999983</v>
      </c>
      <c r="D42" s="200">
        <f t="shared" ref="D42:M42" si="22">D33-D19</f>
        <v>0.11999999999534339</v>
      </c>
      <c r="E42" s="41">
        <f t="shared" si="22"/>
        <v>22831.85</v>
      </c>
      <c r="F42" s="41">
        <f t="shared" si="22"/>
        <v>47244.04</v>
      </c>
      <c r="G42" s="107">
        <f t="shared" si="22"/>
        <v>39099.18</v>
      </c>
      <c r="H42" s="40">
        <f t="shared" si="22"/>
        <v>30651.929999999993</v>
      </c>
      <c r="I42" s="41">
        <f t="shared" si="22"/>
        <v>-11115</v>
      </c>
      <c r="J42" s="61">
        <f t="shared" si="22"/>
        <v>-29673.280000000006</v>
      </c>
      <c r="K42" s="119">
        <f t="shared" si="22"/>
        <v>-16802.827669999999</v>
      </c>
      <c r="L42" s="41">
        <f t="shared" si="22"/>
        <v>-21440.264020000002</v>
      </c>
      <c r="M42" s="61">
        <f t="shared" si="22"/>
        <v>-90000.644189999992</v>
      </c>
    </row>
    <row r="43" spans="1:18" x14ac:dyDescent="0.35">
      <c r="A43" s="46" t="s">
        <v>107</v>
      </c>
      <c r="C43" s="196">
        <f t="shared" ref="C43" si="23">C34-C20</f>
        <v>-535.78895999999986</v>
      </c>
      <c r="D43" s="200">
        <f t="shared" ref="D43:M43" si="24">D34-D20</f>
        <v>1.9999999996798579E-2</v>
      </c>
      <c r="E43" s="41">
        <f t="shared" si="24"/>
        <v>972.04000000000042</v>
      </c>
      <c r="F43" s="41">
        <f t="shared" si="24"/>
        <v>3119.32</v>
      </c>
      <c r="G43" s="107">
        <f t="shared" si="24"/>
        <v>1396.8899999999994</v>
      </c>
      <c r="H43" s="40">
        <f t="shared" si="24"/>
        <v>1673.7200000000003</v>
      </c>
      <c r="I43" s="41">
        <f t="shared" si="24"/>
        <v>443.26000000000022</v>
      </c>
      <c r="J43" s="61">
        <f t="shared" si="24"/>
        <v>-2653.32</v>
      </c>
      <c r="K43" s="119">
        <f t="shared" si="24"/>
        <v>-1029.7336899999991</v>
      </c>
      <c r="L43" s="41">
        <f t="shared" si="24"/>
        <v>-835.60395999999946</v>
      </c>
      <c r="M43" s="61">
        <f t="shared" si="24"/>
        <v>-5769.3476099999998</v>
      </c>
    </row>
    <row r="44" spans="1:18" x14ac:dyDescent="0.35">
      <c r="C44" s="99"/>
      <c r="D44" s="191"/>
      <c r="E44" s="31"/>
      <c r="F44" s="17"/>
      <c r="G44" s="17"/>
      <c r="H44" s="10"/>
      <c r="I44" s="17"/>
      <c r="J44" s="11"/>
      <c r="K44" s="17"/>
      <c r="L44" s="17"/>
      <c r="M44" s="11"/>
    </row>
    <row r="45" spans="1:18" ht="15" thickBot="1" x14ac:dyDescent="0.4">
      <c r="A45" s="46" t="s">
        <v>52</v>
      </c>
      <c r="C45" s="99"/>
      <c r="D45" s="191"/>
      <c r="E45" s="17"/>
      <c r="F45" s="17"/>
      <c r="G45" s="17"/>
      <c r="H45" s="10"/>
      <c r="I45" s="17"/>
      <c r="J45" s="11"/>
      <c r="K45" s="17"/>
      <c r="L45" s="17"/>
      <c r="M45" s="11"/>
    </row>
    <row r="46" spans="1:18" x14ac:dyDescent="0.35">
      <c r="A46" s="46" t="s">
        <v>24</v>
      </c>
      <c r="B46" s="297">
        <v>-117547.41165999997</v>
      </c>
      <c r="C46" s="196">
        <f t="shared" ref="C46:C50" si="25">+B46+C39+B54</f>
        <v>-61364.999999999985</v>
      </c>
      <c r="D46" s="200">
        <f>+C46+D39+C54</f>
        <v>-61789.789999999928</v>
      </c>
      <c r="E46" s="41">
        <f t="shared" ref="E46:E50" si="26">+D46+E39+D54</f>
        <v>-19665.979999999923</v>
      </c>
      <c r="F46" s="41">
        <f t="shared" ref="F46:F50" si="27">+E46+F39+E54</f>
        <v>70987.070000000094</v>
      </c>
      <c r="G46" s="107">
        <f t="shared" ref="G46:G50" si="28">+F46+G39+F54</f>
        <v>217943.68000000008</v>
      </c>
      <c r="H46" s="40">
        <f t="shared" ref="H46:H50" si="29">+G46+H39+G54</f>
        <v>342444.50000000006</v>
      </c>
      <c r="I46" s="41">
        <f t="shared" ref="I46:I50" si="30">+H46+I39+H54</f>
        <v>349306.90000000008</v>
      </c>
      <c r="J46" s="61">
        <f t="shared" ref="J46:J50" si="31">+I46+J39+I54</f>
        <v>309111.01000000007</v>
      </c>
      <c r="K46" s="119">
        <f t="shared" ref="K46:K50" si="32">+J46+K39+J54</f>
        <v>313366.00857000006</v>
      </c>
      <c r="L46" s="41">
        <f t="shared" ref="L46:L50" si="33">+K46+L39+K54</f>
        <v>268782.70558000007</v>
      </c>
      <c r="M46" s="61">
        <f t="shared" ref="M46:M50" si="34">+L46+M39+L54</f>
        <v>36490.481410000073</v>
      </c>
    </row>
    <row r="47" spans="1:18" x14ac:dyDescent="0.35">
      <c r="A47" s="46" t="s">
        <v>104</v>
      </c>
      <c r="B47" s="299">
        <v>-46470.808810000075</v>
      </c>
      <c r="C47" s="196">
        <f t="shared" si="25"/>
        <v>-55268.790000000066</v>
      </c>
      <c r="D47" s="200">
        <f t="shared" ref="D47:D50" si="35">+C47+D40+C55</f>
        <v>-54826.810000000041</v>
      </c>
      <c r="E47" s="41">
        <f t="shared" si="26"/>
        <v>-31152.890000000043</v>
      </c>
      <c r="F47" s="41">
        <f t="shared" si="27"/>
        <v>16192.45999999997</v>
      </c>
      <c r="G47" s="107">
        <f t="shared" si="28"/>
        <v>61702.299999999967</v>
      </c>
      <c r="H47" s="40">
        <f t="shared" si="29"/>
        <v>103800.93999999997</v>
      </c>
      <c r="I47" s="41">
        <f t="shared" si="30"/>
        <v>126701.12999999999</v>
      </c>
      <c r="J47" s="61">
        <f t="shared" si="31"/>
        <v>142097.97</v>
      </c>
      <c r="K47" s="119">
        <f t="shared" si="32"/>
        <v>163580.97891000001</v>
      </c>
      <c r="L47" s="41">
        <f t="shared" si="33"/>
        <v>184101.31302000003</v>
      </c>
      <c r="M47" s="61">
        <f t="shared" si="34"/>
        <v>145920.07606000005</v>
      </c>
    </row>
    <row r="48" spans="1:18" x14ac:dyDescent="0.35">
      <c r="A48" s="46" t="s">
        <v>105</v>
      </c>
      <c r="B48" s="299">
        <v>278000.8466499999</v>
      </c>
      <c r="C48" s="196">
        <f t="shared" si="25"/>
        <v>202401.85999999993</v>
      </c>
      <c r="D48" s="200">
        <f t="shared" si="35"/>
        <v>199597.47999999995</v>
      </c>
      <c r="E48" s="41">
        <f t="shared" si="26"/>
        <v>250162.42999999993</v>
      </c>
      <c r="F48" s="41">
        <f t="shared" si="27"/>
        <v>329820.31999999989</v>
      </c>
      <c r="G48" s="107">
        <f t="shared" si="28"/>
        <v>399613.1999999999</v>
      </c>
      <c r="H48" s="40">
        <f t="shared" si="29"/>
        <v>452322.27999999985</v>
      </c>
      <c r="I48" s="41">
        <f t="shared" si="30"/>
        <v>435940.35999999993</v>
      </c>
      <c r="J48" s="61">
        <f t="shared" si="31"/>
        <v>396795.16999999993</v>
      </c>
      <c r="K48" s="119">
        <f t="shared" si="32"/>
        <v>372008.79343999992</v>
      </c>
      <c r="L48" s="41">
        <f t="shared" si="33"/>
        <v>336665.85935999989</v>
      </c>
      <c r="M48" s="61">
        <f t="shared" si="34"/>
        <v>205971.7261599999</v>
      </c>
    </row>
    <row r="49" spans="1:18" x14ac:dyDescent="0.35">
      <c r="A49" s="46" t="s">
        <v>106</v>
      </c>
      <c r="B49" s="299">
        <v>101274.42076000001</v>
      </c>
      <c r="C49" s="196">
        <f t="shared" si="25"/>
        <v>73151.840000000026</v>
      </c>
      <c r="D49" s="200">
        <f t="shared" si="35"/>
        <v>72011.130000000019</v>
      </c>
      <c r="E49" s="41">
        <f t="shared" si="26"/>
        <v>94842.98000000001</v>
      </c>
      <c r="F49" s="41">
        <f t="shared" si="27"/>
        <v>142542.24000000002</v>
      </c>
      <c r="G49" s="107">
        <f t="shared" si="28"/>
        <v>182291.53</v>
      </c>
      <c r="H49" s="40">
        <f t="shared" si="29"/>
        <v>213833.47</v>
      </c>
      <c r="I49" s="41">
        <f t="shared" si="30"/>
        <v>203798.47</v>
      </c>
      <c r="J49" s="61">
        <f t="shared" si="31"/>
        <v>175211.51</v>
      </c>
      <c r="K49" s="119">
        <f t="shared" si="32"/>
        <v>159358.19233000002</v>
      </c>
      <c r="L49" s="41">
        <f t="shared" si="33"/>
        <v>138756.07831000001</v>
      </c>
      <c r="M49" s="61">
        <f t="shared" si="34"/>
        <v>49502.244120000018</v>
      </c>
    </row>
    <row r="50" spans="1:18" ht="15" thickBot="1" x14ac:dyDescent="0.4">
      <c r="A50" s="46" t="s">
        <v>107</v>
      </c>
      <c r="B50" s="298">
        <v>-6837.8610399999834</v>
      </c>
      <c r="C50" s="196">
        <f t="shared" si="25"/>
        <v>-7373.6499999999833</v>
      </c>
      <c r="D50" s="200">
        <f t="shared" si="35"/>
        <v>-7311.7799999999861</v>
      </c>
      <c r="E50" s="41">
        <f t="shared" si="26"/>
        <v>-6339.7399999999852</v>
      </c>
      <c r="F50" s="41">
        <f t="shared" si="27"/>
        <v>-3257.6599999999848</v>
      </c>
      <c r="G50" s="107">
        <f t="shared" si="28"/>
        <v>-1887.1099999999853</v>
      </c>
      <c r="H50" s="40">
        <f t="shared" si="29"/>
        <v>-227.52999999998508</v>
      </c>
      <c r="I50" s="41">
        <f t="shared" si="30"/>
        <v>209.94000000001515</v>
      </c>
      <c r="J50" s="61">
        <f t="shared" si="31"/>
        <v>-2443.439999999985</v>
      </c>
      <c r="K50" s="119">
        <f t="shared" si="32"/>
        <v>-3478.7536899999841</v>
      </c>
      <c r="L50" s="41">
        <f t="shared" si="33"/>
        <v>-4329.167649999984</v>
      </c>
      <c r="M50" s="61">
        <f t="shared" si="34"/>
        <v>-10118.055259999985</v>
      </c>
    </row>
    <row r="51" spans="1:18" x14ac:dyDescent="0.35">
      <c r="C51" s="99"/>
      <c r="D51" s="191"/>
      <c r="E51" s="17"/>
      <c r="F51" s="17"/>
      <c r="G51" s="17"/>
      <c r="H51" s="10"/>
      <c r="I51" s="17"/>
      <c r="J51" s="11"/>
      <c r="K51" s="17"/>
      <c r="L51" s="17"/>
      <c r="M51" s="11"/>
    </row>
    <row r="52" spans="1:18" x14ac:dyDescent="0.35">
      <c r="A52" s="39" t="s">
        <v>121</v>
      </c>
      <c r="B52" s="39"/>
      <c r="C52" s="103"/>
      <c r="D52" s="201"/>
      <c r="E52" s="83">
        <f>+'PCR Cycle 2'!E50</f>
        <v>5.4564799999999997E-3</v>
      </c>
      <c r="F52" s="83">
        <f>+'PCR Cycle 2'!F50</f>
        <v>5.4667700000000001E-3</v>
      </c>
      <c r="G52" s="83">
        <f>+'PCR Cycle 2'!G50</f>
        <v>5.46883E-3</v>
      </c>
      <c r="H52" s="84">
        <f>+'PCR Cycle 2'!H50</f>
        <v>5.4406000000000003E-3</v>
      </c>
      <c r="I52" s="83">
        <f>+'PCR Cycle 2'!I50</f>
        <v>5.1888699999999999E-3</v>
      </c>
      <c r="J52" s="92">
        <f>+'PCR Cycle 2'!J50</f>
        <v>4.9961500000000004E-3</v>
      </c>
      <c r="K52" s="83">
        <f>+'PCR Cycle 2'!K50</f>
        <v>4.9961500000000004E-3</v>
      </c>
      <c r="L52" s="83">
        <f>+'PCR Cycle 2'!L50</f>
        <v>4.9961500000000004E-3</v>
      </c>
      <c r="M52" s="85"/>
    </row>
    <row r="53" spans="1:18" x14ac:dyDescent="0.35">
      <c r="A53" s="39" t="s">
        <v>36</v>
      </c>
      <c r="B53" s="39"/>
      <c r="C53" s="105"/>
      <c r="D53" s="202"/>
      <c r="E53" s="83"/>
      <c r="F53" s="83"/>
      <c r="G53" s="83"/>
      <c r="H53" s="84"/>
      <c r="I53" s="83"/>
      <c r="J53" s="85"/>
      <c r="K53" s="83"/>
      <c r="L53" s="83"/>
      <c r="M53" s="85"/>
    </row>
    <row r="54" spans="1:18" x14ac:dyDescent="0.35">
      <c r="A54" s="46" t="s">
        <v>24</v>
      </c>
      <c r="C54" s="338">
        <v>68.900000000000006</v>
      </c>
      <c r="D54" s="200">
        <v>-6.0399999999999636</v>
      </c>
      <c r="E54" s="241">
        <f t="shared" ref="E54:M58" si="36">ROUND((D46+D54+E39/2)*E$52,2)</f>
        <v>-222.25</v>
      </c>
      <c r="F54" s="41">
        <f t="shared" ref="F54:F58" si="37">ROUND((E46+E54+F39/2)*F$52,2)</f>
        <v>139.66999999999999</v>
      </c>
      <c r="G54" s="107">
        <f t="shared" ref="G54:G58" si="38">ROUND((F46+F54+G39/2)*G$52,2)</f>
        <v>790.44</v>
      </c>
      <c r="H54" s="40">
        <f t="shared" ref="H54:H58" si="39">ROUND((G46+G54+H39/2)*H$52,2)</f>
        <v>1526.57</v>
      </c>
      <c r="I54" s="119">
        <f t="shared" ref="I54:I58" si="40">ROUND((H46+H54+I39/2)*I$52,2)</f>
        <v>1798.66</v>
      </c>
      <c r="J54" s="61">
        <f t="shared" ref="J54:J58" si="41">ROUND((I46+I54+J39/2)*J$52,2)</f>
        <v>1649.27</v>
      </c>
      <c r="K54" s="158">
        <f t="shared" ref="K54:K58" si="42">ROUND((J46+J54+K39/2)*K$52,2)</f>
        <v>1559.11</v>
      </c>
      <c r="L54" s="107">
        <f t="shared" ref="L54:L58" si="43">ROUND((K46+K54+L39/2)*L$52,2)</f>
        <v>1458.15</v>
      </c>
      <c r="M54" s="61">
        <f t="shared" si="36"/>
        <v>0</v>
      </c>
      <c r="P54" s="185">
        <f t="shared" ref="P54:P58" si="44">-SUM(K54:M54)</f>
        <v>-3017.26</v>
      </c>
      <c r="R54" s="47"/>
    </row>
    <row r="55" spans="1:18" x14ac:dyDescent="0.35">
      <c r="A55" s="46" t="s">
        <v>104</v>
      </c>
      <c r="C55" s="338">
        <v>441.86</v>
      </c>
      <c r="D55" s="200">
        <v>0</v>
      </c>
      <c r="E55" s="241">
        <f t="shared" si="36"/>
        <v>-234.57</v>
      </c>
      <c r="F55" s="41">
        <f t="shared" si="37"/>
        <v>-41.53</v>
      </c>
      <c r="G55" s="107">
        <f t="shared" si="38"/>
        <v>212.88</v>
      </c>
      <c r="H55" s="40">
        <f t="shared" si="39"/>
        <v>450.8</v>
      </c>
      <c r="I55" s="119">
        <f t="shared" si="40"/>
        <v>599.19000000000005</v>
      </c>
      <c r="J55" s="61">
        <f t="shared" si="41"/>
        <v>672.98</v>
      </c>
      <c r="K55" s="158">
        <f t="shared" si="42"/>
        <v>765.29</v>
      </c>
      <c r="L55" s="107">
        <f t="shared" si="43"/>
        <v>870.45</v>
      </c>
      <c r="M55" s="61"/>
      <c r="P55" s="185">
        <f t="shared" si="44"/>
        <v>-1635.74</v>
      </c>
      <c r="R55" s="47"/>
    </row>
    <row r="56" spans="1:18" x14ac:dyDescent="0.35">
      <c r="A56" s="46" t="s">
        <v>105</v>
      </c>
      <c r="C56" s="338">
        <v>-2804.5299999999997</v>
      </c>
      <c r="D56" s="200">
        <v>0</v>
      </c>
      <c r="E56" s="241">
        <f t="shared" si="36"/>
        <v>1227.05</v>
      </c>
      <c r="F56" s="41">
        <f t="shared" si="37"/>
        <v>1588.67</v>
      </c>
      <c r="G56" s="107">
        <f t="shared" si="38"/>
        <v>1998.92</v>
      </c>
      <c r="H56" s="40">
        <f t="shared" si="39"/>
        <v>2322.96</v>
      </c>
      <c r="I56" s="119">
        <f t="shared" si="40"/>
        <v>2310.5700000000002</v>
      </c>
      <c r="J56" s="61">
        <f t="shared" si="41"/>
        <v>2086.0100000000002</v>
      </c>
      <c r="K56" s="158">
        <f t="shared" si="42"/>
        <v>1925.74</v>
      </c>
      <c r="L56" s="107">
        <f t="shared" si="43"/>
        <v>1775.13</v>
      </c>
      <c r="M56" s="61"/>
      <c r="P56" s="185">
        <f t="shared" si="44"/>
        <v>-3700.87</v>
      </c>
      <c r="R56" s="47"/>
    </row>
    <row r="57" spans="1:18" x14ac:dyDescent="0.35">
      <c r="A57" s="46" t="s">
        <v>106</v>
      </c>
      <c r="C57" s="338">
        <v>-1140.83</v>
      </c>
      <c r="D57" s="200">
        <v>0</v>
      </c>
      <c r="E57" s="241">
        <f t="shared" si="36"/>
        <v>455.22</v>
      </c>
      <c r="F57" s="41">
        <f t="shared" si="37"/>
        <v>650.11</v>
      </c>
      <c r="G57" s="107">
        <f t="shared" si="38"/>
        <v>890.01</v>
      </c>
      <c r="H57" s="40">
        <f t="shared" si="39"/>
        <v>1080</v>
      </c>
      <c r="I57" s="119">
        <f t="shared" si="40"/>
        <v>1086.32</v>
      </c>
      <c r="J57" s="61">
        <f t="shared" si="41"/>
        <v>949.51</v>
      </c>
      <c r="K57" s="158">
        <f t="shared" si="42"/>
        <v>838.15</v>
      </c>
      <c r="L57" s="107">
        <f t="shared" si="43"/>
        <v>746.81</v>
      </c>
      <c r="M57" s="61"/>
      <c r="P57" s="185">
        <f t="shared" si="44"/>
        <v>-1584.96</v>
      </c>
      <c r="R57" s="47"/>
    </row>
    <row r="58" spans="1:18" ht="15" thickBot="1" x14ac:dyDescent="0.4">
      <c r="A58" s="46" t="s">
        <v>107</v>
      </c>
      <c r="C58" s="338">
        <v>61.849999999999994</v>
      </c>
      <c r="D58" s="200">
        <v>0</v>
      </c>
      <c r="E58" s="241">
        <f t="shared" si="36"/>
        <v>-37.24</v>
      </c>
      <c r="F58" s="41">
        <f t="shared" si="37"/>
        <v>-26.34</v>
      </c>
      <c r="G58" s="107">
        <f t="shared" si="38"/>
        <v>-14.14</v>
      </c>
      <c r="H58" s="40">
        <f t="shared" si="39"/>
        <v>-5.79</v>
      </c>
      <c r="I58" s="119">
        <f t="shared" si="40"/>
        <v>-0.06</v>
      </c>
      <c r="J58" s="61">
        <f t="shared" si="41"/>
        <v>-5.58</v>
      </c>
      <c r="K58" s="158">
        <f t="shared" si="42"/>
        <v>-14.81</v>
      </c>
      <c r="L58" s="107">
        <f t="shared" si="43"/>
        <v>-19.54</v>
      </c>
      <c r="M58" s="61">
        <f t="shared" ref="M58" si="45">ROUND((L50+L58+M43/2)*M$52,2)</f>
        <v>0</v>
      </c>
      <c r="P58" s="185">
        <f t="shared" si="44"/>
        <v>34.35</v>
      </c>
      <c r="R58" s="47"/>
    </row>
    <row r="59" spans="1:18" ht="15.5" thickTop="1" thickBot="1" x14ac:dyDescent="0.4">
      <c r="A59" s="54" t="s">
        <v>22</v>
      </c>
      <c r="B59" s="54"/>
      <c r="C59" s="197">
        <v>0</v>
      </c>
      <c r="D59" s="203"/>
      <c r="E59" s="42">
        <f>SUM(E54:E58)+SUM(E46:E50)-E62</f>
        <v>0</v>
      </c>
      <c r="F59" s="42">
        <f t="shared" ref="F59:M59" si="46">SUM(F54:F58)+SUM(F46:F50)-F62</f>
        <v>0</v>
      </c>
      <c r="G59" s="50">
        <f t="shared" si="46"/>
        <v>0</v>
      </c>
      <c r="H59" s="51">
        <f t="shared" si="46"/>
        <v>0</v>
      </c>
      <c r="I59" s="42">
        <f t="shared" si="46"/>
        <v>0</v>
      </c>
      <c r="J59" s="62">
        <f t="shared" si="46"/>
        <v>0</v>
      </c>
      <c r="K59" s="159">
        <f t="shared" si="46"/>
        <v>0</v>
      </c>
      <c r="L59" s="50">
        <f t="shared" si="46"/>
        <v>0</v>
      </c>
      <c r="M59" s="62">
        <f t="shared" si="46"/>
        <v>0</v>
      </c>
    </row>
    <row r="60" spans="1:18" ht="15.5" thickTop="1" thickBot="1" x14ac:dyDescent="0.4">
      <c r="A60" s="54" t="s">
        <v>23</v>
      </c>
      <c r="B60" s="54"/>
      <c r="C60" s="197">
        <v>0</v>
      </c>
      <c r="D60" s="203"/>
      <c r="E60" s="42">
        <f>SUM(E54:E58)-E36</f>
        <v>0</v>
      </c>
      <c r="F60" s="42">
        <f t="shared" ref="F60:J60" si="47">SUM(F54:F58)-F36</f>
        <v>0</v>
      </c>
      <c r="G60" s="50">
        <f t="shared" ref="G60:I60" si="48">SUM(G54:G58)-G36</f>
        <v>0</v>
      </c>
      <c r="H60" s="51">
        <f t="shared" si="48"/>
        <v>0</v>
      </c>
      <c r="I60" s="42">
        <f t="shared" si="48"/>
        <v>0</v>
      </c>
      <c r="J60" s="62">
        <f t="shared" si="47"/>
        <v>0</v>
      </c>
      <c r="K60" s="160">
        <f t="shared" ref="K60:M60" si="49">SUM(K54:K58)-K36</f>
        <v>0</v>
      </c>
      <c r="L60" s="42">
        <f t="shared" si="49"/>
        <v>0</v>
      </c>
      <c r="M60" s="42">
        <f t="shared" si="49"/>
        <v>0</v>
      </c>
    </row>
    <row r="61" spans="1:18" ht="15.5" thickTop="1" thickBot="1" x14ac:dyDescent="0.4">
      <c r="C61" s="99"/>
      <c r="D61" s="191"/>
      <c r="E61" s="17"/>
      <c r="F61" s="17"/>
      <c r="G61" s="17"/>
      <c r="H61" s="10"/>
      <c r="I61" s="17"/>
      <c r="J61" s="11"/>
      <c r="K61" s="17"/>
      <c r="L61" s="17"/>
      <c r="M61" s="11"/>
    </row>
    <row r="62" spans="1:18" ht="15" thickBot="1" x14ac:dyDescent="0.4">
      <c r="A62" s="46" t="s">
        <v>35</v>
      </c>
      <c r="B62" s="115">
        <f>SUM(B46:B50)</f>
        <v>208419.18589999987</v>
      </c>
      <c r="C62" s="196">
        <f>(C13-SUM(C16:C20))+SUM(C54:C58)+B62</f>
        <v>148173.50999999995</v>
      </c>
      <c r="D62" s="200">
        <f>(D13-SUM(D16:D20))+SUM(D54:D58)+C62</f>
        <v>147674.19000000006</v>
      </c>
      <c r="E62" s="41">
        <f>(E13-SUM(E16:E20))+SUM(E54:E58)+D62</f>
        <v>289035.01000000007</v>
      </c>
      <c r="F62" s="41">
        <f t="shared" ref="F62:M62" si="50">(F13-SUM(F16:F20))+SUM(F54:F58)+E62</f>
        <v>558595.01</v>
      </c>
      <c r="G62" s="107">
        <f t="shared" si="50"/>
        <v>863541.70999999973</v>
      </c>
      <c r="H62" s="40">
        <f t="shared" si="50"/>
        <v>1117548.1999999997</v>
      </c>
      <c r="I62" s="41">
        <f t="shared" si="50"/>
        <v>1121751.4799999997</v>
      </c>
      <c r="J62" s="61">
        <f t="shared" si="50"/>
        <v>1026124.4099999997</v>
      </c>
      <c r="K62" s="158">
        <f t="shared" si="50"/>
        <v>1009908.6995599996</v>
      </c>
      <c r="L62" s="107">
        <f t="shared" si="50"/>
        <v>928807.78861999966</v>
      </c>
      <c r="M62" s="61">
        <f t="shared" si="50"/>
        <v>427766.47248999967</v>
      </c>
      <c r="R62" s="336"/>
    </row>
    <row r="63" spans="1:18" x14ac:dyDescent="0.35">
      <c r="A63" s="46" t="s">
        <v>12</v>
      </c>
      <c r="C63" s="116"/>
      <c r="D63" s="204"/>
      <c r="E63" s="17"/>
      <c r="F63" s="17"/>
      <c r="G63" s="17"/>
      <c r="H63" s="10"/>
      <c r="I63" s="17"/>
      <c r="J63" s="11"/>
      <c r="K63" s="17"/>
      <c r="L63" s="17"/>
      <c r="M63" s="11"/>
    </row>
    <row r="64" spans="1:18" ht="15" thickBot="1" x14ac:dyDescent="0.4">
      <c r="A64" s="37"/>
      <c r="B64" s="37"/>
      <c r="C64" s="143"/>
      <c r="D64" s="205"/>
      <c r="E64" s="44"/>
      <c r="F64" s="44"/>
      <c r="G64" s="44"/>
      <c r="H64" s="43"/>
      <c r="I64" s="44"/>
      <c r="J64" s="45"/>
      <c r="K64" s="44"/>
      <c r="L64" s="44"/>
      <c r="M64" s="45"/>
    </row>
    <row r="66" spans="1:13" x14ac:dyDescent="0.35">
      <c r="A66" s="69" t="s">
        <v>11</v>
      </c>
      <c r="B66" s="69"/>
      <c r="C66" s="69"/>
      <c r="D66" s="69"/>
    </row>
    <row r="67" spans="1:13" ht="34.5" customHeight="1" x14ac:dyDescent="0.35">
      <c r="A67" s="381" t="s">
        <v>289</v>
      </c>
      <c r="B67" s="387"/>
      <c r="C67" s="387"/>
      <c r="D67" s="387"/>
      <c r="E67" s="387"/>
      <c r="F67" s="387"/>
      <c r="G67" s="387"/>
      <c r="H67" s="387"/>
      <c r="I67" s="387"/>
      <c r="J67" s="387"/>
      <c r="K67" s="228"/>
      <c r="L67" s="229"/>
      <c r="M67" s="229"/>
    </row>
    <row r="68" spans="1:13" ht="55.5" customHeight="1" x14ac:dyDescent="0.35">
      <c r="A68" s="381" t="s">
        <v>253</v>
      </c>
      <c r="B68" s="387"/>
      <c r="C68" s="387"/>
      <c r="D68" s="387"/>
      <c r="E68" s="387"/>
      <c r="F68" s="387"/>
      <c r="G68" s="387"/>
      <c r="H68" s="387"/>
      <c r="I68" s="387"/>
      <c r="J68" s="387"/>
      <c r="K68" s="387"/>
      <c r="L68" s="229"/>
      <c r="M68" s="229"/>
    </row>
    <row r="69" spans="1:13" ht="27.65" customHeight="1" x14ac:dyDescent="0.35">
      <c r="A69" s="381" t="s">
        <v>290</v>
      </c>
      <c r="B69" s="387"/>
      <c r="C69" s="387"/>
      <c r="D69" s="387"/>
      <c r="E69" s="387"/>
      <c r="F69" s="387"/>
      <c r="G69" s="387"/>
      <c r="H69" s="387"/>
      <c r="I69" s="387"/>
      <c r="J69" s="387"/>
      <c r="K69" s="228"/>
      <c r="L69" s="229"/>
      <c r="M69" s="229"/>
    </row>
    <row r="70" spans="1:13" x14ac:dyDescent="0.35">
      <c r="A70" s="381" t="s">
        <v>259</v>
      </c>
      <c r="B70" s="387"/>
      <c r="C70" s="387"/>
      <c r="D70" s="387"/>
      <c r="E70" s="387"/>
      <c r="F70" s="387"/>
      <c r="G70" s="387"/>
      <c r="H70" s="387"/>
      <c r="I70" s="387"/>
      <c r="J70" s="387"/>
    </row>
    <row r="71" spans="1:13" x14ac:dyDescent="0.35">
      <c r="A71" s="63" t="s">
        <v>286</v>
      </c>
      <c r="B71" s="3"/>
      <c r="C71" s="3"/>
      <c r="D71" s="3"/>
      <c r="J71" s="4"/>
    </row>
    <row r="72" spans="1:13" x14ac:dyDescent="0.35">
      <c r="A72" s="3" t="s">
        <v>68</v>
      </c>
      <c r="B72" s="3"/>
      <c r="C72" s="3"/>
      <c r="D72" s="3"/>
    </row>
    <row r="73" spans="1:13" x14ac:dyDescent="0.35">
      <c r="A73" s="392" t="s">
        <v>333</v>
      </c>
      <c r="B73" s="393"/>
      <c r="C73" s="393"/>
      <c r="D73" s="393"/>
      <c r="E73" s="393"/>
      <c r="F73" s="393"/>
      <c r="G73" s="393"/>
      <c r="H73" s="394"/>
      <c r="I73" s="394"/>
      <c r="J73" s="394"/>
      <c r="K73" s="394"/>
    </row>
    <row r="74" spans="1:13" ht="33" customHeight="1" x14ac:dyDescent="0.35">
      <c r="A74" s="393"/>
      <c r="B74" s="393"/>
      <c r="C74" s="393"/>
      <c r="D74" s="393"/>
      <c r="E74" s="393"/>
      <c r="F74" s="393"/>
      <c r="G74" s="393"/>
      <c r="H74" s="394"/>
      <c r="I74" s="394"/>
      <c r="J74" s="394"/>
      <c r="K74" s="394"/>
      <c r="M74" s="39"/>
    </row>
  </sheetData>
  <mergeCells count="8">
    <mergeCell ref="A70:J70"/>
    <mergeCell ref="A73:K74"/>
    <mergeCell ref="A69:J69"/>
    <mergeCell ref="E11:G11"/>
    <mergeCell ref="H11:J11"/>
    <mergeCell ref="K11:M11"/>
    <mergeCell ref="A67:J67"/>
    <mergeCell ref="A68:K68"/>
  </mergeCells>
  <pageMargins left="0.2" right="0.2" top="0.75" bottom="0.25" header="0.3" footer="0.3"/>
  <pageSetup scale="42" orientation="landscape" r:id="rId1"/>
  <headerFooter>
    <oddHeader>&amp;C&amp;F &amp;A&amp;R&amp;"Arial"&amp;10&amp;K000000CONFIDENTIAL</oddHeader>
    <oddFooter>&amp;R&amp;1#&amp;"Calibri"&amp;10&amp;KA80000Internal Use Only</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104"/>
  <sheetViews>
    <sheetView workbookViewId="0">
      <selection activeCell="G35" sqref="G35"/>
    </sheetView>
  </sheetViews>
  <sheetFormatPr defaultRowHeight="14.5" x14ac:dyDescent="0.35"/>
  <cols>
    <col min="1" max="1" width="22.453125" customWidth="1"/>
    <col min="2" max="2" width="15.26953125" bestFit="1" customWidth="1"/>
    <col min="3" max="3" width="14.26953125" style="46" customWidth="1"/>
    <col min="4" max="4" width="13.26953125" bestFit="1" customWidth="1"/>
    <col min="5" max="5" width="10.81640625" bestFit="1" customWidth="1"/>
    <col min="6" max="6" width="12.26953125" bestFit="1" customWidth="1"/>
    <col min="7" max="7" width="13.1796875" customWidth="1"/>
    <col min="10" max="10" width="12.26953125" bestFit="1" customWidth="1"/>
  </cols>
  <sheetData>
    <row r="1" spans="1:8" x14ac:dyDescent="0.35">
      <c r="A1" s="63" t="str">
        <f>+'PPC Cycle 3'!A1</f>
        <v>Evergy Metro, Inc. - DSIM Rider Update Filed 12/01/2024</v>
      </c>
      <c r="B1" s="46"/>
      <c r="D1" s="46"/>
      <c r="E1" s="46"/>
    </row>
    <row r="2" spans="1:8" x14ac:dyDescent="0.35">
      <c r="A2" s="9" t="str">
        <f>SUBSTITUTE(+'PPC Cycle 3'!A2,"Cycle 3","Cycle 2")</f>
        <v>Projections for Cycle 2 January 2025 - December 2025 DSIM</v>
      </c>
      <c r="B2" s="46"/>
      <c r="D2" s="46"/>
      <c r="E2" s="46"/>
      <c r="H2" s="39"/>
    </row>
    <row r="3" spans="1:8" ht="45.75" customHeight="1" x14ac:dyDescent="0.35">
      <c r="A3" s="46"/>
      <c r="B3" s="374" t="s">
        <v>95</v>
      </c>
      <c r="C3" s="374"/>
      <c r="D3" s="374"/>
      <c r="E3" s="46"/>
    </row>
    <row r="4" spans="1:8" ht="87" x14ac:dyDescent="0.35">
      <c r="A4" s="46"/>
      <c r="B4" s="70" t="s">
        <v>97</v>
      </c>
      <c r="C4" s="70" t="s">
        <v>98</v>
      </c>
      <c r="D4" s="70" t="s">
        <v>101</v>
      </c>
      <c r="E4" s="70" t="s">
        <v>99</v>
      </c>
      <c r="F4" s="70" t="s">
        <v>96</v>
      </c>
      <c r="G4" s="70" t="s">
        <v>102</v>
      </c>
    </row>
    <row r="5" spans="1:8" s="46" customFormat="1" x14ac:dyDescent="0.35">
      <c r="B5" s="70"/>
      <c r="C5" s="70"/>
      <c r="D5" s="70"/>
      <c r="E5" s="70"/>
      <c r="F5" s="70"/>
      <c r="G5" s="70"/>
    </row>
    <row r="6" spans="1:8" s="46" customFormat="1" x14ac:dyDescent="0.35">
      <c r="A6" s="243" t="s">
        <v>154</v>
      </c>
      <c r="B6" s="70"/>
      <c r="C6" s="70"/>
      <c r="D6" s="150"/>
    </row>
    <row r="7" spans="1:8" s="46" customFormat="1" x14ac:dyDescent="0.35">
      <c r="A7" s="20" t="s">
        <v>24</v>
      </c>
      <c r="B7" s="216">
        <f>+B19+B31+B43+B54+B65+B76+B87</f>
        <v>4794235.91</v>
      </c>
      <c r="C7" s="216">
        <f t="shared" ref="C7:E7" si="0">+C19+C31+C43+C54+C65+C76+C87</f>
        <v>-1258152.4000000001</v>
      </c>
      <c r="D7" s="216">
        <f t="shared" si="0"/>
        <v>-1966966.39</v>
      </c>
      <c r="E7" s="216">
        <f t="shared" si="0"/>
        <v>-226635.55000000002</v>
      </c>
      <c r="F7" s="216">
        <f>SUM(B7:E7)</f>
        <v>1342481.5699999998</v>
      </c>
      <c r="G7" s="216">
        <f t="shared" ref="G7" si="1">+G19+G31+G43+G54+G65+G76+G87</f>
        <v>-9181.35</v>
      </c>
    </row>
    <row r="8" spans="1:8" s="46" customFormat="1" x14ac:dyDescent="0.35">
      <c r="A8" s="20" t="s">
        <v>25</v>
      </c>
      <c r="B8" s="216">
        <f>+B20+B32+B44+B55+B66+B77+B88</f>
        <v>5972530.4700000007</v>
      </c>
      <c r="C8" s="216">
        <f t="shared" ref="C8:E8" si="2">+C20+C32+C44+C55+C66+C77+C88</f>
        <v>1183835.67</v>
      </c>
      <c r="D8" s="216">
        <f t="shared" si="2"/>
        <v>-789722.13</v>
      </c>
      <c r="E8" s="216">
        <f t="shared" si="2"/>
        <v>95907.180000000008</v>
      </c>
      <c r="F8" s="216">
        <f>SUM(B8:E8)</f>
        <v>6462551.1900000004</v>
      </c>
      <c r="G8" s="216">
        <f t="shared" ref="G8" si="3">+G20+G32+G44+G55+G66+G77+G88</f>
        <v>-3595.79</v>
      </c>
    </row>
    <row r="9" spans="1:8" s="46" customFormat="1" x14ac:dyDescent="0.35">
      <c r="A9" s="20" t="s">
        <v>5</v>
      </c>
      <c r="B9" s="216">
        <f t="shared" ref="B9" si="4">SUM(B7:B8)</f>
        <v>10766766.380000001</v>
      </c>
      <c r="C9" s="216">
        <f t="shared" ref="C9:E9" si="5">SUM(C7:C8)</f>
        <v>-74316.730000000214</v>
      </c>
      <c r="D9" s="216">
        <f t="shared" si="5"/>
        <v>-2756688.52</v>
      </c>
      <c r="E9" s="216">
        <f t="shared" si="5"/>
        <v>-130728.37000000001</v>
      </c>
      <c r="F9" s="216">
        <f t="shared" ref="F9" si="6">SUM(F7:F8)</f>
        <v>7805032.7599999998</v>
      </c>
      <c r="G9" s="216">
        <f t="shared" ref="G9" si="7">SUM(G7:G8)</f>
        <v>-12777.14</v>
      </c>
    </row>
    <row r="10" spans="1:8" s="46" customFormat="1" x14ac:dyDescent="0.35"/>
    <row r="11" spans="1:8" s="46" customFormat="1" x14ac:dyDescent="0.35">
      <c r="A11" s="20" t="s">
        <v>104</v>
      </c>
      <c r="B11" s="216">
        <f>+B23+B35+B47+B58+B69+B80+B91</f>
        <v>798822.8899999999</v>
      </c>
      <c r="C11" s="216">
        <f t="shared" ref="C11:E11" si="8">+C23+C35+C47+C58+C69+C80+C91</f>
        <v>-79228.649999999994</v>
      </c>
      <c r="D11" s="216">
        <f t="shared" si="8"/>
        <v>-511556.55999999994</v>
      </c>
      <c r="E11" s="216">
        <f t="shared" si="8"/>
        <v>-33212.129999999997</v>
      </c>
      <c r="F11" s="216">
        <f t="shared" ref="F11:F14" si="9">SUM(B11:E11)</f>
        <v>174825.54999999993</v>
      </c>
      <c r="G11" s="216">
        <f t="shared" ref="G11" si="10">+G23+G35+G47+G58+G69+G80+G91</f>
        <v>-4077.98</v>
      </c>
    </row>
    <row r="12" spans="1:8" s="46" customFormat="1" x14ac:dyDescent="0.35">
      <c r="A12" s="20" t="s">
        <v>105</v>
      </c>
      <c r="B12" s="216">
        <f>+B24+B36+B48+B59+B70+B81+B92</f>
        <v>2103656.44</v>
      </c>
      <c r="C12" s="216">
        <f t="shared" ref="C12:E12" si="11">+C24+C36+C48+C59+C70+C81+C92</f>
        <v>456857.95</v>
      </c>
      <c r="D12" s="216">
        <f t="shared" si="11"/>
        <v>69741.469999999972</v>
      </c>
      <c r="E12" s="216">
        <f t="shared" si="11"/>
        <v>68491.709999999992</v>
      </c>
      <c r="F12" s="216">
        <f t="shared" si="9"/>
        <v>2698747.5700000003</v>
      </c>
      <c r="G12" s="216">
        <f t="shared" ref="G12" si="12">+G24+G36+G48+G59+G70+G81+G92</f>
        <v>406.4</v>
      </c>
    </row>
    <row r="13" spans="1:8" s="46" customFormat="1" x14ac:dyDescent="0.35">
      <c r="A13" s="20" t="s">
        <v>106</v>
      </c>
      <c r="B13" s="216">
        <f>+B25+B37+B49+B60+B71+B82+B93</f>
        <v>2570767.7999999998</v>
      </c>
      <c r="C13" s="216">
        <f t="shared" ref="C13:E13" si="13">+C25+C37+C49+C60+C71+C82+C93</f>
        <v>313071.99</v>
      </c>
      <c r="D13" s="216">
        <f t="shared" si="13"/>
        <v>-174719.24999999997</v>
      </c>
      <c r="E13" s="216">
        <f t="shared" si="13"/>
        <v>35757.900000000009</v>
      </c>
      <c r="F13" s="216">
        <f t="shared" si="9"/>
        <v>2744878.44</v>
      </c>
      <c r="G13" s="216">
        <f t="shared" ref="G13" si="14">+G25+G37+G49+G60+G71+G82+G93</f>
        <v>-1618.6200000000001</v>
      </c>
    </row>
    <row r="14" spans="1:8" s="46" customFormat="1" x14ac:dyDescent="0.35">
      <c r="A14" s="20" t="s">
        <v>107</v>
      </c>
      <c r="B14" s="216">
        <f>+B26+B38+B50+B61+B72+B83+B94</f>
        <v>499283.36</v>
      </c>
      <c r="C14" s="216">
        <f t="shared" ref="C14:E14" si="15">+C26+C38+C50+C61+C72+C83+C94</f>
        <v>493134.38</v>
      </c>
      <c r="D14" s="216">
        <f t="shared" si="15"/>
        <v>-173187.79000000004</v>
      </c>
      <c r="E14" s="216">
        <f t="shared" si="15"/>
        <v>24869.7</v>
      </c>
      <c r="F14" s="216">
        <f t="shared" si="9"/>
        <v>844099.64999999991</v>
      </c>
      <c r="G14" s="216">
        <f t="shared" ref="G14" si="16">+G26+G38+G50+G61+G72+G83+G94</f>
        <v>1694.41</v>
      </c>
    </row>
    <row r="15" spans="1:8" s="46" customFormat="1" x14ac:dyDescent="0.35">
      <c r="A15" s="30" t="s">
        <v>109</v>
      </c>
      <c r="B15" s="216">
        <f t="shared" ref="B15" si="17">SUM(B11:B14)</f>
        <v>5972530.4900000002</v>
      </c>
      <c r="C15" s="216">
        <f t="shared" ref="C15:E15" si="18">SUM(C11:C14)</f>
        <v>1183835.67</v>
      </c>
      <c r="D15" s="216">
        <f t="shared" si="18"/>
        <v>-789722.13</v>
      </c>
      <c r="E15" s="216">
        <f t="shared" si="18"/>
        <v>95907.180000000008</v>
      </c>
      <c r="F15" s="216">
        <f t="shared" ref="F15" si="19">SUM(F11:F14)</f>
        <v>6462551.2100000009</v>
      </c>
      <c r="G15" s="216">
        <f t="shared" ref="G15" si="20">SUM(G11:G14)</f>
        <v>-3595.79</v>
      </c>
    </row>
    <row r="16" spans="1:8" s="46" customFormat="1" x14ac:dyDescent="0.35">
      <c r="E16" s="4"/>
    </row>
    <row r="17" spans="1:10" s="46" customFormat="1" x14ac:dyDescent="0.35">
      <c r="A17" s="20"/>
      <c r="B17" s="70"/>
      <c r="C17" s="70"/>
      <c r="D17" s="149"/>
    </row>
    <row r="18" spans="1:10" s="46" customFormat="1" x14ac:dyDescent="0.35">
      <c r="A18" s="243" t="s">
        <v>161</v>
      </c>
      <c r="B18" s="70"/>
      <c r="C18" s="70"/>
      <c r="D18" s="149"/>
    </row>
    <row r="19" spans="1:10" s="46" customFormat="1" x14ac:dyDescent="0.35">
      <c r="A19" s="20" t="s">
        <v>24</v>
      </c>
      <c r="B19" s="25">
        <v>3528190.07</v>
      </c>
      <c r="C19" s="25">
        <v>-1041427.6</v>
      </c>
      <c r="D19" s="25">
        <v>537465.77</v>
      </c>
      <c r="E19" s="25">
        <v>11386.11</v>
      </c>
      <c r="F19" s="216">
        <f>SUM(B19:E19)</f>
        <v>3035614.3499999996</v>
      </c>
      <c r="G19" s="216">
        <f>ROUND(F19/24*0,2)</f>
        <v>0</v>
      </c>
    </row>
    <row r="20" spans="1:10" s="46" customFormat="1" x14ac:dyDescent="0.35">
      <c r="A20" s="20" t="s">
        <v>25</v>
      </c>
      <c r="B20" s="215">
        <v>4826270.37</v>
      </c>
      <c r="C20" s="215">
        <v>288583.98</v>
      </c>
      <c r="D20" s="215">
        <v>662688.41</v>
      </c>
      <c r="E20" s="215">
        <v>41412.159999999996</v>
      </c>
      <c r="F20" s="216">
        <f>SUM(B20:E20)</f>
        <v>5818954.9199999999</v>
      </c>
      <c r="G20" s="216">
        <f>ROUND(F20/24*0,2)</f>
        <v>0</v>
      </c>
    </row>
    <row r="21" spans="1:10" s="46" customFormat="1" x14ac:dyDescent="0.35">
      <c r="A21" s="20" t="s">
        <v>5</v>
      </c>
      <c r="B21" s="216">
        <f t="shared" ref="B21:G21" si="21">SUM(B19:B20)</f>
        <v>8354460.4399999995</v>
      </c>
      <c r="C21" s="216">
        <f t="shared" si="21"/>
        <v>-752843.62</v>
      </c>
      <c r="D21" s="216">
        <f t="shared" si="21"/>
        <v>1200154.1800000002</v>
      </c>
      <c r="E21" s="216">
        <f t="shared" si="21"/>
        <v>52798.27</v>
      </c>
      <c r="F21" s="216">
        <f t="shared" si="21"/>
        <v>8854569.2699999996</v>
      </c>
      <c r="G21" s="216">
        <f t="shared" si="21"/>
        <v>0</v>
      </c>
    </row>
    <row r="22" spans="1:10" s="46" customFormat="1" x14ac:dyDescent="0.35">
      <c r="B22" s="213"/>
      <c r="C22" s="213"/>
      <c r="D22" s="214"/>
    </row>
    <row r="23" spans="1:10" x14ac:dyDescent="0.35">
      <c r="A23" s="20" t="s">
        <v>104</v>
      </c>
      <c r="B23" s="25">
        <v>674006.21</v>
      </c>
      <c r="C23" s="25">
        <v>-37272.29</v>
      </c>
      <c r="D23" s="25">
        <v>101225.02</v>
      </c>
      <c r="E23" s="215">
        <v>4637.5600000000004</v>
      </c>
      <c r="F23" s="216">
        <f t="shared" ref="F23:F26" si="22">SUM(B23:E23)</f>
        <v>742596.5</v>
      </c>
      <c r="G23" s="216">
        <f>ROUND(F23/24*0,2)</f>
        <v>0</v>
      </c>
      <c r="J23" s="46"/>
    </row>
    <row r="24" spans="1:10" x14ac:dyDescent="0.35">
      <c r="A24" s="20" t="s">
        <v>105</v>
      </c>
      <c r="B24" s="215">
        <v>1713084.19</v>
      </c>
      <c r="C24" s="215">
        <v>122147.33</v>
      </c>
      <c r="D24" s="215">
        <v>340699.47</v>
      </c>
      <c r="E24" s="215">
        <v>19663.03</v>
      </c>
      <c r="F24" s="216">
        <f t="shared" si="22"/>
        <v>2195594.02</v>
      </c>
      <c r="G24" s="216">
        <f>ROUND(F24/24*0,2)</f>
        <v>0</v>
      </c>
      <c r="J24" s="46"/>
    </row>
    <row r="25" spans="1:10" x14ac:dyDescent="0.35">
      <c r="A25" s="20" t="s">
        <v>106</v>
      </c>
      <c r="B25" s="25">
        <v>2024596.54</v>
      </c>
      <c r="C25" s="25">
        <v>169641.44</v>
      </c>
      <c r="D25" s="25">
        <v>191871.42</v>
      </c>
      <c r="E25" s="25">
        <v>15454.89</v>
      </c>
      <c r="F25" s="216">
        <f t="shared" si="22"/>
        <v>2401564.29</v>
      </c>
      <c r="G25" s="216">
        <f>ROUND(F25/24*0,2)</f>
        <v>0</v>
      </c>
      <c r="J25" s="46"/>
    </row>
    <row r="26" spans="1:10" x14ac:dyDescent="0.35">
      <c r="A26" s="20" t="s">
        <v>107</v>
      </c>
      <c r="B26" s="215">
        <v>414583.45</v>
      </c>
      <c r="C26" s="215">
        <v>34067.5</v>
      </c>
      <c r="D26" s="215">
        <v>28892.5</v>
      </c>
      <c r="E26" s="215">
        <v>1656.68</v>
      </c>
      <c r="F26" s="216">
        <f t="shared" si="22"/>
        <v>479200.13</v>
      </c>
      <c r="G26" s="216">
        <f>ROUND(F26/24*0,2)</f>
        <v>0</v>
      </c>
      <c r="J26" s="46"/>
    </row>
    <row r="27" spans="1:10" x14ac:dyDescent="0.35">
      <c r="A27" s="30" t="s">
        <v>109</v>
      </c>
      <c r="B27" s="216">
        <f>SUM(B23:B26)</f>
        <v>4826270.3899999997</v>
      </c>
      <c r="C27" s="216">
        <f>SUM(C23:C26)</f>
        <v>288583.98</v>
      </c>
      <c r="D27" s="216">
        <f t="shared" ref="D27:G27" si="23">SUM(D23:D26)</f>
        <v>662688.41</v>
      </c>
      <c r="E27" s="216">
        <f t="shared" si="23"/>
        <v>41412.159999999996</v>
      </c>
      <c r="F27" s="216">
        <f t="shared" si="23"/>
        <v>5818954.9400000004</v>
      </c>
      <c r="G27" s="216">
        <f t="shared" si="23"/>
        <v>0</v>
      </c>
      <c r="J27" s="46"/>
    </row>
    <row r="28" spans="1:10" x14ac:dyDescent="0.35">
      <c r="A28" s="46"/>
      <c r="B28" s="46"/>
      <c r="D28" s="46"/>
      <c r="E28" s="4"/>
      <c r="J28" s="46"/>
    </row>
    <row r="29" spans="1:10" s="46" customFormat="1" x14ac:dyDescent="0.35">
      <c r="E29" s="4"/>
    </row>
    <row r="30" spans="1:10" x14ac:dyDescent="0.35">
      <c r="A30" s="243" t="s">
        <v>162</v>
      </c>
      <c r="B30" s="46"/>
      <c r="D30" s="46"/>
      <c r="E30" s="46"/>
      <c r="J30" s="46"/>
    </row>
    <row r="31" spans="1:10" s="46" customFormat="1" x14ac:dyDescent="0.35">
      <c r="A31" s="20" t="s">
        <v>24</v>
      </c>
      <c r="B31" s="25">
        <v>1266045.8400000001</v>
      </c>
      <c r="C31" s="25">
        <v>-261684.95</v>
      </c>
      <c r="D31" s="25">
        <v>-1774297.12</v>
      </c>
      <c r="E31" s="25">
        <v>-89512.47</v>
      </c>
      <c r="F31" s="216">
        <f>SUM(B31:E31)</f>
        <v>-859448.7</v>
      </c>
      <c r="G31" s="216">
        <f>ROUND(F31/24*0,2)</f>
        <v>0</v>
      </c>
    </row>
    <row r="32" spans="1:10" s="46" customFormat="1" x14ac:dyDescent="0.35">
      <c r="A32" s="20" t="s">
        <v>25</v>
      </c>
      <c r="B32" s="215">
        <v>1146260.1000000001</v>
      </c>
      <c r="C32" s="215">
        <v>652330.12000000011</v>
      </c>
      <c r="D32" s="215">
        <v>-1070219.28</v>
      </c>
      <c r="E32" s="215">
        <v>60706.75</v>
      </c>
      <c r="F32" s="216">
        <f>SUM(B32:E32)</f>
        <v>789077.69000000018</v>
      </c>
      <c r="G32" s="216">
        <f>ROUND(F32/24*0,2)</f>
        <v>0</v>
      </c>
    </row>
    <row r="33" spans="1:17" s="46" customFormat="1" x14ac:dyDescent="0.35">
      <c r="A33" s="20" t="s">
        <v>5</v>
      </c>
      <c r="B33" s="216">
        <f t="shared" ref="B33:G33" si="24">SUM(B31:B32)</f>
        <v>2412305.9400000004</v>
      </c>
      <c r="C33" s="216">
        <f t="shared" si="24"/>
        <v>390645.1700000001</v>
      </c>
      <c r="D33" s="216">
        <f t="shared" si="24"/>
        <v>-2844516.4000000004</v>
      </c>
      <c r="E33" s="216">
        <f t="shared" si="24"/>
        <v>-28805.72</v>
      </c>
      <c r="F33" s="216">
        <f t="shared" si="24"/>
        <v>-70371.009999999776</v>
      </c>
      <c r="G33" s="216">
        <f t="shared" si="24"/>
        <v>0</v>
      </c>
    </row>
    <row r="34" spans="1:17" s="46" customFormat="1" x14ac:dyDescent="0.35">
      <c r="B34" s="213"/>
      <c r="C34" s="213"/>
      <c r="D34" s="214"/>
    </row>
    <row r="35" spans="1:17" s="46" customFormat="1" x14ac:dyDescent="0.35">
      <c r="A35" s="20" t="s">
        <v>104</v>
      </c>
      <c r="B35" s="25">
        <v>124816.68</v>
      </c>
      <c r="C35" s="25">
        <v>-31690.68</v>
      </c>
      <c r="D35" s="25">
        <v>-451100.9</v>
      </c>
      <c r="E35" s="215">
        <v>-6747.99</v>
      </c>
      <c r="F35" s="216">
        <f t="shared" ref="F35:F38" si="25">SUM(B35:E35)</f>
        <v>-364722.89</v>
      </c>
      <c r="G35" s="216">
        <f>ROUND(F35/24*0,2)</f>
        <v>0</v>
      </c>
    </row>
    <row r="36" spans="1:17" s="46" customFormat="1" x14ac:dyDescent="0.35">
      <c r="A36" s="20" t="s">
        <v>105</v>
      </c>
      <c r="B36" s="215">
        <v>390572.25</v>
      </c>
      <c r="C36" s="215">
        <v>243638.01</v>
      </c>
      <c r="D36" s="215">
        <v>-201296.23</v>
      </c>
      <c r="E36" s="215">
        <v>35332.660000000003</v>
      </c>
      <c r="F36" s="216">
        <f t="shared" si="25"/>
        <v>468246.69000000006</v>
      </c>
      <c r="G36" s="216">
        <f>ROUND(F36/24*0,2)</f>
        <v>0</v>
      </c>
    </row>
    <row r="37" spans="1:17" s="46" customFormat="1" x14ac:dyDescent="0.35">
      <c r="A37" s="20" t="s">
        <v>106</v>
      </c>
      <c r="B37" s="25">
        <v>546171.26</v>
      </c>
      <c r="C37" s="25">
        <v>104616.02</v>
      </c>
      <c r="D37" s="25">
        <v>-270192.05</v>
      </c>
      <c r="E37" s="25">
        <v>23076.27</v>
      </c>
      <c r="F37" s="216">
        <f t="shared" si="25"/>
        <v>403671.50000000006</v>
      </c>
      <c r="G37" s="216">
        <f>ROUND(F37/24*0,2)</f>
        <v>0</v>
      </c>
    </row>
    <row r="38" spans="1:17" s="46" customFormat="1" x14ac:dyDescent="0.35">
      <c r="A38" s="20" t="s">
        <v>107</v>
      </c>
      <c r="B38" s="215">
        <v>84699.91</v>
      </c>
      <c r="C38" s="215">
        <v>335766.77</v>
      </c>
      <c r="D38" s="215">
        <v>-147630.1</v>
      </c>
      <c r="E38" s="215">
        <v>9045.81</v>
      </c>
      <c r="F38" s="216">
        <f t="shared" si="25"/>
        <v>281882.39000000007</v>
      </c>
      <c r="G38" s="216">
        <f>ROUND(F38/24*0,2)</f>
        <v>0</v>
      </c>
    </row>
    <row r="39" spans="1:17" s="46" customFormat="1" x14ac:dyDescent="0.35">
      <c r="A39" s="30" t="s">
        <v>109</v>
      </c>
      <c r="B39" s="216">
        <f>SUM(B35:B38)</f>
        <v>1146260.0999999999</v>
      </c>
      <c r="C39" s="216">
        <f>SUM(C35:C38)</f>
        <v>652330.12000000011</v>
      </c>
      <c r="D39" s="216">
        <f t="shared" ref="D39:G39" si="26">SUM(D35:D38)</f>
        <v>-1070219.28</v>
      </c>
      <c r="E39" s="216">
        <f t="shared" si="26"/>
        <v>60706.75</v>
      </c>
      <c r="F39" s="216">
        <f t="shared" si="26"/>
        <v>789077.69000000018</v>
      </c>
      <c r="G39" s="216">
        <f t="shared" si="26"/>
        <v>0</v>
      </c>
    </row>
    <row r="40" spans="1:17" s="46" customFormat="1" x14ac:dyDescent="0.35">
      <c r="E40" s="4"/>
    </row>
    <row r="41" spans="1:17" x14ac:dyDescent="0.35">
      <c r="A41" s="46"/>
      <c r="B41" s="46"/>
      <c r="D41" s="46"/>
      <c r="E41" s="46"/>
      <c r="J41" s="46"/>
    </row>
    <row r="42" spans="1:17" s="46" customFormat="1" x14ac:dyDescent="0.35">
      <c r="A42" s="243" t="s">
        <v>163</v>
      </c>
      <c r="K42" s="293"/>
      <c r="L42" s="293"/>
      <c r="M42" s="293"/>
      <c r="N42" s="293"/>
      <c r="O42" s="293"/>
      <c r="P42" s="293"/>
      <c r="Q42" s="293"/>
    </row>
    <row r="43" spans="1:17" s="46" customFormat="1" x14ac:dyDescent="0.35">
      <c r="A43" s="20" t="s">
        <v>24</v>
      </c>
      <c r="B43" s="25">
        <v>0</v>
      </c>
      <c r="C43" s="25">
        <v>8894.23</v>
      </c>
      <c r="D43" s="25">
        <v>-668670.34</v>
      </c>
      <c r="E43" s="25">
        <v>-51414.78</v>
      </c>
      <c r="F43" s="216">
        <f>SUM(B43:E43)</f>
        <v>-711190.89</v>
      </c>
      <c r="G43" s="216">
        <f>ROUND(F43/24*0,2)</f>
        <v>0</v>
      </c>
      <c r="K43" s="294"/>
      <c r="L43" s="294"/>
    </row>
    <row r="44" spans="1:17" s="46" customFormat="1" x14ac:dyDescent="0.35">
      <c r="A44" s="20" t="s">
        <v>25</v>
      </c>
      <c r="B44" s="215">
        <v>0</v>
      </c>
      <c r="C44" s="215">
        <v>219063.11</v>
      </c>
      <c r="D44" s="215">
        <v>-354279.85</v>
      </c>
      <c r="E44" s="215">
        <v>10216.190000000002</v>
      </c>
      <c r="F44" s="216">
        <f>SUM(B44:E44)</f>
        <v>-125000.54999999999</v>
      </c>
      <c r="G44" s="216">
        <f>ROUND(F44/24*0,2)</f>
        <v>0</v>
      </c>
    </row>
    <row r="45" spans="1:17" s="46" customFormat="1" x14ac:dyDescent="0.35">
      <c r="A45" s="20" t="s">
        <v>5</v>
      </c>
      <c r="B45" s="216">
        <f t="shared" ref="B45:G45" si="27">SUM(B43:B44)</f>
        <v>0</v>
      </c>
      <c r="C45" s="216">
        <f t="shared" si="27"/>
        <v>227957.34</v>
      </c>
      <c r="D45" s="216">
        <f t="shared" si="27"/>
        <v>-1022950.19</v>
      </c>
      <c r="E45" s="216">
        <f t="shared" si="27"/>
        <v>-41198.589999999997</v>
      </c>
      <c r="F45" s="216">
        <f t="shared" si="27"/>
        <v>-836191.44</v>
      </c>
      <c r="G45" s="216">
        <f t="shared" si="27"/>
        <v>0</v>
      </c>
    </row>
    <row r="46" spans="1:17" s="46" customFormat="1" x14ac:dyDescent="0.35">
      <c r="B46" s="213"/>
      <c r="C46" s="213"/>
      <c r="D46" s="214"/>
    </row>
    <row r="47" spans="1:17" s="46" customFormat="1" x14ac:dyDescent="0.35">
      <c r="A47" s="20" t="s">
        <v>104</v>
      </c>
      <c r="B47" s="25">
        <v>0</v>
      </c>
      <c r="C47" s="25">
        <v>-10762.26</v>
      </c>
      <c r="D47" s="25">
        <v>-149794.82999999999</v>
      </c>
      <c r="E47" s="215">
        <v>-8503.82</v>
      </c>
      <c r="F47" s="216">
        <f t="shared" ref="F47:F50" si="28">SUM(B47:E47)</f>
        <v>-169060.91</v>
      </c>
      <c r="G47" s="216">
        <f>ROUND(F47/24*0,2)</f>
        <v>0</v>
      </c>
      <c r="K47" s="294"/>
      <c r="L47" s="294"/>
    </row>
    <row r="48" spans="1:17" s="46" customFormat="1" x14ac:dyDescent="0.35">
      <c r="A48" s="20" t="s">
        <v>105</v>
      </c>
      <c r="B48" s="215">
        <v>0</v>
      </c>
      <c r="C48" s="215">
        <v>81670.7</v>
      </c>
      <c r="D48" s="215">
        <v>-64576.77</v>
      </c>
      <c r="E48" s="215">
        <v>9912.11</v>
      </c>
      <c r="F48" s="216">
        <f t="shared" si="28"/>
        <v>27006.04</v>
      </c>
      <c r="G48" s="216">
        <f>ROUND(F48/24*0,2)</f>
        <v>0</v>
      </c>
      <c r="K48" s="294"/>
      <c r="L48" s="294"/>
    </row>
    <row r="49" spans="1:17" s="46" customFormat="1" x14ac:dyDescent="0.35">
      <c r="A49" s="20" t="s">
        <v>106</v>
      </c>
      <c r="B49" s="25">
        <v>0</v>
      </c>
      <c r="C49" s="25">
        <v>34542.74</v>
      </c>
      <c r="D49" s="25">
        <v>-89753.7</v>
      </c>
      <c r="E49" s="25">
        <v>3787.3</v>
      </c>
      <c r="F49" s="216">
        <f t="shared" si="28"/>
        <v>-51423.659999999996</v>
      </c>
      <c r="G49" s="216">
        <f>ROUND(F49/24*0,2)</f>
        <v>0</v>
      </c>
      <c r="K49" s="294"/>
      <c r="L49" s="294"/>
    </row>
    <row r="50" spans="1:17" s="46" customFormat="1" x14ac:dyDescent="0.35">
      <c r="A50" s="20" t="s">
        <v>107</v>
      </c>
      <c r="B50" s="215">
        <v>0</v>
      </c>
      <c r="C50" s="215">
        <v>113611.93</v>
      </c>
      <c r="D50" s="215">
        <v>-50154.55</v>
      </c>
      <c r="E50" s="215">
        <v>5020.6000000000004</v>
      </c>
      <c r="F50" s="216">
        <f t="shared" si="28"/>
        <v>68477.98</v>
      </c>
      <c r="G50" s="216">
        <f>ROUND(F50/24*0,2)</f>
        <v>0</v>
      </c>
      <c r="K50" s="294"/>
      <c r="L50" s="294"/>
    </row>
    <row r="51" spans="1:17" s="46" customFormat="1" x14ac:dyDescent="0.35">
      <c r="A51" s="30" t="s">
        <v>109</v>
      </c>
      <c r="B51" s="216">
        <f>SUM(B47:B50)</f>
        <v>0</v>
      </c>
      <c r="C51" s="216">
        <f>SUM(C47:C50)</f>
        <v>219063.11</v>
      </c>
      <c r="D51" s="216">
        <f t="shared" ref="D51:G51" si="29">SUM(D47:D50)</f>
        <v>-354279.85</v>
      </c>
      <c r="E51" s="216">
        <f t="shared" si="29"/>
        <v>10216.190000000002</v>
      </c>
      <c r="F51" s="216">
        <f t="shared" si="29"/>
        <v>-125000.55</v>
      </c>
      <c r="G51" s="216">
        <f t="shared" si="29"/>
        <v>0</v>
      </c>
    </row>
    <row r="52" spans="1:17" s="46" customFormat="1" x14ac:dyDescent="0.35">
      <c r="E52" s="4"/>
    </row>
    <row r="53" spans="1:17" s="46" customFormat="1" x14ac:dyDescent="0.35">
      <c r="A53" s="243" t="s">
        <v>164</v>
      </c>
    </row>
    <row r="54" spans="1:17" s="46" customFormat="1" x14ac:dyDescent="0.35">
      <c r="A54" s="20" t="s">
        <v>24</v>
      </c>
      <c r="B54" s="25">
        <v>0</v>
      </c>
      <c r="C54" s="25">
        <v>0</v>
      </c>
      <c r="D54" s="25">
        <v>0</v>
      </c>
      <c r="E54" s="25">
        <v>-46354.43</v>
      </c>
      <c r="F54" s="216">
        <f>SUM(B54:E54)</f>
        <v>-46354.43</v>
      </c>
      <c r="G54" s="216">
        <f>ROUND(F54/24*0,2)</f>
        <v>0</v>
      </c>
      <c r="K54" s="294"/>
      <c r="L54" s="294"/>
      <c r="M54" s="294"/>
      <c r="N54" s="294"/>
      <c r="O54" s="294"/>
      <c r="P54" s="294"/>
      <c r="Q54" s="294"/>
    </row>
    <row r="55" spans="1:17" s="46" customFormat="1" x14ac:dyDescent="0.35">
      <c r="A55" s="20" t="s">
        <v>25</v>
      </c>
      <c r="B55" s="215">
        <v>0</v>
      </c>
      <c r="C55" s="215">
        <f>SUM(C58:C61)</f>
        <v>0</v>
      </c>
      <c r="D55" s="215">
        <f t="shared" ref="D55:G55" si="30">SUM(D58:D61)</f>
        <v>0</v>
      </c>
      <c r="E55" s="215">
        <v>2949.1899999999991</v>
      </c>
      <c r="F55" s="216">
        <f>SUM(B55:E55)</f>
        <v>2949.1899999999991</v>
      </c>
      <c r="G55" s="216">
        <f t="shared" si="30"/>
        <v>0</v>
      </c>
    </row>
    <row r="56" spans="1:17" s="46" customFormat="1" x14ac:dyDescent="0.35">
      <c r="A56" s="20" t="s">
        <v>5</v>
      </c>
      <c r="B56" s="216">
        <f t="shared" ref="B56:G56" si="31">SUM(B54:B55)</f>
        <v>0</v>
      </c>
      <c r="C56" s="216">
        <f t="shared" si="31"/>
        <v>0</v>
      </c>
      <c r="D56" s="216">
        <f t="shared" si="31"/>
        <v>0</v>
      </c>
      <c r="E56" s="216">
        <f t="shared" si="31"/>
        <v>-43405.24</v>
      </c>
      <c r="F56" s="216">
        <f t="shared" si="31"/>
        <v>-43405.24</v>
      </c>
      <c r="G56" s="216">
        <f t="shared" si="31"/>
        <v>0</v>
      </c>
    </row>
    <row r="57" spans="1:17" s="46" customFormat="1" x14ac:dyDescent="0.35">
      <c r="B57" s="213"/>
      <c r="C57" s="213"/>
      <c r="D57" s="214"/>
    </row>
    <row r="58" spans="1:17" s="46" customFormat="1" x14ac:dyDescent="0.35">
      <c r="A58" s="20" t="s">
        <v>104</v>
      </c>
      <c r="B58" s="25">
        <v>0</v>
      </c>
      <c r="C58" s="25">
        <v>0</v>
      </c>
      <c r="D58" s="25">
        <v>0</v>
      </c>
      <c r="E58" s="215">
        <v>-8810.09</v>
      </c>
      <c r="F58" s="216">
        <f t="shared" ref="F58:F61" si="32">SUM(B58:E58)</f>
        <v>-8810.09</v>
      </c>
      <c r="G58" s="216">
        <f t="shared" ref="G58:G61" si="33">ROUND(F58/24*0,2)</f>
        <v>0</v>
      </c>
      <c r="K58" s="294"/>
      <c r="L58" s="294"/>
      <c r="M58" s="294"/>
      <c r="N58" s="294"/>
      <c r="O58" s="294"/>
      <c r="P58" s="294"/>
      <c r="Q58" s="294"/>
    </row>
    <row r="59" spans="1:17" s="46" customFormat="1" x14ac:dyDescent="0.35">
      <c r="A59" s="20" t="s">
        <v>105</v>
      </c>
      <c r="B59" s="215">
        <v>0</v>
      </c>
      <c r="C59" s="215">
        <v>0</v>
      </c>
      <c r="D59" s="215">
        <v>0</v>
      </c>
      <c r="E59" s="215">
        <v>6289.37</v>
      </c>
      <c r="F59" s="216">
        <f t="shared" si="32"/>
        <v>6289.37</v>
      </c>
      <c r="G59" s="216">
        <f t="shared" si="33"/>
        <v>0</v>
      </c>
      <c r="K59" s="294"/>
      <c r="L59" s="294"/>
      <c r="M59" s="294"/>
      <c r="N59" s="294"/>
      <c r="O59" s="294"/>
      <c r="P59" s="294"/>
      <c r="Q59" s="294"/>
    </row>
    <row r="60" spans="1:17" s="46" customFormat="1" x14ac:dyDescent="0.35">
      <c r="A60" s="20" t="s">
        <v>106</v>
      </c>
      <c r="B60" s="25">
        <v>0</v>
      </c>
      <c r="C60" s="25">
        <v>0</v>
      </c>
      <c r="D60" s="25">
        <v>0</v>
      </c>
      <c r="E60" s="25">
        <v>1003.18</v>
      </c>
      <c r="F60" s="216">
        <f t="shared" si="32"/>
        <v>1003.18</v>
      </c>
      <c r="G60" s="216">
        <f t="shared" si="33"/>
        <v>0</v>
      </c>
      <c r="K60" s="294"/>
      <c r="L60" s="294"/>
      <c r="M60" s="294"/>
      <c r="N60" s="294"/>
      <c r="O60" s="294"/>
      <c r="P60" s="294"/>
      <c r="Q60" s="294"/>
    </row>
    <row r="61" spans="1:17" s="46" customFormat="1" x14ac:dyDescent="0.35">
      <c r="A61" s="20" t="s">
        <v>107</v>
      </c>
      <c r="B61" s="215">
        <v>0</v>
      </c>
      <c r="C61" s="215">
        <v>0</v>
      </c>
      <c r="D61" s="215">
        <v>0</v>
      </c>
      <c r="E61" s="215">
        <v>4466.7299999999996</v>
      </c>
      <c r="F61" s="216">
        <f t="shared" si="32"/>
        <v>4466.7299999999996</v>
      </c>
      <c r="G61" s="216">
        <f t="shared" si="33"/>
        <v>0</v>
      </c>
      <c r="K61" s="294"/>
      <c r="L61" s="294"/>
      <c r="M61" s="294"/>
      <c r="N61" s="294"/>
      <c r="O61" s="294"/>
      <c r="P61" s="294"/>
      <c r="Q61" s="294"/>
    </row>
    <row r="62" spans="1:17" s="46" customFormat="1" x14ac:dyDescent="0.35">
      <c r="A62" s="30" t="s">
        <v>109</v>
      </c>
      <c r="B62" s="216">
        <f>SUM(B58:B61)</f>
        <v>0</v>
      </c>
      <c r="C62" s="216">
        <f>SUM(C58:C61)</f>
        <v>0</v>
      </c>
      <c r="D62" s="216">
        <f t="shared" ref="D62:G62" si="34">SUM(D58:D61)</f>
        <v>0</v>
      </c>
      <c r="E62" s="216">
        <f t="shared" si="34"/>
        <v>2949.1899999999991</v>
      </c>
      <c r="F62" s="216">
        <f t="shared" si="34"/>
        <v>2949.1899999999991</v>
      </c>
      <c r="G62" s="216">
        <f t="shared" si="34"/>
        <v>0</v>
      </c>
    </row>
    <row r="63" spans="1:17" s="46" customFormat="1" x14ac:dyDescent="0.35">
      <c r="E63" s="4"/>
    </row>
    <row r="64" spans="1:17" s="46" customFormat="1" x14ac:dyDescent="0.35">
      <c r="A64" s="243" t="s">
        <v>167</v>
      </c>
    </row>
    <row r="65" spans="1:17" s="46" customFormat="1" x14ac:dyDescent="0.35">
      <c r="A65" s="20" t="s">
        <v>24</v>
      </c>
      <c r="B65" s="25">
        <v>0</v>
      </c>
      <c r="C65" s="25">
        <v>0</v>
      </c>
      <c r="D65" s="25">
        <v>0</v>
      </c>
      <c r="E65" s="25">
        <v>-32712.49</v>
      </c>
      <c r="F65" s="216">
        <f>SUM(B65:E65)</f>
        <v>-32712.49</v>
      </c>
      <c r="G65" s="216">
        <f>ROUND(F65/24*0,2)</f>
        <v>0</v>
      </c>
      <c r="K65" s="294"/>
      <c r="L65" s="294"/>
      <c r="M65" s="294"/>
      <c r="N65" s="294"/>
      <c r="O65" s="294"/>
      <c r="P65" s="294"/>
      <c r="Q65" s="294"/>
    </row>
    <row r="66" spans="1:17" s="46" customFormat="1" x14ac:dyDescent="0.35">
      <c r="A66" s="20" t="s">
        <v>25</v>
      </c>
      <c r="B66" s="215">
        <v>0</v>
      </c>
      <c r="C66" s="215">
        <f>SUM(C69:C72)</f>
        <v>0</v>
      </c>
      <c r="D66" s="215">
        <f t="shared" ref="D66" si="35">SUM(D69:D72)</f>
        <v>0</v>
      </c>
      <c r="E66" s="215">
        <v>-4051.89</v>
      </c>
      <c r="F66" s="216">
        <f>SUM(B66:E66)</f>
        <v>-4051.89</v>
      </c>
      <c r="G66" s="216">
        <f t="shared" ref="G66" si="36">SUM(G69:G72)</f>
        <v>0</v>
      </c>
    </row>
    <row r="67" spans="1:17" s="46" customFormat="1" x14ac:dyDescent="0.35">
      <c r="A67" s="20" t="s">
        <v>5</v>
      </c>
      <c r="B67" s="216">
        <f t="shared" ref="B67:G67" si="37">SUM(B65:B66)</f>
        <v>0</v>
      </c>
      <c r="C67" s="216">
        <f t="shared" si="37"/>
        <v>0</v>
      </c>
      <c r="D67" s="216">
        <f t="shared" si="37"/>
        <v>0</v>
      </c>
      <c r="E67" s="216">
        <f t="shared" si="37"/>
        <v>-36764.380000000005</v>
      </c>
      <c r="F67" s="216">
        <f t="shared" si="37"/>
        <v>-36764.380000000005</v>
      </c>
      <c r="G67" s="216">
        <f t="shared" si="37"/>
        <v>0</v>
      </c>
    </row>
    <row r="68" spans="1:17" s="46" customFormat="1" x14ac:dyDescent="0.35">
      <c r="B68" s="213"/>
      <c r="C68" s="213"/>
      <c r="D68" s="214"/>
    </row>
    <row r="69" spans="1:17" s="46" customFormat="1" x14ac:dyDescent="0.35">
      <c r="A69" s="20" t="s">
        <v>104</v>
      </c>
      <c r="B69" s="25">
        <v>0</v>
      </c>
      <c r="C69" s="25">
        <v>0</v>
      </c>
      <c r="D69" s="25">
        <v>0</v>
      </c>
      <c r="E69" s="215">
        <v>-7422.34</v>
      </c>
      <c r="F69" s="216">
        <f t="shared" ref="F69:F72" si="38">SUM(B69:E69)</f>
        <v>-7422.34</v>
      </c>
      <c r="G69" s="216">
        <f>ROUND(F69/24*0,2)</f>
        <v>0</v>
      </c>
      <c r="K69" s="294"/>
      <c r="L69" s="294"/>
      <c r="M69" s="294"/>
      <c r="N69" s="294"/>
      <c r="O69" s="294"/>
      <c r="P69" s="294"/>
      <c r="Q69" s="294"/>
    </row>
    <row r="70" spans="1:17" s="46" customFormat="1" x14ac:dyDescent="0.35">
      <c r="A70" s="20" t="s">
        <v>105</v>
      </c>
      <c r="B70" s="215">
        <v>0</v>
      </c>
      <c r="C70" s="215">
        <v>0</v>
      </c>
      <c r="D70" s="215">
        <v>0</v>
      </c>
      <c r="E70" s="215">
        <v>1875.39</v>
      </c>
      <c r="F70" s="216">
        <f t="shared" si="38"/>
        <v>1875.39</v>
      </c>
      <c r="G70" s="216">
        <f t="shared" ref="G70:G72" si="39">ROUND(F70/24*0,2)</f>
        <v>0</v>
      </c>
      <c r="K70" s="294"/>
      <c r="L70" s="294"/>
      <c r="M70" s="294"/>
      <c r="N70" s="294"/>
      <c r="O70" s="294"/>
      <c r="P70" s="294"/>
      <c r="Q70" s="294"/>
    </row>
    <row r="71" spans="1:17" s="46" customFormat="1" x14ac:dyDescent="0.35">
      <c r="A71" s="20" t="s">
        <v>106</v>
      </c>
      <c r="B71" s="25">
        <v>0</v>
      </c>
      <c r="C71" s="25">
        <v>0</v>
      </c>
      <c r="D71" s="25">
        <v>0</v>
      </c>
      <c r="E71" s="25">
        <v>-1646.59</v>
      </c>
      <c r="F71" s="216">
        <f t="shared" si="38"/>
        <v>-1646.59</v>
      </c>
      <c r="G71" s="216">
        <f t="shared" si="39"/>
        <v>0</v>
      </c>
      <c r="K71" s="294"/>
      <c r="L71" s="294"/>
      <c r="M71" s="294"/>
      <c r="N71" s="294"/>
      <c r="O71" s="294"/>
      <c r="P71" s="294"/>
      <c r="Q71" s="294"/>
    </row>
    <row r="72" spans="1:17" s="46" customFormat="1" x14ac:dyDescent="0.35">
      <c r="A72" s="20" t="s">
        <v>107</v>
      </c>
      <c r="B72" s="215">
        <v>0</v>
      </c>
      <c r="C72" s="215">
        <v>0</v>
      </c>
      <c r="D72" s="215">
        <v>0</v>
      </c>
      <c r="E72" s="215">
        <v>3141.65</v>
      </c>
      <c r="F72" s="216">
        <f t="shared" si="38"/>
        <v>3141.65</v>
      </c>
      <c r="G72" s="216">
        <f t="shared" si="39"/>
        <v>0</v>
      </c>
      <c r="K72" s="294"/>
      <c r="L72" s="294"/>
      <c r="M72" s="294"/>
      <c r="N72" s="294"/>
      <c r="O72" s="294"/>
      <c r="P72" s="294"/>
      <c r="Q72" s="294"/>
    </row>
    <row r="73" spans="1:17" s="46" customFormat="1" x14ac:dyDescent="0.35">
      <c r="A73" s="30" t="s">
        <v>109</v>
      </c>
      <c r="B73" s="216">
        <f>SUM(B69:B72)</f>
        <v>0</v>
      </c>
      <c r="C73" s="216">
        <f>SUM(C69:C72)</f>
        <v>0</v>
      </c>
      <c r="D73" s="216">
        <f t="shared" ref="D73:G73" si="40">SUM(D69:D72)</f>
        <v>0</v>
      </c>
      <c r="E73" s="216">
        <f t="shared" si="40"/>
        <v>-4051.89</v>
      </c>
      <c r="F73" s="216">
        <f t="shared" si="40"/>
        <v>-4051.89</v>
      </c>
      <c r="G73" s="216">
        <f t="shared" si="40"/>
        <v>0</v>
      </c>
    </row>
    <row r="74" spans="1:17" s="46" customFormat="1" x14ac:dyDescent="0.35">
      <c r="E74" s="4"/>
    </row>
    <row r="75" spans="1:17" s="46" customFormat="1" ht="14.25" customHeight="1" x14ac:dyDescent="0.35">
      <c r="A75" s="243" t="s">
        <v>176</v>
      </c>
    </row>
    <row r="76" spans="1:17" s="46" customFormat="1" x14ac:dyDescent="0.35">
      <c r="A76" s="20" t="s">
        <v>24</v>
      </c>
      <c r="B76" s="25">
        <v>0</v>
      </c>
      <c r="C76" s="25">
        <v>0</v>
      </c>
      <c r="D76" s="25">
        <v>0</v>
      </c>
      <c r="E76" s="25">
        <v>-13938.6</v>
      </c>
      <c r="F76" s="216">
        <f>SUM(B76:E76)</f>
        <v>-13938.6</v>
      </c>
      <c r="G76" s="216">
        <f>ROUND(F76/24*1,2)</f>
        <v>-580.78</v>
      </c>
      <c r="K76" s="294"/>
      <c r="L76" s="294"/>
      <c r="M76" s="294"/>
      <c r="N76" s="294"/>
      <c r="O76" s="294"/>
      <c r="P76" s="294"/>
      <c r="Q76" s="294"/>
    </row>
    <row r="77" spans="1:17" s="46" customFormat="1" x14ac:dyDescent="0.35">
      <c r="A77" s="20" t="s">
        <v>25</v>
      </c>
      <c r="B77" s="215">
        <v>0</v>
      </c>
      <c r="C77" s="215">
        <f>SUM(C80:C83)</f>
        <v>0</v>
      </c>
      <c r="D77" s="215">
        <f t="shared" ref="D77" si="41">SUM(D80:D83)</f>
        <v>0</v>
      </c>
      <c r="E77" s="215">
        <v>-8224.73</v>
      </c>
      <c r="F77" s="216">
        <f>SUM(B77:E77)</f>
        <v>-8224.73</v>
      </c>
      <c r="G77" s="216">
        <f t="shared" ref="G77" si="42">SUM(G80:G83)</f>
        <v>-342.70000000000005</v>
      </c>
    </row>
    <row r="78" spans="1:17" s="46" customFormat="1" x14ac:dyDescent="0.35">
      <c r="A78" s="20" t="s">
        <v>5</v>
      </c>
      <c r="B78" s="216">
        <f t="shared" ref="B78:G78" si="43">SUM(B76:B77)</f>
        <v>0</v>
      </c>
      <c r="C78" s="216">
        <f t="shared" si="43"/>
        <v>0</v>
      </c>
      <c r="D78" s="216">
        <f t="shared" si="43"/>
        <v>0</v>
      </c>
      <c r="E78" s="216">
        <f t="shared" si="43"/>
        <v>-22163.33</v>
      </c>
      <c r="F78" s="216">
        <f t="shared" si="43"/>
        <v>-22163.33</v>
      </c>
      <c r="G78" s="216">
        <f t="shared" si="43"/>
        <v>-923.48</v>
      </c>
    </row>
    <row r="79" spans="1:17" s="46" customFormat="1" x14ac:dyDescent="0.35">
      <c r="B79" s="213"/>
      <c r="C79" s="213"/>
      <c r="D79" s="214"/>
    </row>
    <row r="80" spans="1:17" s="46" customFormat="1" x14ac:dyDescent="0.35">
      <c r="A80" s="20" t="s">
        <v>104</v>
      </c>
      <c r="B80" s="25">
        <v>0</v>
      </c>
      <c r="C80" s="25">
        <v>0</v>
      </c>
      <c r="D80" s="25">
        <v>0</v>
      </c>
      <c r="E80" s="215">
        <v>-4401.96</v>
      </c>
      <c r="F80" s="216">
        <f t="shared" ref="F80:F83" si="44">SUM(B80:E80)</f>
        <v>-4401.96</v>
      </c>
      <c r="G80" s="216">
        <f>ROUND(F80/24*1,2)</f>
        <v>-183.42</v>
      </c>
      <c r="K80" s="294"/>
      <c r="L80" s="294"/>
      <c r="M80" s="294"/>
      <c r="N80" s="294"/>
      <c r="O80" s="294"/>
      <c r="P80" s="294"/>
      <c r="Q80" s="294"/>
    </row>
    <row r="81" spans="1:17" s="46" customFormat="1" x14ac:dyDescent="0.35">
      <c r="A81" s="20" t="s">
        <v>105</v>
      </c>
      <c r="B81" s="215">
        <v>0</v>
      </c>
      <c r="C81" s="215">
        <v>0</v>
      </c>
      <c r="D81" s="215">
        <v>0</v>
      </c>
      <c r="E81" s="215">
        <v>-1933.52</v>
      </c>
      <c r="F81" s="216">
        <f t="shared" si="44"/>
        <v>-1933.52</v>
      </c>
      <c r="G81" s="216">
        <f>ROUND(F81/24*1,2)</f>
        <v>-80.56</v>
      </c>
      <c r="K81" s="294"/>
      <c r="L81" s="294"/>
      <c r="M81" s="294"/>
      <c r="N81" s="294"/>
      <c r="O81" s="294"/>
      <c r="P81" s="294"/>
      <c r="Q81" s="294"/>
    </row>
    <row r="82" spans="1:17" s="46" customFormat="1" x14ac:dyDescent="0.35">
      <c r="A82" s="20" t="s">
        <v>106</v>
      </c>
      <c r="B82" s="25">
        <v>0</v>
      </c>
      <c r="C82" s="25">
        <v>0</v>
      </c>
      <c r="D82" s="25">
        <v>0</v>
      </c>
      <c r="E82" s="25">
        <v>-3197.51</v>
      </c>
      <c r="F82" s="216">
        <f t="shared" si="44"/>
        <v>-3197.51</v>
      </c>
      <c r="G82" s="216">
        <f>ROUND(F82/24*1,2)</f>
        <v>-133.22999999999999</v>
      </c>
      <c r="K82" s="294"/>
      <c r="L82" s="294"/>
      <c r="M82" s="294"/>
      <c r="N82" s="294"/>
      <c r="O82" s="294"/>
      <c r="P82" s="294"/>
      <c r="Q82" s="294"/>
    </row>
    <row r="83" spans="1:17" s="46" customFormat="1" x14ac:dyDescent="0.35">
      <c r="A83" s="20" t="s">
        <v>107</v>
      </c>
      <c r="B83" s="215">
        <v>0</v>
      </c>
      <c r="C83" s="215">
        <v>0</v>
      </c>
      <c r="D83" s="215">
        <v>0</v>
      </c>
      <c r="E83" s="215">
        <v>1308.26</v>
      </c>
      <c r="F83" s="216">
        <f t="shared" si="44"/>
        <v>1308.26</v>
      </c>
      <c r="G83" s="216">
        <f>ROUND(F83/24*1,2)</f>
        <v>54.51</v>
      </c>
      <c r="K83" s="294"/>
      <c r="L83" s="294"/>
      <c r="M83" s="294"/>
      <c r="N83" s="294"/>
      <c r="O83" s="294"/>
      <c r="P83" s="294"/>
      <c r="Q83" s="294"/>
    </row>
    <row r="84" spans="1:17" s="46" customFormat="1" x14ac:dyDescent="0.35">
      <c r="A84" s="30" t="s">
        <v>109</v>
      </c>
      <c r="B84" s="216">
        <f>SUM(B80:B83)</f>
        <v>0</v>
      </c>
      <c r="C84" s="216">
        <f>SUM(C80:C83)</f>
        <v>0</v>
      </c>
      <c r="D84" s="216">
        <f t="shared" ref="D84:G84" si="45">SUM(D80:D83)</f>
        <v>0</v>
      </c>
      <c r="E84" s="216">
        <f t="shared" si="45"/>
        <v>-8224.73</v>
      </c>
      <c r="F84" s="216">
        <f t="shared" si="45"/>
        <v>-8224.73</v>
      </c>
      <c r="G84" s="216">
        <f t="shared" si="45"/>
        <v>-342.70000000000005</v>
      </c>
    </row>
    <row r="85" spans="1:17" s="46" customFormat="1" x14ac:dyDescent="0.35">
      <c r="E85" s="4"/>
    </row>
    <row r="86" spans="1:17" s="46" customFormat="1" ht="14.25" customHeight="1" x14ac:dyDescent="0.35">
      <c r="A86" s="286" t="s">
        <v>180</v>
      </c>
      <c r="K86" s="294"/>
      <c r="L86" s="294"/>
      <c r="M86" s="294"/>
      <c r="N86" s="294"/>
      <c r="O86" s="294"/>
    </row>
    <row r="87" spans="1:17" s="46" customFormat="1" x14ac:dyDescent="0.35">
      <c r="A87" s="20" t="s">
        <v>24</v>
      </c>
      <c r="B87" s="25">
        <v>0</v>
      </c>
      <c r="C87" s="25">
        <v>36065.919999999998</v>
      </c>
      <c r="D87" s="25">
        <v>-61464.7</v>
      </c>
      <c r="E87" s="25">
        <v>-4088.89</v>
      </c>
      <c r="F87" s="216">
        <f>SUM(B87:E87)</f>
        <v>-29487.67</v>
      </c>
      <c r="G87" s="216">
        <f>ROUND(F87/24*7,2)</f>
        <v>-8600.57</v>
      </c>
      <c r="K87" s="294"/>
      <c r="L87" s="294"/>
      <c r="M87" s="294"/>
      <c r="N87" s="294"/>
      <c r="O87" s="294"/>
      <c r="P87" s="294"/>
      <c r="Q87" s="294"/>
    </row>
    <row r="88" spans="1:17" s="46" customFormat="1" x14ac:dyDescent="0.35">
      <c r="A88" s="20" t="s">
        <v>25</v>
      </c>
      <c r="B88" s="215">
        <v>0</v>
      </c>
      <c r="C88" s="215">
        <v>23858.46</v>
      </c>
      <c r="D88" s="215">
        <v>-27911.409999999996</v>
      </c>
      <c r="E88" s="215">
        <v>-7100.4899999999989</v>
      </c>
      <c r="F88" s="216">
        <f>SUM(B88:E88)</f>
        <v>-11153.439999999995</v>
      </c>
      <c r="G88" s="216">
        <f t="shared" ref="G88" si="46">SUM(G91:G94)</f>
        <v>-3253.0899999999997</v>
      </c>
    </row>
    <row r="89" spans="1:17" s="46" customFormat="1" x14ac:dyDescent="0.35">
      <c r="A89" s="20" t="s">
        <v>5</v>
      </c>
      <c r="B89" s="216">
        <v>0</v>
      </c>
      <c r="C89" s="216">
        <v>59924.38</v>
      </c>
      <c r="D89" s="216">
        <v>-89376.109999999986</v>
      </c>
      <c r="E89" s="216">
        <v>-11189.38</v>
      </c>
      <c r="F89" s="216">
        <f t="shared" ref="F89:G89" si="47">SUM(F87:F88)</f>
        <v>-40641.109999999993</v>
      </c>
      <c r="G89" s="216">
        <f t="shared" si="47"/>
        <v>-11853.66</v>
      </c>
    </row>
    <row r="90" spans="1:17" s="46" customFormat="1" x14ac:dyDescent="0.35">
      <c r="B90" s="213"/>
      <c r="C90" s="213"/>
      <c r="D90" s="214"/>
    </row>
    <row r="91" spans="1:17" s="46" customFormat="1" x14ac:dyDescent="0.35">
      <c r="A91" s="20" t="s">
        <v>104</v>
      </c>
      <c r="B91" s="25">
        <v>0</v>
      </c>
      <c r="C91" s="25">
        <v>496.58</v>
      </c>
      <c r="D91" s="25">
        <v>-11885.85</v>
      </c>
      <c r="E91" s="215">
        <v>-1963.49</v>
      </c>
      <c r="F91" s="216">
        <f t="shared" ref="F91:F94" si="48">SUM(B91:E91)</f>
        <v>-13352.76</v>
      </c>
      <c r="G91" s="216">
        <f>ROUND(F91/24*7,2)</f>
        <v>-3894.56</v>
      </c>
      <c r="K91" s="294"/>
      <c r="L91" s="294"/>
      <c r="M91" s="294"/>
      <c r="N91" s="294"/>
      <c r="O91" s="294"/>
      <c r="P91" s="294"/>
      <c r="Q91" s="294"/>
    </row>
    <row r="92" spans="1:17" s="46" customFormat="1" x14ac:dyDescent="0.35">
      <c r="A92" s="20" t="s">
        <v>105</v>
      </c>
      <c r="B92" s="215">
        <v>0</v>
      </c>
      <c r="C92" s="215">
        <v>9401.91</v>
      </c>
      <c r="D92" s="215">
        <v>-5085</v>
      </c>
      <c r="E92" s="215">
        <v>-2647.33</v>
      </c>
      <c r="F92" s="216">
        <f t="shared" si="48"/>
        <v>1669.58</v>
      </c>
      <c r="G92" s="216">
        <f>ROUND(F92/24*7,2)</f>
        <v>486.96</v>
      </c>
      <c r="K92" s="294"/>
      <c r="L92" s="294"/>
      <c r="M92" s="294"/>
      <c r="N92" s="294"/>
      <c r="O92" s="294"/>
      <c r="P92" s="294"/>
      <c r="Q92" s="294"/>
    </row>
    <row r="93" spans="1:17" s="46" customFormat="1" x14ac:dyDescent="0.35">
      <c r="A93" s="20" t="s">
        <v>106</v>
      </c>
      <c r="B93" s="25">
        <v>0</v>
      </c>
      <c r="C93" s="25">
        <v>4271.79</v>
      </c>
      <c r="D93" s="25">
        <v>-6644.92</v>
      </c>
      <c r="E93" s="25">
        <v>-2719.64</v>
      </c>
      <c r="F93" s="216">
        <f t="shared" si="48"/>
        <v>-5092.7700000000004</v>
      </c>
      <c r="G93" s="216">
        <f>ROUND(F93/24*7,2)</f>
        <v>-1485.39</v>
      </c>
      <c r="K93" s="294"/>
      <c r="L93" s="294"/>
      <c r="M93" s="294"/>
      <c r="N93" s="294"/>
      <c r="O93" s="294"/>
      <c r="P93" s="294"/>
      <c r="Q93" s="294"/>
    </row>
    <row r="94" spans="1:17" s="46" customFormat="1" x14ac:dyDescent="0.35">
      <c r="A94" s="20" t="s">
        <v>107</v>
      </c>
      <c r="B94" s="215">
        <v>0</v>
      </c>
      <c r="C94" s="215">
        <v>9688.18</v>
      </c>
      <c r="D94" s="215">
        <v>-4295.6400000000003</v>
      </c>
      <c r="E94" s="215">
        <v>229.97</v>
      </c>
      <c r="F94" s="216">
        <f t="shared" si="48"/>
        <v>5622.51</v>
      </c>
      <c r="G94" s="216">
        <f>ROUND(F94/24*7,2)</f>
        <v>1639.9</v>
      </c>
      <c r="K94" s="294"/>
      <c r="L94" s="294"/>
      <c r="M94" s="294"/>
      <c r="N94" s="294"/>
      <c r="O94" s="294"/>
      <c r="P94" s="294"/>
      <c r="Q94" s="294"/>
    </row>
    <row r="95" spans="1:17" s="46" customFormat="1" x14ac:dyDescent="0.35">
      <c r="A95" s="30" t="s">
        <v>109</v>
      </c>
      <c r="B95" s="216">
        <v>0</v>
      </c>
      <c r="C95" s="216">
        <v>23858.46</v>
      </c>
      <c r="D95" s="216">
        <v>-27911.409999999996</v>
      </c>
      <c r="E95" s="216">
        <v>-7100.4899999999989</v>
      </c>
      <c r="F95" s="216">
        <f t="shared" ref="F95:G95" si="49">SUM(F91:F94)</f>
        <v>-11153.44</v>
      </c>
      <c r="G95" s="216">
        <f t="shared" si="49"/>
        <v>-3253.0899999999997</v>
      </c>
    </row>
    <row r="96" spans="1:17" s="46" customFormat="1" x14ac:dyDescent="0.35">
      <c r="E96" s="4"/>
      <c r="J96" s="294"/>
      <c r="K96" s="294"/>
      <c r="L96" s="294"/>
      <c r="M96" s="294"/>
      <c r="N96" s="294"/>
      <c r="O96" s="294"/>
      <c r="P96" s="294"/>
      <c r="Q96" s="294"/>
    </row>
    <row r="97" spans="1:14" x14ac:dyDescent="0.35">
      <c r="A97" s="46"/>
      <c r="B97" s="46"/>
      <c r="D97" s="46"/>
      <c r="E97" s="46"/>
    </row>
    <row r="98" spans="1:14" x14ac:dyDescent="0.35">
      <c r="A98" s="53" t="s">
        <v>11</v>
      </c>
      <c r="B98" s="46"/>
      <c r="D98" s="46"/>
      <c r="E98" s="46"/>
    </row>
    <row r="99" spans="1:14" x14ac:dyDescent="0.35">
      <c r="A99" s="3" t="s">
        <v>155</v>
      </c>
      <c r="B99" s="46"/>
      <c r="D99" s="46"/>
      <c r="E99" s="46"/>
    </row>
    <row r="100" spans="1:14" s="46" customFormat="1" x14ac:dyDescent="0.35">
      <c r="A100" s="3" t="s">
        <v>227</v>
      </c>
    </row>
    <row r="101" spans="1:14" s="46" customFormat="1" x14ac:dyDescent="0.35">
      <c r="A101" s="3" t="s">
        <v>228</v>
      </c>
    </row>
    <row r="102" spans="1:14" x14ac:dyDescent="0.35">
      <c r="A102" s="3" t="s">
        <v>229</v>
      </c>
      <c r="B102" s="46"/>
      <c r="D102" s="46"/>
      <c r="E102" s="46"/>
    </row>
    <row r="103" spans="1:14" s="46" customFormat="1" x14ac:dyDescent="0.35">
      <c r="A103" s="3" t="s">
        <v>156</v>
      </c>
    </row>
    <row r="104" spans="1:14" ht="61.5" customHeight="1" x14ac:dyDescent="0.35">
      <c r="A104" s="376" t="s">
        <v>327</v>
      </c>
      <c r="B104" s="376"/>
      <c r="C104" s="376"/>
      <c r="D104" s="376"/>
      <c r="E104" s="376"/>
      <c r="F104" s="376"/>
      <c r="G104" s="376"/>
      <c r="H104" s="376"/>
      <c r="I104" s="376"/>
      <c r="J104" s="376"/>
      <c r="K104" s="376"/>
      <c r="N104" s="39"/>
    </row>
  </sheetData>
  <mergeCells count="2">
    <mergeCell ref="B3:D3"/>
    <mergeCell ref="A104:K104"/>
  </mergeCells>
  <pageMargins left="0.2" right="0.2" top="0.75" bottom="0.25" header="0.3" footer="0.3"/>
  <pageSetup scale="32" orientation="landscape" r:id="rId1"/>
  <headerFooter>
    <oddHeader>&amp;C&amp;F &amp;A&amp;R&amp;"Arial"&amp;10&amp;K000000CONFIDENTIAL</oddHeader>
    <oddFooter>&amp;R&amp;1#&amp;"Calibri"&amp;10&amp;KA80000Internal Use Only</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F2E79-0EFD-49E8-A513-B07A20AA3B3C}">
  <sheetPr>
    <pageSetUpPr fitToPage="1"/>
  </sheetPr>
  <dimension ref="A1:V132"/>
  <sheetViews>
    <sheetView zoomScale="85" zoomScaleNormal="85" workbookViewId="0">
      <pane xSplit="1" ySplit="4" topLeftCell="B5" activePane="bottomRight" state="frozen"/>
      <selection activeCell="C7" sqref="C7"/>
      <selection pane="topRight" activeCell="C7" sqref="C7"/>
      <selection pane="bottomLeft" activeCell="C7" sqref="C7"/>
      <selection pane="bottomRight" activeCell="L20" sqref="L20"/>
    </sheetView>
  </sheetViews>
  <sheetFormatPr defaultColWidth="8.7265625" defaultRowHeight="14.5" x14ac:dyDescent="0.35"/>
  <cols>
    <col min="1" max="1" width="22.453125" style="46" customWidth="1"/>
    <col min="2" max="2" width="15.26953125" style="46" bestFit="1" customWidth="1"/>
    <col min="3" max="3" width="14.26953125" style="46" customWidth="1"/>
    <col min="4" max="4" width="13.26953125" style="46" bestFit="1" customWidth="1"/>
    <col min="5" max="5" width="13.453125" style="46" bestFit="1" customWidth="1"/>
    <col min="6" max="6" width="11.54296875" style="46" bestFit="1" customWidth="1"/>
    <col min="7" max="7" width="13.1796875" style="46" customWidth="1"/>
    <col min="8" max="9" width="8.7265625" style="46"/>
    <col min="10" max="10" width="9.453125" style="46" bestFit="1" customWidth="1"/>
    <col min="11" max="11" width="8.7265625" style="46"/>
    <col min="12" max="12" width="11.54296875" style="46" bestFit="1" customWidth="1"/>
    <col min="13" max="13" width="10.7265625" style="46" bestFit="1" customWidth="1"/>
    <col min="14" max="14" width="9.7265625" style="46" bestFit="1" customWidth="1"/>
    <col min="15" max="15" width="12.26953125" style="46" bestFit="1" customWidth="1"/>
    <col min="16" max="16" width="11.54296875" style="46" bestFit="1" customWidth="1"/>
    <col min="17" max="17" width="10" style="46" bestFit="1" customWidth="1"/>
    <col min="18" max="16384" width="8.7265625" style="46"/>
  </cols>
  <sheetData>
    <row r="1" spans="1:7" x14ac:dyDescent="0.35">
      <c r="A1" s="63" t="str">
        <f>+'PPC Cycle 3'!A1</f>
        <v>Evergy Metro, Inc. - DSIM Rider Update Filed 12/01/2024</v>
      </c>
    </row>
    <row r="2" spans="1:7" x14ac:dyDescent="0.35">
      <c r="A2" s="9" t="str">
        <f>+'PPC Cycle 3'!A2</f>
        <v>Projections for Cycle 3 January 2025 - December 2025 DSIM</v>
      </c>
    </row>
    <row r="3" spans="1:7" ht="45.75" customHeight="1" x14ac:dyDescent="0.35">
      <c r="B3" s="374" t="s">
        <v>159</v>
      </c>
      <c r="C3" s="374"/>
      <c r="D3" s="374"/>
    </row>
    <row r="4" spans="1:7" ht="87" x14ac:dyDescent="0.35">
      <c r="B4" s="70" t="s">
        <v>97</v>
      </c>
      <c r="C4" s="70" t="s">
        <v>98</v>
      </c>
      <c r="D4" s="70" t="s">
        <v>101</v>
      </c>
      <c r="E4" s="70" t="s">
        <v>99</v>
      </c>
      <c r="F4" s="70" t="s">
        <v>96</v>
      </c>
      <c r="G4" s="70" t="s">
        <v>160</v>
      </c>
    </row>
    <row r="5" spans="1:7" x14ac:dyDescent="0.35">
      <c r="B5" s="70"/>
      <c r="C5" s="70"/>
      <c r="D5" s="70"/>
      <c r="E5" s="70"/>
      <c r="F5" s="70"/>
      <c r="G5" s="70"/>
    </row>
    <row r="6" spans="1:7" x14ac:dyDescent="0.35">
      <c r="A6" s="243" t="s">
        <v>158</v>
      </c>
      <c r="B6" s="70"/>
      <c r="C6" s="70"/>
      <c r="D6" s="150"/>
    </row>
    <row r="7" spans="1:7" x14ac:dyDescent="0.35">
      <c r="A7" s="20" t="s">
        <v>24</v>
      </c>
      <c r="B7" s="216">
        <f>SUMIFS(B$16:B$126,$A$16:$A$126,$A7)</f>
        <v>5093745.16</v>
      </c>
      <c r="C7" s="216">
        <f>SUMIFS(C$16:C$126,$A$16:$A$126,$A7)</f>
        <v>-149761.31999999992</v>
      </c>
      <c r="D7" s="216">
        <f>SUMIFS(D$16:D$126,$A$16:$A$126,$A7)</f>
        <v>-1143303.52</v>
      </c>
      <c r="E7" s="314">
        <f>SUMIFS(E$16:E$126,$A$16:$A$126,$A7)</f>
        <v>-139369.76</v>
      </c>
      <c r="F7" s="216">
        <f>SUM(B7:E7)</f>
        <v>3661310.5599999996</v>
      </c>
      <c r="G7" s="216">
        <f>SUMIFS(G$16:G$126,$A$16:$A$126,$A7)</f>
        <v>660679.7699999999</v>
      </c>
    </row>
    <row r="8" spans="1:7" x14ac:dyDescent="0.35">
      <c r="A8" s="20" t="s">
        <v>25</v>
      </c>
      <c r="B8" s="216">
        <f>SUM(B11:B14)</f>
        <v>3704542.21</v>
      </c>
      <c r="C8" s="216">
        <f t="shared" ref="C8:E8" si="0">SUM(C11:C14)</f>
        <v>215878.22</v>
      </c>
      <c r="D8" s="216">
        <f t="shared" si="0"/>
        <v>-142860.09000000003</v>
      </c>
      <c r="E8" s="314">
        <f t="shared" si="0"/>
        <v>10359.810000000001</v>
      </c>
      <c r="F8" s="216">
        <f>SUM(B8:E8)</f>
        <v>3787920.1500000004</v>
      </c>
      <c r="G8" s="216">
        <f t="shared" ref="G8" si="1">SUM(G11:G14)</f>
        <v>667797.54</v>
      </c>
    </row>
    <row r="9" spans="1:7" x14ac:dyDescent="0.35">
      <c r="A9" s="20" t="s">
        <v>5</v>
      </c>
      <c r="B9" s="216">
        <f t="shared" ref="B9:E9" si="2">SUM(B7:B8)</f>
        <v>8798287.370000001</v>
      </c>
      <c r="C9" s="216">
        <f t="shared" si="2"/>
        <v>66116.900000000081</v>
      </c>
      <c r="D9" s="216">
        <f t="shared" si="2"/>
        <v>-1286163.6100000001</v>
      </c>
      <c r="E9" s="314">
        <f t="shared" si="2"/>
        <v>-129009.95000000001</v>
      </c>
      <c r="F9" s="216">
        <f t="shared" ref="F9" si="3">SUM(F7:F8)</f>
        <v>7449230.71</v>
      </c>
      <c r="G9" s="216">
        <f t="shared" ref="G9" si="4">SUM(G7:G8)</f>
        <v>1328477.31</v>
      </c>
    </row>
    <row r="10" spans="1:7" x14ac:dyDescent="0.35">
      <c r="E10" s="315"/>
    </row>
    <row r="11" spans="1:7" x14ac:dyDescent="0.35">
      <c r="A11" s="20" t="s">
        <v>104</v>
      </c>
      <c r="B11" s="216">
        <f t="shared" ref="B11:E14" si="5">SUMIFS(B$16:B$126,$A$16:$A$126,$A11)</f>
        <v>468237.12</v>
      </c>
      <c r="C11" s="216">
        <f t="shared" si="5"/>
        <v>49553.470000000008</v>
      </c>
      <c r="D11" s="216">
        <f t="shared" si="5"/>
        <v>-40639.750000000007</v>
      </c>
      <c r="E11" s="314">
        <f t="shared" si="5"/>
        <v>169.67999999999992</v>
      </c>
      <c r="F11" s="216">
        <f t="shared" ref="F11:F14" si="6">SUM(B11:E11)</f>
        <v>477320.52</v>
      </c>
      <c r="G11" s="216">
        <f>SUMIFS(G$16:G$126,$A$16:$A$126,$A11)</f>
        <v>96560.25</v>
      </c>
    </row>
    <row r="12" spans="1:7" x14ac:dyDescent="0.35">
      <c r="A12" s="20" t="s">
        <v>105</v>
      </c>
      <c r="B12" s="216">
        <f t="shared" si="5"/>
        <v>1076263.24</v>
      </c>
      <c r="C12" s="216">
        <f t="shared" si="5"/>
        <v>43044.130000000019</v>
      </c>
      <c r="D12" s="216">
        <f t="shared" si="5"/>
        <v>-47101.130000000012</v>
      </c>
      <c r="E12" s="314">
        <f t="shared" si="5"/>
        <v>2403.34</v>
      </c>
      <c r="F12" s="216">
        <f t="shared" si="6"/>
        <v>1074609.58</v>
      </c>
      <c r="G12" s="216">
        <f>SUMIFS(G$16:G$126,$A$16:$A$126,$A12)</f>
        <v>178504.03000000003</v>
      </c>
    </row>
    <row r="13" spans="1:7" x14ac:dyDescent="0.35">
      <c r="A13" s="20" t="s">
        <v>106</v>
      </c>
      <c r="B13" s="216">
        <f t="shared" si="5"/>
        <v>1843486.88</v>
      </c>
      <c r="C13" s="216">
        <f t="shared" si="5"/>
        <v>108274.54</v>
      </c>
      <c r="D13" s="216">
        <f t="shared" si="5"/>
        <v>-53297.020000000004</v>
      </c>
      <c r="E13" s="314">
        <f t="shared" si="5"/>
        <v>6045.43</v>
      </c>
      <c r="F13" s="216">
        <f t="shared" si="6"/>
        <v>1904509.8299999998</v>
      </c>
      <c r="G13" s="216">
        <f>SUMIFS(G$16:G$126,$A$16:$A$126,$A13)</f>
        <v>310378.12</v>
      </c>
    </row>
    <row r="14" spans="1:7" x14ac:dyDescent="0.35">
      <c r="A14" s="20" t="s">
        <v>107</v>
      </c>
      <c r="B14" s="216">
        <f t="shared" si="5"/>
        <v>316554.96999999997</v>
      </c>
      <c r="C14" s="216">
        <f t="shared" si="5"/>
        <v>15006.079999999998</v>
      </c>
      <c r="D14" s="216">
        <f t="shared" si="5"/>
        <v>-1822.19</v>
      </c>
      <c r="E14" s="314">
        <f t="shared" si="5"/>
        <v>1741.36</v>
      </c>
      <c r="F14" s="216">
        <f t="shared" si="6"/>
        <v>331480.21999999997</v>
      </c>
      <c r="G14" s="216">
        <f>SUMIFS(G$16:G$126,$A$16:$A$126,$A14)</f>
        <v>82355.14</v>
      </c>
    </row>
    <row r="15" spans="1:7" x14ac:dyDescent="0.35">
      <c r="A15" s="30" t="s">
        <v>109</v>
      </c>
      <c r="B15" s="216">
        <f t="shared" ref="B15:E15" si="7">SUM(B11:B14)</f>
        <v>3704542.21</v>
      </c>
      <c r="C15" s="216">
        <f t="shared" si="7"/>
        <v>215878.22</v>
      </c>
      <c r="D15" s="216">
        <f t="shared" si="7"/>
        <v>-142860.09000000003</v>
      </c>
      <c r="E15" s="314">
        <f t="shared" si="7"/>
        <v>10359.810000000001</v>
      </c>
      <c r="F15" s="216">
        <f t="shared" ref="F15" si="8">SUM(F11:F14)</f>
        <v>3787920.1499999994</v>
      </c>
      <c r="G15" s="216">
        <f t="shared" ref="G15" si="9">SUM(G11:G14)</f>
        <v>667797.54</v>
      </c>
    </row>
    <row r="16" spans="1:7" x14ac:dyDescent="0.35">
      <c r="E16" s="315"/>
    </row>
    <row r="17" spans="1:22" x14ac:dyDescent="0.35">
      <c r="A17" s="20"/>
      <c r="B17" s="70"/>
      <c r="C17" s="70"/>
      <c r="D17" s="149"/>
      <c r="E17" s="315"/>
    </row>
    <row r="18" spans="1:22" x14ac:dyDescent="0.35">
      <c r="A18" s="243" t="s">
        <v>165</v>
      </c>
      <c r="B18" s="70"/>
      <c r="C18" s="70"/>
      <c r="D18" s="149"/>
      <c r="E18" s="315"/>
    </row>
    <row r="19" spans="1:22" x14ac:dyDescent="0.35">
      <c r="A19" s="20" t="s">
        <v>24</v>
      </c>
      <c r="B19" s="25">
        <f>ROUND('[15]EO Matrix @Meter'!$R$20,2)</f>
        <v>1163217.68</v>
      </c>
      <c r="C19" s="25">
        <f>ROUND(SUM('[16]Ex Post Gross TD Calc'!$E$571:$Z$571),2)</f>
        <v>331067.99</v>
      </c>
      <c r="D19" s="25">
        <f>ROUND(SUM('[16]NTG TD Calc'!$E$436:$Z$436),2)</f>
        <v>-686548</v>
      </c>
      <c r="E19" s="316">
        <f>ROUND(SUM('[16]EO TD Carrying Costs'!$C$55:$X$55),2)</f>
        <v>-17626.7</v>
      </c>
      <c r="F19" s="216">
        <f>SUM(B19:E19)</f>
        <v>790110.97</v>
      </c>
      <c r="G19" s="216">
        <f>ROUND(F19/12*0,2)</f>
        <v>0</v>
      </c>
      <c r="L19" s="185"/>
      <c r="M19" s="185"/>
      <c r="N19" s="185"/>
      <c r="O19" s="185"/>
      <c r="P19" s="185"/>
      <c r="R19" s="4"/>
      <c r="S19" s="4"/>
      <c r="T19" s="4"/>
      <c r="U19" s="4"/>
      <c r="V19" s="4"/>
    </row>
    <row r="20" spans="1:22" x14ac:dyDescent="0.35">
      <c r="A20" s="20" t="s">
        <v>25</v>
      </c>
      <c r="B20" s="215">
        <f>ROUND(SUM(B23:B26),2)</f>
        <v>923233.23</v>
      </c>
      <c r="C20" s="215">
        <f>SUM(C23:C26)</f>
        <v>137591.55000000002</v>
      </c>
      <c r="D20" s="215">
        <f t="shared" ref="D20:G20" si="10">SUM(D23:D26)</f>
        <v>-89366.98</v>
      </c>
      <c r="E20" s="317">
        <f t="shared" si="10"/>
        <v>2905.83</v>
      </c>
      <c r="F20" s="216">
        <f>SUM(B20:E20)</f>
        <v>974363.63</v>
      </c>
      <c r="G20" s="216">
        <f t="shared" si="10"/>
        <v>0</v>
      </c>
      <c r="L20" s="185"/>
      <c r="M20" s="185"/>
      <c r="N20" s="185"/>
      <c r="O20" s="185"/>
      <c r="P20" s="185"/>
      <c r="R20" s="4"/>
      <c r="S20" s="4"/>
      <c r="T20" s="4"/>
      <c r="U20" s="4"/>
      <c r="V20" s="4"/>
    </row>
    <row r="21" spans="1:22" x14ac:dyDescent="0.35">
      <c r="A21" s="20" t="s">
        <v>5</v>
      </c>
      <c r="B21" s="216">
        <f t="shared" ref="B21:G21" si="11">SUM(B19:B20)</f>
        <v>2086450.91</v>
      </c>
      <c r="C21" s="216">
        <f t="shared" si="11"/>
        <v>468659.54000000004</v>
      </c>
      <c r="D21" s="216">
        <f t="shared" si="11"/>
        <v>-775914.98</v>
      </c>
      <c r="E21" s="314">
        <f t="shared" si="11"/>
        <v>-14720.87</v>
      </c>
      <c r="F21" s="216">
        <f t="shared" si="11"/>
        <v>1764474.6</v>
      </c>
      <c r="G21" s="216">
        <f t="shared" si="11"/>
        <v>0</v>
      </c>
      <c r="L21" s="185"/>
      <c r="M21" s="185"/>
      <c r="N21" s="185"/>
      <c r="O21" s="185"/>
      <c r="P21" s="185"/>
      <c r="R21" s="4"/>
      <c r="S21" s="4"/>
      <c r="T21" s="4"/>
      <c r="U21" s="4"/>
      <c r="V21" s="4"/>
    </row>
    <row r="22" spans="1:22" x14ac:dyDescent="0.35">
      <c r="B22" s="213"/>
      <c r="C22" s="213"/>
      <c r="D22" s="214"/>
      <c r="E22" s="315"/>
      <c r="L22" s="185"/>
      <c r="M22" s="185"/>
      <c r="N22" s="185"/>
      <c r="O22" s="185"/>
      <c r="P22" s="185"/>
    </row>
    <row r="23" spans="1:22" x14ac:dyDescent="0.35">
      <c r="A23" s="20" t="s">
        <v>104</v>
      </c>
      <c r="B23" s="25">
        <f>ROUND('[15]EO Matrix @Meter'!$V$20,2)</f>
        <v>89861.64</v>
      </c>
      <c r="C23" s="25">
        <f>ROUND(SUM('[16]Ex Post Gross TD Calc'!$E$572:$Z$572),2)</f>
        <v>30571.68</v>
      </c>
      <c r="D23" s="25">
        <f>ROUND(SUM('[16]NTG TD Calc'!$E$437:$Z$437),2)</f>
        <v>-25048.27</v>
      </c>
      <c r="E23" s="317">
        <f>ROUND(SUM('[16]EO TD Carrying Costs'!$C$56:$X$56),2)</f>
        <v>150.27000000000001</v>
      </c>
      <c r="F23" s="216">
        <f t="shared" ref="F23:F26" si="12">SUM(B23:E23)</f>
        <v>95535.32</v>
      </c>
      <c r="G23" s="216">
        <f>ROUND(F23/12*0,2)</f>
        <v>0</v>
      </c>
      <c r="L23" s="185"/>
      <c r="M23" s="185"/>
      <c r="N23" s="185"/>
      <c r="O23" s="185"/>
      <c r="P23" s="185"/>
      <c r="R23" s="4"/>
      <c r="S23" s="4"/>
      <c r="T23" s="4"/>
      <c r="U23" s="4"/>
      <c r="V23" s="4"/>
    </row>
    <row r="24" spans="1:22" x14ac:dyDescent="0.35">
      <c r="A24" s="20" t="s">
        <v>105</v>
      </c>
      <c r="B24" s="215">
        <f>ROUND('[15]EO Matrix @Meter'!$W$20,2)</f>
        <v>329114.67</v>
      </c>
      <c r="C24" s="215">
        <f>ROUND(SUM('[16]Ex Post Gross TD Calc'!$E$573:$Z$573),2)</f>
        <v>56526.62</v>
      </c>
      <c r="D24" s="215">
        <f>ROUND(SUM('[16]NTG TD Calc'!$E$438:$Z$438),2)</f>
        <v>-39695.9</v>
      </c>
      <c r="E24" s="317">
        <f>ROUND(SUM('[16]EO TD Carrying Costs'!$C$57:$X$57),2)</f>
        <v>964.19</v>
      </c>
      <c r="F24" s="216">
        <f t="shared" si="12"/>
        <v>346909.57999999996</v>
      </c>
      <c r="G24" s="216">
        <f t="shared" ref="G24:G26" si="13">ROUND(F24/12*0,2)</f>
        <v>0</v>
      </c>
      <c r="L24" s="185"/>
      <c r="M24" s="185"/>
      <c r="N24" s="185"/>
      <c r="O24" s="185"/>
      <c r="P24" s="185"/>
      <c r="R24" s="4"/>
      <c r="S24" s="4"/>
      <c r="T24" s="4"/>
      <c r="U24" s="4"/>
      <c r="V24" s="4"/>
    </row>
    <row r="25" spans="1:22" x14ac:dyDescent="0.35">
      <c r="A25" s="20" t="s">
        <v>106</v>
      </c>
      <c r="B25" s="25">
        <f>ROUND('[15]EO Matrix @Meter'!$X$20,2)</f>
        <v>441576.37</v>
      </c>
      <c r="C25" s="25">
        <f>ROUND(SUM('[16]Ex Post Gross TD Calc'!$E$574:$Z$574),2)</f>
        <v>44928.09</v>
      </c>
      <c r="D25" s="25">
        <f>ROUND(SUM('[16]NTG TD Calc'!$E$439:$Z$439),2)</f>
        <v>-23708.22</v>
      </c>
      <c r="E25" s="316">
        <f>ROUND(SUM('[16]EO TD Carrying Costs'!$C$58:$X$58),2)</f>
        <v>1389.19</v>
      </c>
      <c r="F25" s="216">
        <f t="shared" si="12"/>
        <v>464185.43</v>
      </c>
      <c r="G25" s="216">
        <f t="shared" si="13"/>
        <v>0</v>
      </c>
      <c r="L25" s="185"/>
      <c r="M25" s="185"/>
      <c r="N25" s="185"/>
      <c r="O25" s="185"/>
      <c r="P25" s="185"/>
      <c r="R25" s="4"/>
      <c r="S25" s="4"/>
      <c r="T25" s="4"/>
      <c r="U25" s="4"/>
      <c r="V25" s="4"/>
    </row>
    <row r="26" spans="1:22" x14ac:dyDescent="0.35">
      <c r="A26" s="20" t="s">
        <v>107</v>
      </c>
      <c r="B26" s="215">
        <f>ROUND('[15]EO Matrix @Meter'!$Y$20,2)</f>
        <v>62680.55</v>
      </c>
      <c r="C26" s="215">
        <f>ROUND(SUM('[16]Ex Post Gross TD Calc'!$E$575:$Z$575),2)</f>
        <v>5565.16</v>
      </c>
      <c r="D26" s="215">
        <f>ROUND(SUM('[16]NTG TD Calc'!$E$440:$Z$440),2)</f>
        <v>-914.59</v>
      </c>
      <c r="E26" s="317">
        <f>ROUND(SUM('[16]EO TD Carrying Costs'!$C$59:$X$59),2)</f>
        <v>402.18</v>
      </c>
      <c r="F26" s="216">
        <f t="shared" si="12"/>
        <v>67733.3</v>
      </c>
      <c r="G26" s="216">
        <f t="shared" si="13"/>
        <v>0</v>
      </c>
      <c r="L26" s="185"/>
      <c r="M26" s="185"/>
      <c r="N26" s="185"/>
      <c r="O26" s="185"/>
      <c r="P26" s="185"/>
      <c r="R26" s="4"/>
      <c r="S26" s="4"/>
      <c r="T26" s="4"/>
      <c r="U26" s="4"/>
      <c r="V26" s="4"/>
    </row>
    <row r="27" spans="1:22" x14ac:dyDescent="0.35">
      <c r="A27" s="30" t="s">
        <v>109</v>
      </c>
      <c r="B27" s="216">
        <f>SUM(B23:B26)</f>
        <v>923233.23</v>
      </c>
      <c r="C27" s="216">
        <f>SUM(C23:C26)</f>
        <v>137591.55000000002</v>
      </c>
      <c r="D27" s="216">
        <f t="shared" ref="D27:G27" si="14">SUM(D23:D26)</f>
        <v>-89366.98</v>
      </c>
      <c r="E27" s="314">
        <f t="shared" si="14"/>
        <v>2905.83</v>
      </c>
      <c r="F27" s="216">
        <f t="shared" si="14"/>
        <v>974363.63</v>
      </c>
      <c r="G27" s="216">
        <f t="shared" si="14"/>
        <v>0</v>
      </c>
      <c r="L27" s="185"/>
      <c r="M27" s="185"/>
      <c r="N27" s="185"/>
      <c r="O27" s="185"/>
      <c r="P27" s="185"/>
      <c r="R27" s="4"/>
      <c r="S27" s="4"/>
      <c r="T27" s="4"/>
      <c r="U27" s="4"/>
      <c r="V27" s="4"/>
    </row>
    <row r="28" spans="1:22" x14ac:dyDescent="0.35">
      <c r="E28" s="315"/>
    </row>
    <row r="29" spans="1:22" x14ac:dyDescent="0.35">
      <c r="E29" s="315"/>
    </row>
    <row r="30" spans="1:22" x14ac:dyDescent="0.35">
      <c r="A30" s="243" t="s">
        <v>168</v>
      </c>
      <c r="E30" s="315"/>
      <c r="J30" s="293"/>
      <c r="K30" s="293"/>
      <c r="L30" s="293"/>
      <c r="M30" s="293"/>
      <c r="N30" s="293"/>
      <c r="O30" s="293"/>
      <c r="P30" s="293"/>
      <c r="Q30" s="293"/>
    </row>
    <row r="31" spans="1:22" x14ac:dyDescent="0.35">
      <c r="A31" s="20" t="s">
        <v>24</v>
      </c>
      <c r="B31" s="25">
        <f>ROUND(0,2)</f>
        <v>0</v>
      </c>
      <c r="C31" s="25">
        <f>ROUND(SUM('[16]Ex Post Gross TD Calc'!$AA$571:$AF$571),2)</f>
        <v>121182.9</v>
      </c>
      <c r="D31" s="25">
        <f>ROUND(SUM('[16]NTG TD Calc'!$AA$436:$AF$436),2)</f>
        <v>-87029.97</v>
      </c>
      <c r="E31" s="316">
        <f>ROUND(SUM('[16]EO TD Carrying Costs'!$Y$55:$AD$55),2)</f>
        <v>-12821.55</v>
      </c>
      <c r="F31" s="216">
        <f>SUM(B31:E31)</f>
        <v>21331.379999999994</v>
      </c>
      <c r="G31" s="216">
        <f>ROUND(F31/12*0,2)</f>
        <v>0</v>
      </c>
      <c r="J31" s="294"/>
      <c r="K31" s="294"/>
      <c r="L31" s="294"/>
      <c r="M31" s="185"/>
      <c r="N31" s="185"/>
      <c r="O31" s="185"/>
      <c r="P31" s="185"/>
      <c r="R31" s="4"/>
      <c r="S31" s="4"/>
      <c r="T31" s="4"/>
      <c r="U31" s="4"/>
      <c r="V31" s="4"/>
    </row>
    <row r="32" spans="1:22" x14ac:dyDescent="0.35">
      <c r="A32" s="20" t="s">
        <v>25</v>
      </c>
      <c r="B32" s="215">
        <f>SUM(B35:B38)</f>
        <v>0</v>
      </c>
      <c r="C32" s="215">
        <f>SUM(C35:C38)</f>
        <v>37872.939999999995</v>
      </c>
      <c r="D32" s="215">
        <f t="shared" ref="D32:E32" si="15">SUM(D35:D38)</f>
        <v>-10592.6</v>
      </c>
      <c r="E32" s="317">
        <f t="shared" si="15"/>
        <v>2081.9299999999998</v>
      </c>
      <c r="F32" s="216">
        <f>SUM(B32:E32)</f>
        <v>29362.269999999997</v>
      </c>
      <c r="G32" s="216">
        <f>ROUND(F32/12*0,2)</f>
        <v>0</v>
      </c>
      <c r="M32" s="185"/>
      <c r="N32" s="185"/>
      <c r="O32" s="185"/>
      <c r="P32" s="185"/>
      <c r="R32" s="4"/>
      <c r="S32" s="4"/>
      <c r="T32" s="4"/>
      <c r="U32" s="4"/>
      <c r="V32" s="4"/>
    </row>
    <row r="33" spans="1:22" x14ac:dyDescent="0.35">
      <c r="A33" s="20" t="s">
        <v>5</v>
      </c>
      <c r="B33" s="216">
        <f t="shared" ref="B33:G33" si="16">SUM(B31:B32)</f>
        <v>0</v>
      </c>
      <c r="C33" s="216">
        <f t="shared" si="16"/>
        <v>159055.84</v>
      </c>
      <c r="D33" s="216">
        <f t="shared" si="16"/>
        <v>-97622.57</v>
      </c>
      <c r="E33" s="314">
        <f t="shared" si="16"/>
        <v>-10739.619999999999</v>
      </c>
      <c r="F33" s="216">
        <f t="shared" si="16"/>
        <v>50693.649999999994</v>
      </c>
      <c r="G33" s="216">
        <f t="shared" si="16"/>
        <v>0</v>
      </c>
      <c r="M33" s="185"/>
      <c r="N33" s="185"/>
      <c r="O33" s="185"/>
      <c r="P33" s="185"/>
      <c r="R33" s="4"/>
      <c r="S33" s="4"/>
      <c r="T33" s="4"/>
      <c r="U33" s="4"/>
      <c r="V33" s="4"/>
    </row>
    <row r="34" spans="1:22" x14ac:dyDescent="0.35">
      <c r="B34" s="213"/>
      <c r="C34" s="213"/>
      <c r="D34" s="214"/>
      <c r="E34" s="315"/>
      <c r="M34" s="185"/>
      <c r="N34" s="185"/>
      <c r="O34" s="185"/>
      <c r="P34" s="185"/>
    </row>
    <row r="35" spans="1:22" x14ac:dyDescent="0.35">
      <c r="A35" s="20" t="s">
        <v>104</v>
      </c>
      <c r="B35" s="25">
        <f>ROUND(0,2)</f>
        <v>0</v>
      </c>
      <c r="C35" s="25">
        <f>ROUND(SUM('[16]Ex Post Gross TD Calc'!$AA572:$AF572),2)</f>
        <v>7589.27</v>
      </c>
      <c r="D35" s="25">
        <f>ROUND(SUM('[16]NTG TD Calc'!$AA437:$AF437),2)</f>
        <v>-2344.38</v>
      </c>
      <c r="E35" s="317">
        <f>ROUND(SUM('[16]EO TD Carrying Costs'!$Y56:$AD56),2)</f>
        <v>256.27999999999997</v>
      </c>
      <c r="F35" s="216">
        <f t="shared" ref="F35:F38" si="17">SUM(B35:E35)</f>
        <v>5501.17</v>
      </c>
      <c r="G35" s="216">
        <f>ROUND(F35/12*0,2)</f>
        <v>0</v>
      </c>
      <c r="J35" s="294"/>
      <c r="K35" s="294"/>
      <c r="L35" s="294"/>
      <c r="M35" s="185"/>
      <c r="N35" s="185"/>
      <c r="O35" s="185"/>
      <c r="P35" s="185"/>
      <c r="R35" s="4"/>
      <c r="S35" s="4"/>
      <c r="T35" s="4"/>
      <c r="U35" s="4"/>
      <c r="V35" s="4"/>
    </row>
    <row r="36" spans="1:22" x14ac:dyDescent="0.35">
      <c r="A36" s="20" t="s">
        <v>105</v>
      </c>
      <c r="B36" s="215">
        <f>ROUND(0,2)</f>
        <v>0</v>
      </c>
      <c r="C36" s="215">
        <f>ROUND(SUM('[16]Ex Post Gross TD Calc'!$AA573:$AF573),2)</f>
        <v>17892.060000000001</v>
      </c>
      <c r="D36" s="215">
        <f>ROUND(SUM('[16]NTG TD Calc'!$AA438:$AF438),2)</f>
        <v>-5102.96</v>
      </c>
      <c r="E36" s="317">
        <f>ROUND(SUM('[16]EO TD Carrying Costs'!$Y57:$AD57),2)</f>
        <v>766.86</v>
      </c>
      <c r="F36" s="216">
        <f t="shared" si="17"/>
        <v>13555.960000000003</v>
      </c>
      <c r="G36" s="216">
        <f t="shared" ref="G36:G38" si="18">ROUND(F36/12*0,2)</f>
        <v>0</v>
      </c>
      <c r="J36" s="294"/>
      <c r="K36" s="294"/>
      <c r="L36" s="294"/>
      <c r="M36" s="185"/>
      <c r="N36" s="185"/>
      <c r="O36" s="185"/>
      <c r="P36" s="185"/>
      <c r="R36" s="4"/>
      <c r="S36" s="4"/>
      <c r="T36" s="4"/>
      <c r="U36" s="4"/>
      <c r="V36" s="4"/>
    </row>
    <row r="37" spans="1:22" x14ac:dyDescent="0.35">
      <c r="A37" s="20" t="s">
        <v>106</v>
      </c>
      <c r="B37" s="25">
        <f>ROUND(0,2)</f>
        <v>0</v>
      </c>
      <c r="C37" s="25">
        <f>ROUND(SUM('[16]Ex Post Gross TD Calc'!$AA574:$AF574),2)</f>
        <v>11918.09</v>
      </c>
      <c r="D37" s="25">
        <f>ROUND(SUM('[16]NTG TD Calc'!$AA439:$AF439),2)</f>
        <v>-2977.22</v>
      </c>
      <c r="E37" s="316">
        <f>ROUND(SUM('[16]EO TD Carrying Costs'!$Y58:$AD58),2)</f>
        <v>884.23</v>
      </c>
      <c r="F37" s="216">
        <f t="shared" si="17"/>
        <v>9825.1</v>
      </c>
      <c r="G37" s="216">
        <f t="shared" si="18"/>
        <v>0</v>
      </c>
      <c r="J37" s="294"/>
      <c r="K37" s="294"/>
      <c r="L37" s="294"/>
      <c r="M37" s="185"/>
      <c r="N37" s="185"/>
      <c r="O37" s="185"/>
      <c r="P37" s="185"/>
      <c r="R37" s="4"/>
      <c r="S37" s="4"/>
      <c r="T37" s="4"/>
      <c r="U37" s="4"/>
      <c r="V37" s="4"/>
    </row>
    <row r="38" spans="1:22" x14ac:dyDescent="0.35">
      <c r="A38" s="20" t="s">
        <v>107</v>
      </c>
      <c r="B38" s="215">
        <f>ROUND(0,2)</f>
        <v>0</v>
      </c>
      <c r="C38" s="215">
        <f>ROUND(SUM('[16]Ex Post Gross TD Calc'!$AA575:$AF575),2)</f>
        <v>473.52</v>
      </c>
      <c r="D38" s="215">
        <f>ROUND(SUM('[16]NTG TD Calc'!$AA440:$AF440),2)</f>
        <v>-168.04</v>
      </c>
      <c r="E38" s="317">
        <f>ROUND(SUM('[16]EO TD Carrying Costs'!$Y59:$AD59),2)</f>
        <v>174.56</v>
      </c>
      <c r="F38" s="216">
        <f t="shared" si="17"/>
        <v>480.04</v>
      </c>
      <c r="G38" s="216">
        <f t="shared" si="18"/>
        <v>0</v>
      </c>
      <c r="J38" s="294"/>
      <c r="K38" s="294"/>
      <c r="L38" s="294"/>
      <c r="M38" s="185"/>
      <c r="N38" s="185"/>
      <c r="O38" s="185"/>
      <c r="P38" s="185"/>
      <c r="R38" s="4"/>
      <c r="S38" s="4"/>
      <c r="T38" s="4"/>
      <c r="U38" s="4"/>
      <c r="V38" s="4"/>
    </row>
    <row r="39" spans="1:22" x14ac:dyDescent="0.35">
      <c r="A39" s="30" t="s">
        <v>109</v>
      </c>
      <c r="B39" s="216">
        <f>SUM(B35:B38)</f>
        <v>0</v>
      </c>
      <c r="C39" s="216">
        <f>SUM(C35:C38)</f>
        <v>37872.939999999995</v>
      </c>
      <c r="D39" s="216">
        <f t="shared" ref="D39:G39" si="19">SUM(D35:D38)</f>
        <v>-10592.6</v>
      </c>
      <c r="E39" s="314">
        <f t="shared" si="19"/>
        <v>2081.9299999999998</v>
      </c>
      <c r="F39" s="216">
        <f t="shared" si="19"/>
        <v>29362.270000000004</v>
      </c>
      <c r="G39" s="216">
        <f t="shared" si="19"/>
        <v>0</v>
      </c>
      <c r="L39" s="185"/>
      <c r="M39" s="185"/>
      <c r="N39" s="185"/>
      <c r="O39" s="185"/>
      <c r="P39" s="185"/>
      <c r="R39" s="4"/>
      <c r="S39" s="4"/>
      <c r="T39" s="4"/>
      <c r="U39" s="4"/>
      <c r="V39" s="4"/>
    </row>
    <row r="40" spans="1:22" x14ac:dyDescent="0.35">
      <c r="E40" s="315"/>
    </row>
    <row r="41" spans="1:22" x14ac:dyDescent="0.35">
      <c r="E41" s="315"/>
    </row>
    <row r="42" spans="1:22" x14ac:dyDescent="0.35">
      <c r="A42" s="243" t="s">
        <v>177</v>
      </c>
      <c r="E42" s="315"/>
      <c r="J42" s="293"/>
      <c r="K42" s="293"/>
      <c r="L42" s="293"/>
      <c r="M42" s="293"/>
      <c r="N42" s="293"/>
      <c r="O42" s="293"/>
      <c r="P42" s="293"/>
      <c r="Q42" s="293"/>
    </row>
    <row r="43" spans="1:22" x14ac:dyDescent="0.35">
      <c r="A43" s="20" t="s">
        <v>24</v>
      </c>
      <c r="B43" s="25">
        <f>ROUND(0,2)</f>
        <v>0</v>
      </c>
      <c r="C43" s="25">
        <f>ROUND(SUM('[16]Ex Post Gross TD Calc'!$AG$571:$AM$571),2)</f>
        <v>137657.76</v>
      </c>
      <c r="D43" s="25">
        <f>ROUND(SUM('[16]NTG TD Calc'!$AG$436:$AM$436),2)</f>
        <v>0.03</v>
      </c>
      <c r="E43" s="316">
        <f>ROUND(SUM('[16]EO TD Carrying Costs'!$AE$55:$AI$55),2)</f>
        <v>-8083.49</v>
      </c>
      <c r="F43" s="216">
        <f>SUM(B43:E43)</f>
        <v>129574.3</v>
      </c>
      <c r="G43" s="216">
        <f>ROUND(F43/12*0,2)</f>
        <v>0</v>
      </c>
      <c r="J43" s="294"/>
      <c r="K43" s="294"/>
      <c r="L43" s="294"/>
      <c r="M43" s="294"/>
      <c r="N43" s="294"/>
      <c r="O43" s="294"/>
      <c r="P43" s="294"/>
      <c r="Q43" s="294"/>
      <c r="R43" s="4"/>
      <c r="S43" s="4"/>
      <c r="T43" s="4"/>
      <c r="U43" s="4"/>
      <c r="V43" s="4"/>
    </row>
    <row r="44" spans="1:22" x14ac:dyDescent="0.35">
      <c r="A44" s="20" t="s">
        <v>25</v>
      </c>
      <c r="B44" s="215">
        <f>SUM(B47:B50)</f>
        <v>0</v>
      </c>
      <c r="C44" s="215">
        <f>SUM(C47:C50)</f>
        <v>59053.65</v>
      </c>
      <c r="D44" s="215">
        <f t="shared" ref="D44:E44" si="20">SUM(D47:D50)</f>
        <v>0.01</v>
      </c>
      <c r="E44" s="317">
        <f t="shared" si="20"/>
        <v>2774.88</v>
      </c>
      <c r="F44" s="216">
        <f>SUM(B44:E44)</f>
        <v>61828.54</v>
      </c>
      <c r="G44" s="216">
        <f>ROUND(F44/12*0,2)</f>
        <v>0</v>
      </c>
      <c r="R44" s="4"/>
      <c r="S44" s="4"/>
      <c r="T44" s="4"/>
      <c r="U44" s="4"/>
      <c r="V44" s="4"/>
    </row>
    <row r="45" spans="1:22" x14ac:dyDescent="0.35">
      <c r="A45" s="20" t="s">
        <v>5</v>
      </c>
      <c r="B45" s="216">
        <f t="shared" ref="B45:G45" si="21">SUM(B43:B44)</f>
        <v>0</v>
      </c>
      <c r="C45" s="216">
        <f t="shared" si="21"/>
        <v>196711.41</v>
      </c>
      <c r="D45" s="216">
        <f t="shared" si="21"/>
        <v>0.04</v>
      </c>
      <c r="E45" s="314">
        <f t="shared" si="21"/>
        <v>-5308.61</v>
      </c>
      <c r="F45" s="216">
        <f t="shared" si="21"/>
        <v>191402.84</v>
      </c>
      <c r="G45" s="216">
        <f t="shared" si="21"/>
        <v>0</v>
      </c>
      <c r="R45" s="4"/>
      <c r="S45" s="4"/>
      <c r="T45" s="4"/>
      <c r="U45" s="4"/>
      <c r="V45" s="4"/>
    </row>
    <row r="46" spans="1:22" x14ac:dyDescent="0.35">
      <c r="B46" s="213"/>
      <c r="C46" s="213"/>
      <c r="D46" s="214"/>
      <c r="E46" s="315"/>
    </row>
    <row r="47" spans="1:22" x14ac:dyDescent="0.35">
      <c r="A47" s="20" t="s">
        <v>104</v>
      </c>
      <c r="B47" s="25">
        <f>ROUND(0,2)</f>
        <v>0</v>
      </c>
      <c r="C47" s="25">
        <f>ROUND(SUM('[16]Ex Post Gross TD Calc'!$AG572:$AM572),2)</f>
        <v>13769.16</v>
      </c>
      <c r="D47" s="25">
        <f>ROUND(SUM('[16]NTG TD Calc'!$AG437:$AM437),2)</f>
        <v>0.02</v>
      </c>
      <c r="E47" s="317">
        <f>ROUND(SUM('[16]EO TD Carrying Costs'!$AE56:$AI56),2)</f>
        <v>443.83</v>
      </c>
      <c r="F47" s="216">
        <f t="shared" ref="F47:F50" si="22">SUM(B47:E47)</f>
        <v>14213.01</v>
      </c>
      <c r="G47" s="216">
        <f t="shared" ref="G47:G50" si="23">ROUND(F47/12*0,2)</f>
        <v>0</v>
      </c>
      <c r="J47" s="294"/>
      <c r="K47" s="294"/>
      <c r="L47" s="294"/>
      <c r="M47" s="294"/>
      <c r="N47" s="294"/>
      <c r="O47" s="294"/>
      <c r="P47" s="294"/>
      <c r="Q47" s="294"/>
      <c r="R47" s="4"/>
      <c r="S47" s="4"/>
      <c r="T47" s="4"/>
      <c r="U47" s="4"/>
      <c r="V47" s="4"/>
    </row>
    <row r="48" spans="1:22" x14ac:dyDescent="0.35">
      <c r="A48" s="20" t="s">
        <v>105</v>
      </c>
      <c r="B48" s="215">
        <f>ROUND(0,2)</f>
        <v>0</v>
      </c>
      <c r="C48" s="215">
        <f>ROUND(SUM('[16]Ex Post Gross TD Calc'!$AG573:$AM573),2)</f>
        <v>26875.279999999999</v>
      </c>
      <c r="D48" s="215">
        <f>ROUND(SUM('[16]NTG TD Calc'!$AG438:$AM438),2)</f>
        <v>0</v>
      </c>
      <c r="E48" s="317">
        <f>ROUND(SUM('[16]EO TD Carrying Costs'!$AE57:$AI57),2)</f>
        <v>1119.3900000000001</v>
      </c>
      <c r="F48" s="216">
        <f t="shared" si="22"/>
        <v>27994.67</v>
      </c>
      <c r="G48" s="216">
        <f t="shared" si="23"/>
        <v>0</v>
      </c>
      <c r="J48" s="294"/>
      <c r="K48" s="294"/>
      <c r="L48" s="294"/>
      <c r="M48" s="294"/>
      <c r="N48" s="294"/>
      <c r="O48" s="294"/>
      <c r="P48" s="294"/>
      <c r="Q48" s="294"/>
      <c r="R48" s="4"/>
      <c r="S48" s="4"/>
      <c r="T48" s="4"/>
      <c r="U48" s="4"/>
      <c r="V48" s="4"/>
    </row>
    <row r="49" spans="1:22" x14ac:dyDescent="0.35">
      <c r="A49" s="20" t="s">
        <v>106</v>
      </c>
      <c r="B49" s="25">
        <f>ROUND(0,2)</f>
        <v>0</v>
      </c>
      <c r="C49" s="25">
        <f>ROUND(SUM('[16]Ex Post Gross TD Calc'!$AG574:$AM574),2)</f>
        <v>17796.580000000002</v>
      </c>
      <c r="D49" s="25">
        <f>ROUND(SUM('[16]NTG TD Calc'!$AG439:$AM439),2)</f>
        <v>-0.02</v>
      </c>
      <c r="E49" s="317">
        <f>ROUND(SUM('[16]EO TD Carrying Costs'!$AE58:$AI58),2)</f>
        <v>1056.42</v>
      </c>
      <c r="F49" s="216">
        <f t="shared" si="22"/>
        <v>18852.980000000003</v>
      </c>
      <c r="G49" s="216">
        <f t="shared" si="23"/>
        <v>0</v>
      </c>
      <c r="J49" s="294"/>
      <c r="K49" s="294"/>
      <c r="L49" s="294"/>
      <c r="M49" s="294"/>
      <c r="N49" s="294"/>
      <c r="O49" s="294"/>
      <c r="P49" s="294"/>
      <c r="Q49" s="294"/>
      <c r="R49" s="4"/>
      <c r="S49" s="4"/>
      <c r="T49" s="4"/>
      <c r="U49" s="4"/>
      <c r="V49" s="4"/>
    </row>
    <row r="50" spans="1:22" x14ac:dyDescent="0.35">
      <c r="A50" s="20" t="s">
        <v>107</v>
      </c>
      <c r="B50" s="215">
        <f>ROUND(0,2)</f>
        <v>0</v>
      </c>
      <c r="C50" s="215">
        <f>ROUND(SUM('[16]Ex Post Gross TD Calc'!$AG575:$AM575),2)</f>
        <v>612.63</v>
      </c>
      <c r="D50" s="215">
        <f>ROUND(SUM('[16]NTG TD Calc'!$AG440:$AM440),2)</f>
        <v>0.01</v>
      </c>
      <c r="E50" s="317">
        <f>ROUND(SUM('[16]EO TD Carrying Costs'!$AE59:$AI59),2)</f>
        <v>155.24</v>
      </c>
      <c r="F50" s="216">
        <f t="shared" si="22"/>
        <v>767.88</v>
      </c>
      <c r="G50" s="216">
        <f t="shared" si="23"/>
        <v>0</v>
      </c>
      <c r="J50" s="294"/>
      <c r="K50" s="294"/>
      <c r="L50" s="294"/>
      <c r="M50" s="294"/>
      <c r="N50" s="294"/>
      <c r="O50" s="294"/>
      <c r="P50" s="294"/>
      <c r="Q50" s="294"/>
      <c r="R50" s="4"/>
      <c r="S50" s="4"/>
      <c r="T50" s="4"/>
      <c r="U50" s="4"/>
      <c r="V50" s="4"/>
    </row>
    <row r="51" spans="1:22" x14ac:dyDescent="0.35">
      <c r="A51" s="30" t="s">
        <v>109</v>
      </c>
      <c r="B51" s="216">
        <f>SUM(B47:B50)</f>
        <v>0</v>
      </c>
      <c r="C51" s="216">
        <f>SUM(C47:C50)</f>
        <v>59053.65</v>
      </c>
      <c r="D51" s="216">
        <f t="shared" ref="D51:G51" si="24">SUM(D47:D50)</f>
        <v>0.01</v>
      </c>
      <c r="E51" s="314">
        <f t="shared" si="24"/>
        <v>2774.88</v>
      </c>
      <c r="F51" s="216">
        <f t="shared" si="24"/>
        <v>61828.54</v>
      </c>
      <c r="G51" s="216">
        <f t="shared" si="24"/>
        <v>0</v>
      </c>
      <c r="L51" s="185"/>
      <c r="M51" s="185"/>
      <c r="N51" s="185"/>
      <c r="O51" s="185"/>
      <c r="P51" s="185"/>
      <c r="R51" s="4"/>
      <c r="S51" s="4"/>
      <c r="T51" s="4"/>
      <c r="U51" s="4"/>
      <c r="V51" s="4"/>
    </row>
    <row r="52" spans="1:22" x14ac:dyDescent="0.35">
      <c r="E52" s="315"/>
    </row>
    <row r="53" spans="1:22" x14ac:dyDescent="0.35">
      <c r="E53" s="315"/>
    </row>
    <row r="54" spans="1:22" x14ac:dyDescent="0.35">
      <c r="A54" s="243" t="s">
        <v>230</v>
      </c>
      <c r="E54" s="315"/>
      <c r="H54" s="39"/>
    </row>
    <row r="55" spans="1:22" x14ac:dyDescent="0.35">
      <c r="A55" s="20" t="s">
        <v>24</v>
      </c>
      <c r="B55" s="25">
        <f>ROUND(0,2)</f>
        <v>0</v>
      </c>
      <c r="C55" s="25">
        <f>ROUND(SUM('[16]Ex Post Gross TD Calc'!$AN$571:$AR$571),2)</f>
        <v>19484.43</v>
      </c>
      <c r="D55" s="25">
        <f>ROUND(SUM('[16]NTG TD Calc'!$AN$436:$AR$436),2)</f>
        <v>0</v>
      </c>
      <c r="E55" s="316">
        <f>ROUND(SUM('[16]EO TD Carrying Costs'!$AJ55:$AP55),2)</f>
        <v>-3751.12</v>
      </c>
      <c r="F55" s="216">
        <f>SUM(B55:E55)</f>
        <v>15733.310000000001</v>
      </c>
      <c r="G55" s="216">
        <f>ROUND(F55/12*1,2)</f>
        <v>1311.11</v>
      </c>
      <c r="H55" s="39"/>
    </row>
    <row r="56" spans="1:22" x14ac:dyDescent="0.35">
      <c r="A56" s="20" t="s">
        <v>25</v>
      </c>
      <c r="B56" s="215">
        <f>SUM(B59:B62)</f>
        <v>0</v>
      </c>
      <c r="C56" s="215">
        <f>SUM(C59:C62)</f>
        <v>6012.1399999999994</v>
      </c>
      <c r="D56" s="215">
        <f t="shared" ref="D56:E56" si="25">SUM(D59:D62)</f>
        <v>0.01</v>
      </c>
      <c r="E56" s="317">
        <f t="shared" si="25"/>
        <v>2260.19</v>
      </c>
      <c r="F56" s="216">
        <f>SUM(B56:E56)</f>
        <v>8272.34</v>
      </c>
      <c r="G56" s="216">
        <f>ROUND(F56/12*1,2)</f>
        <v>689.36</v>
      </c>
      <c r="H56" s="39"/>
    </row>
    <row r="57" spans="1:22" x14ac:dyDescent="0.35">
      <c r="A57" s="20" t="s">
        <v>5</v>
      </c>
      <c r="B57" s="216">
        <f t="shared" ref="B57:G57" si="26">SUM(B55:B56)</f>
        <v>0</v>
      </c>
      <c r="C57" s="216">
        <f t="shared" si="26"/>
        <v>25496.57</v>
      </c>
      <c r="D57" s="216">
        <f t="shared" si="26"/>
        <v>0.01</v>
      </c>
      <c r="E57" s="314">
        <f t="shared" si="26"/>
        <v>-1490.9299999999998</v>
      </c>
      <c r="F57" s="216">
        <f t="shared" si="26"/>
        <v>24005.65</v>
      </c>
      <c r="G57" s="216">
        <f t="shared" si="26"/>
        <v>2000.4699999999998</v>
      </c>
      <c r="H57" s="39"/>
    </row>
    <row r="58" spans="1:22" x14ac:dyDescent="0.35">
      <c r="B58" s="213"/>
      <c r="C58" s="213"/>
      <c r="D58" s="214"/>
      <c r="E58" s="315"/>
      <c r="H58" s="39"/>
    </row>
    <row r="59" spans="1:22" x14ac:dyDescent="0.35">
      <c r="A59" s="20" t="s">
        <v>104</v>
      </c>
      <c r="B59" s="25">
        <f>ROUND(0,2)</f>
        <v>0</v>
      </c>
      <c r="C59" s="25">
        <f>ROUND(SUM('[16]Ex Post Gross TD Calc'!$AN572:$AR572),2)</f>
        <v>1215.73</v>
      </c>
      <c r="D59" s="25">
        <f>ROUND(SUM('[16]NTG TD Calc'!$AN437:$AR437),2)</f>
        <v>0.01</v>
      </c>
      <c r="E59" s="316">
        <f>ROUND(SUM('[16]EO TD Carrying Costs'!$AJ56:$AP56),2)</f>
        <v>402.1</v>
      </c>
      <c r="F59" s="216">
        <f t="shared" ref="F59:F62" si="27">SUM(B59:E59)</f>
        <v>1617.8400000000001</v>
      </c>
      <c r="G59" s="216">
        <f>ROUND(F59/12*1,2)</f>
        <v>134.82</v>
      </c>
      <c r="H59" s="39"/>
    </row>
    <row r="60" spans="1:22" x14ac:dyDescent="0.35">
      <c r="A60" s="20" t="s">
        <v>105</v>
      </c>
      <c r="B60" s="215">
        <f>ROUND(0,2)</f>
        <v>0</v>
      </c>
      <c r="C60" s="25">
        <f>ROUND(SUM('[16]Ex Post Gross TD Calc'!$AN573:$AR573),2)</f>
        <v>2872.39</v>
      </c>
      <c r="D60" s="25">
        <f>ROUND(SUM('[16]NTG TD Calc'!$AN438:$AR438),2)</f>
        <v>-0.01</v>
      </c>
      <c r="E60" s="316">
        <f>ROUND(SUM('[16]EO TD Carrying Costs'!$AJ57:$AP57),2)</f>
        <v>939.03</v>
      </c>
      <c r="F60" s="216">
        <f t="shared" si="27"/>
        <v>3811.41</v>
      </c>
      <c r="G60" s="216">
        <f>ROUND(F60/12*1,2)</f>
        <v>317.62</v>
      </c>
      <c r="H60" s="39"/>
    </row>
    <row r="61" spans="1:22" x14ac:dyDescent="0.35">
      <c r="A61" s="20" t="s">
        <v>106</v>
      </c>
      <c r="B61" s="25">
        <f>ROUND(0,2)</f>
        <v>0</v>
      </c>
      <c r="C61" s="25">
        <f>ROUND(SUM('[16]Ex Post Gross TD Calc'!$AN574:$AR574),2)</f>
        <v>1852.08</v>
      </c>
      <c r="D61" s="25">
        <f>ROUND(SUM('[16]NTG TD Calc'!$AN439:$AR439),2)</f>
        <v>0.01</v>
      </c>
      <c r="E61" s="316">
        <f>ROUND(SUM('[16]EO TD Carrying Costs'!$AJ58:$AP58),2)</f>
        <v>817.17</v>
      </c>
      <c r="F61" s="216">
        <f t="shared" si="27"/>
        <v>2669.2599999999998</v>
      </c>
      <c r="G61" s="216">
        <f>ROUND(F61/12*1,2)</f>
        <v>222.44</v>
      </c>
      <c r="H61" s="39"/>
    </row>
    <row r="62" spans="1:22" x14ac:dyDescent="0.35">
      <c r="A62" s="20" t="s">
        <v>107</v>
      </c>
      <c r="B62" s="215">
        <f>ROUND(0,2)</f>
        <v>0</v>
      </c>
      <c r="C62" s="25">
        <f>ROUND(SUM('[16]Ex Post Gross TD Calc'!$AN575:$AR575),2)</f>
        <v>71.94</v>
      </c>
      <c r="D62" s="25">
        <f>ROUND(SUM('[16]NTG TD Calc'!$AN440:$AR440),2)</f>
        <v>0</v>
      </c>
      <c r="E62" s="316">
        <f>ROUND(SUM('[16]EO TD Carrying Costs'!$AJ59:$AP59),2)</f>
        <v>101.89</v>
      </c>
      <c r="F62" s="216">
        <f t="shared" si="27"/>
        <v>173.82999999999998</v>
      </c>
      <c r="G62" s="216">
        <f>ROUND(F62/12*1,2)</f>
        <v>14.49</v>
      </c>
      <c r="H62" s="39"/>
    </row>
    <row r="63" spans="1:22" x14ac:dyDescent="0.35">
      <c r="A63" s="30" t="s">
        <v>109</v>
      </c>
      <c r="B63" s="216">
        <f>SUM(B59:B62)</f>
        <v>0</v>
      </c>
      <c r="C63" s="216">
        <f>SUM(C59:C62)</f>
        <v>6012.1399999999994</v>
      </c>
      <c r="D63" s="216">
        <f t="shared" ref="D63:G63" si="28">SUM(D59:D62)</f>
        <v>0.01</v>
      </c>
      <c r="E63" s="314">
        <f t="shared" si="28"/>
        <v>2260.19</v>
      </c>
      <c r="F63" s="216">
        <f t="shared" si="28"/>
        <v>8272.34</v>
      </c>
      <c r="G63" s="216">
        <f t="shared" si="28"/>
        <v>689.37</v>
      </c>
      <c r="H63" s="39"/>
    </row>
    <row r="64" spans="1:22" x14ac:dyDescent="0.35">
      <c r="E64" s="315"/>
    </row>
    <row r="65" spans="1:22" x14ac:dyDescent="0.35">
      <c r="E65" s="315"/>
    </row>
    <row r="66" spans="1:22" x14ac:dyDescent="0.35">
      <c r="A66" s="243" t="s">
        <v>179</v>
      </c>
      <c r="E66" s="315"/>
    </row>
    <row r="67" spans="1:22" x14ac:dyDescent="0.35">
      <c r="A67" s="20" t="s">
        <v>24</v>
      </c>
      <c r="B67" s="25">
        <f>ROUND('[17]EO Matrix @Meter'!$AL$20,2)</f>
        <v>1385047.19</v>
      </c>
      <c r="C67" s="25">
        <f>ROUND(SUM('[18]Ex Post Gross TD Calc'!$Q$571:$AN$571),2)</f>
        <v>-356522.43</v>
      </c>
      <c r="D67" s="25">
        <f>ROUND(SUM('[18]NTG TD Calc'!$Q$436:$AN$436),2)</f>
        <v>-293909.08</v>
      </c>
      <c r="E67" s="316">
        <f>ROUND(SUM('[18]EO TD Carrying Costs'!$O$55:$AL$55),2)</f>
        <v>-55727.9</v>
      </c>
      <c r="F67" s="216">
        <f>SUM(B67:E67)</f>
        <v>678887.77999999991</v>
      </c>
      <c r="G67" s="216">
        <f>ROUND(F67/12*0,2)</f>
        <v>0</v>
      </c>
      <c r="L67" s="185"/>
      <c r="M67" s="294"/>
      <c r="N67" s="294"/>
      <c r="O67" s="294"/>
      <c r="P67" s="294"/>
      <c r="Q67" s="294"/>
      <c r="R67" s="4"/>
      <c r="S67" s="4"/>
      <c r="T67" s="4"/>
      <c r="U67" s="4"/>
      <c r="V67" s="4"/>
    </row>
    <row r="68" spans="1:22" x14ac:dyDescent="0.35">
      <c r="A68" s="20" t="s">
        <v>25</v>
      </c>
      <c r="B68" s="215">
        <f>SUM(B71:B74)</f>
        <v>839588.63</v>
      </c>
      <c r="C68" s="215">
        <f>SUM(C71:C74)</f>
        <v>65049.640000000007</v>
      </c>
      <c r="D68" s="215">
        <f t="shared" ref="D68:E68" si="29">SUM(D71:D74)</f>
        <v>-145276.81</v>
      </c>
      <c r="E68" s="317">
        <f t="shared" si="29"/>
        <v>-4013.3000000000006</v>
      </c>
      <c r="F68" s="216">
        <f>SUM(B68:E68)</f>
        <v>755348.15999999992</v>
      </c>
      <c r="G68" s="216">
        <f>ROUND(F68/12*0,2)</f>
        <v>0</v>
      </c>
      <c r="L68" s="185"/>
      <c r="R68" s="4"/>
      <c r="S68" s="4"/>
      <c r="T68" s="4"/>
      <c r="U68" s="4"/>
      <c r="V68" s="4"/>
    </row>
    <row r="69" spans="1:22" x14ac:dyDescent="0.35">
      <c r="A69" s="20" t="s">
        <v>5</v>
      </c>
      <c r="B69" s="216">
        <f t="shared" ref="B69:G69" si="30">SUM(B67:B68)</f>
        <v>2224635.8199999998</v>
      </c>
      <c r="C69" s="216">
        <f t="shared" si="30"/>
        <v>-291472.78999999998</v>
      </c>
      <c r="D69" s="216">
        <f t="shared" si="30"/>
        <v>-439185.89</v>
      </c>
      <c r="E69" s="314">
        <f t="shared" si="30"/>
        <v>-59741.200000000004</v>
      </c>
      <c r="F69" s="216">
        <f t="shared" si="30"/>
        <v>1434235.94</v>
      </c>
      <c r="G69" s="216">
        <f t="shared" si="30"/>
        <v>0</v>
      </c>
      <c r="L69" s="185"/>
      <c r="R69" s="4"/>
      <c r="S69" s="4"/>
      <c r="T69" s="4"/>
      <c r="U69" s="4"/>
      <c r="V69" s="4"/>
    </row>
    <row r="70" spans="1:22" x14ac:dyDescent="0.35">
      <c r="B70" s="213"/>
      <c r="C70" s="213"/>
      <c r="D70" s="214"/>
      <c r="E70" s="315"/>
      <c r="L70" s="185"/>
    </row>
    <row r="71" spans="1:22" x14ac:dyDescent="0.35">
      <c r="A71" s="20" t="s">
        <v>104</v>
      </c>
      <c r="B71" s="25">
        <f>ROUND('[17]EO Matrix @Meter'!$AP$20,2)</f>
        <v>76053.37</v>
      </c>
      <c r="C71" s="25">
        <f>ROUND(SUM('[18]Ex Post Gross TD Calc'!$Q572:$AN572),2)</f>
        <v>11349.51</v>
      </c>
      <c r="D71" s="25">
        <f>ROUND(SUM('[18]NTG TD Calc'!$Q437:$AN437),2)</f>
        <v>-29089.62</v>
      </c>
      <c r="E71" s="317">
        <f>ROUND(SUM('[18]EO TD Carrying Costs'!$O56:$AL56),2)</f>
        <v>-1558.66</v>
      </c>
      <c r="F71" s="216">
        <f t="shared" ref="F71:F74" si="31">SUM(B71:E71)</f>
        <v>56754.599999999991</v>
      </c>
      <c r="G71" s="216">
        <f>ROUND(F71/12*0,2)</f>
        <v>0</v>
      </c>
      <c r="L71" s="185"/>
      <c r="M71" s="294"/>
      <c r="N71" s="294"/>
      <c r="O71" s="294"/>
      <c r="P71" s="294"/>
      <c r="Q71" s="294"/>
      <c r="R71" s="4"/>
      <c r="S71" s="4"/>
      <c r="T71" s="4"/>
      <c r="U71" s="4"/>
      <c r="V71" s="4"/>
    </row>
    <row r="72" spans="1:22" x14ac:dyDescent="0.35">
      <c r="A72" s="20" t="s">
        <v>105</v>
      </c>
      <c r="B72" s="215">
        <f>ROUND('[17]EO Matrix @Meter'!$AQ$20,2)</f>
        <v>187581.29</v>
      </c>
      <c r="C72" s="215">
        <f>ROUND(SUM('[18]Ex Post Gross TD Calc'!$Q573:$AN573),2)</f>
        <v>114.28</v>
      </c>
      <c r="D72" s="215">
        <f>ROUND(SUM('[18]NTG TD Calc'!$Q438:$AN438),2)</f>
        <v>-55888.89</v>
      </c>
      <c r="E72" s="317">
        <f>ROUND(SUM('[18]EO TD Carrying Costs'!$O57:$AL57),2)</f>
        <v>-2411.94</v>
      </c>
      <c r="F72" s="216">
        <f t="shared" si="31"/>
        <v>129394.73999999999</v>
      </c>
      <c r="G72" s="216">
        <f>ROUND(F72/12*0,2)</f>
        <v>0</v>
      </c>
      <c r="L72" s="185"/>
      <c r="M72" s="294"/>
      <c r="N72" s="294"/>
      <c r="O72" s="294"/>
      <c r="P72" s="294"/>
      <c r="Q72" s="294"/>
      <c r="R72" s="4"/>
      <c r="S72" s="4"/>
      <c r="T72" s="4"/>
      <c r="U72" s="4"/>
      <c r="V72" s="4"/>
    </row>
    <row r="73" spans="1:22" x14ac:dyDescent="0.35">
      <c r="A73" s="20" t="s">
        <v>106</v>
      </c>
      <c r="B73" s="25">
        <f>ROUND('[17]EO Matrix @Meter'!$AR$20,2)</f>
        <v>528596.72</v>
      </c>
      <c r="C73" s="25">
        <f>ROUND(SUM('[18]Ex Post Gross TD Calc'!$Q574:$AN574),2)</f>
        <v>48292.800000000003</v>
      </c>
      <c r="D73" s="25">
        <f>ROUND(SUM('[18]NTG TD Calc'!$Q439:$AN439),2)</f>
        <v>-59418.79</v>
      </c>
      <c r="E73" s="316">
        <f>ROUND(SUM('[18]EO TD Carrying Costs'!$O58:$AL58),2)</f>
        <v>-520.14</v>
      </c>
      <c r="F73" s="216">
        <f t="shared" si="31"/>
        <v>516950.59</v>
      </c>
      <c r="G73" s="216">
        <f>ROUND(F73/12*0,2)</f>
        <v>0</v>
      </c>
      <c r="L73" s="185"/>
      <c r="M73" s="294"/>
      <c r="N73" s="294"/>
      <c r="O73" s="294"/>
      <c r="P73" s="294"/>
      <c r="Q73" s="294"/>
      <c r="R73" s="4"/>
      <c r="S73" s="4"/>
      <c r="T73" s="4"/>
      <c r="U73" s="4"/>
      <c r="V73" s="4"/>
    </row>
    <row r="74" spans="1:22" x14ac:dyDescent="0.35">
      <c r="A74" s="20" t="s">
        <v>107</v>
      </c>
      <c r="B74" s="215">
        <f>ROUND('[17]EO Matrix @Meter'!$AS$20,2)</f>
        <v>47357.25</v>
      </c>
      <c r="C74" s="215">
        <f>ROUND(SUM('[18]Ex Post Gross TD Calc'!$Q575:$AN575),2)</f>
        <v>5293.05</v>
      </c>
      <c r="D74" s="215">
        <f>ROUND(SUM('[18]NTG TD Calc'!$Q440:$AN440),2)</f>
        <v>-879.51</v>
      </c>
      <c r="E74" s="317">
        <f>ROUND(SUM('[18]EO TD Carrying Costs'!$O59:$AL59),2)</f>
        <v>477.44</v>
      </c>
      <c r="F74" s="216">
        <f t="shared" si="31"/>
        <v>52248.23</v>
      </c>
      <c r="G74" s="216">
        <f>ROUND(F74/12*0,2)</f>
        <v>0</v>
      </c>
      <c r="L74" s="185"/>
      <c r="M74" s="294"/>
      <c r="N74" s="294"/>
      <c r="O74" s="294"/>
      <c r="P74" s="294"/>
      <c r="Q74" s="294"/>
      <c r="R74" s="4"/>
      <c r="S74" s="4"/>
      <c r="T74" s="4"/>
      <c r="U74" s="4"/>
      <c r="V74" s="4"/>
    </row>
    <row r="75" spans="1:22" x14ac:dyDescent="0.35">
      <c r="A75" s="30" t="s">
        <v>109</v>
      </c>
      <c r="B75" s="216">
        <f>SUM(B71:B74)</f>
        <v>839588.63</v>
      </c>
      <c r="C75" s="216">
        <f>SUM(C71:C74)</f>
        <v>65049.640000000007</v>
      </c>
      <c r="D75" s="216">
        <f t="shared" ref="D75:G75" si="32">SUM(D71:D74)</f>
        <v>-145276.81</v>
      </c>
      <c r="E75" s="314">
        <f t="shared" si="32"/>
        <v>-4013.3000000000006</v>
      </c>
      <c r="F75" s="216">
        <f t="shared" si="32"/>
        <v>755348.15999999992</v>
      </c>
      <c r="G75" s="216">
        <f t="shared" si="32"/>
        <v>0</v>
      </c>
      <c r="L75" s="185"/>
      <c r="M75" s="185"/>
      <c r="N75" s="185"/>
      <c r="O75" s="185"/>
      <c r="P75" s="185"/>
      <c r="R75" s="4"/>
      <c r="S75" s="4"/>
      <c r="T75" s="4"/>
      <c r="U75" s="4"/>
      <c r="V75" s="4"/>
    </row>
    <row r="76" spans="1:22" x14ac:dyDescent="0.35">
      <c r="E76" s="315"/>
    </row>
    <row r="77" spans="1:22" x14ac:dyDescent="0.35">
      <c r="E77" s="315"/>
    </row>
    <row r="78" spans="1:22" x14ac:dyDescent="0.35">
      <c r="A78" s="243" t="s">
        <v>231</v>
      </c>
      <c r="E78" s="315"/>
    </row>
    <row r="79" spans="1:22" x14ac:dyDescent="0.35">
      <c r="A79" s="20" t="s">
        <v>24</v>
      </c>
      <c r="B79" s="25">
        <f>ROUND('[19]EO Matrix @Meter'!$AL$22,2)</f>
        <v>1307790.1000000001</v>
      </c>
      <c r="C79" s="25">
        <f>ROUND(SUM('[20]Ex Post Gross TD Calc'!$AC$571:$AX$571),2)</f>
        <v>-250476.23</v>
      </c>
      <c r="D79" s="25">
        <f>ROUND(SUM('[20]NTG TD Calc'!$AC$436:$AX$436),2)</f>
        <v>-67458.28</v>
      </c>
      <c r="E79" s="316">
        <f>ROUND(SUM('[20]EO TD Carrying Costs'!$AA$55:$AV$55),2)</f>
        <v>-15485.85</v>
      </c>
      <c r="F79" s="216">
        <f>SUM(B79:E79)</f>
        <v>974369.74000000011</v>
      </c>
      <c r="G79" s="216">
        <f>ROUND(F79/12*1,2)</f>
        <v>81197.48</v>
      </c>
    </row>
    <row r="80" spans="1:22" x14ac:dyDescent="0.35">
      <c r="A80" s="20" t="s">
        <v>25</v>
      </c>
      <c r="B80" s="215">
        <f>SUM(B83:B86)</f>
        <v>877237.60000000009</v>
      </c>
      <c r="C80" s="215">
        <f>SUM(C83:C86)</f>
        <v>-36346.57</v>
      </c>
      <c r="D80" s="215">
        <f t="shared" ref="D80:E80" si="33">SUM(D83:D86)</f>
        <v>86784.39</v>
      </c>
      <c r="E80" s="317">
        <f t="shared" si="33"/>
        <v>1663.22</v>
      </c>
      <c r="F80" s="216">
        <f>SUM(B80:E80)</f>
        <v>929338.64000000013</v>
      </c>
      <c r="G80" s="216">
        <f>ROUND(F80/12*1,2)</f>
        <v>77444.89</v>
      </c>
    </row>
    <row r="81" spans="1:7" x14ac:dyDescent="0.35">
      <c r="A81" s="20" t="s">
        <v>5</v>
      </c>
      <c r="B81" s="216">
        <f t="shared" ref="B81:G81" si="34">SUM(B79:B80)</f>
        <v>2185027.7000000002</v>
      </c>
      <c r="C81" s="216">
        <f t="shared" si="34"/>
        <v>-286822.8</v>
      </c>
      <c r="D81" s="216">
        <f t="shared" si="34"/>
        <v>19326.11</v>
      </c>
      <c r="E81" s="314">
        <f t="shared" si="34"/>
        <v>-13822.630000000001</v>
      </c>
      <c r="F81" s="216">
        <f t="shared" si="34"/>
        <v>1903708.3800000004</v>
      </c>
      <c r="G81" s="216">
        <f t="shared" si="34"/>
        <v>158642.37</v>
      </c>
    </row>
    <row r="82" spans="1:7" x14ac:dyDescent="0.35">
      <c r="B82" s="213"/>
      <c r="C82" s="213"/>
      <c r="D82" s="214"/>
      <c r="E82" s="315"/>
    </row>
    <row r="83" spans="1:7" x14ac:dyDescent="0.35">
      <c r="A83" s="20" t="s">
        <v>104</v>
      </c>
      <c r="B83" s="25">
        <f>ROUND('[19]EO Matrix @Meter'!$AP$22,2)</f>
        <v>151360.23000000001</v>
      </c>
      <c r="C83" s="25">
        <f>ROUND(SUM('[20]Ex Post Gross TD Calc'!$AC$572:$AX$572),2)</f>
        <v>-7300.6</v>
      </c>
      <c r="D83" s="25">
        <f>ROUND(SUM('[20]NTG TD Calc'!$AC$437:$AX$437),2)</f>
        <v>13298.81</v>
      </c>
      <c r="E83" s="316">
        <f>ROUND(SUM('[20]EO TD Carrying Costs'!$AA$56:$AV$56),2)</f>
        <v>116.56</v>
      </c>
      <c r="F83" s="216">
        <f t="shared" ref="F83:F86" si="35">SUM(B83:E83)</f>
        <v>157475</v>
      </c>
      <c r="G83" s="216">
        <f>ROUND(F83/12*1,2)</f>
        <v>13122.92</v>
      </c>
    </row>
    <row r="84" spans="1:7" x14ac:dyDescent="0.35">
      <c r="A84" s="20" t="s">
        <v>105</v>
      </c>
      <c r="B84" s="25">
        <f>ROUND('[19]EO Matrix @Meter'!$AQ$22,2)</f>
        <v>256696.36</v>
      </c>
      <c r="C84" s="25">
        <f>ROUND(SUM('[20]Ex Post Gross TD Calc'!$AC$573:$AX$573),2)</f>
        <v>-27207.21</v>
      </c>
      <c r="D84" s="25">
        <f>ROUND(SUM('[20]NTG TD Calc'!$AC$438:$AX$438),2)</f>
        <v>45480.480000000003</v>
      </c>
      <c r="E84" s="316">
        <f>ROUND(SUM('[20]EO TD Carrying Costs'!$AA$57:$AV$57),2)</f>
        <v>373.04</v>
      </c>
      <c r="F84" s="216">
        <f t="shared" si="35"/>
        <v>275342.67</v>
      </c>
      <c r="G84" s="216">
        <f>ROUND(F84/12*1,2)</f>
        <v>22945.22</v>
      </c>
    </row>
    <row r="85" spans="1:7" x14ac:dyDescent="0.35">
      <c r="A85" s="20" t="s">
        <v>106</v>
      </c>
      <c r="B85" s="25">
        <f>ROUND('[19]EO Matrix @Meter'!$AR$22,2)</f>
        <v>391442.94</v>
      </c>
      <c r="C85" s="25">
        <f>ROUND(SUM('[20]Ex Post Gross TD Calc'!$AC$574:$AX$574),2)</f>
        <v>-4347.97</v>
      </c>
      <c r="D85" s="25">
        <f>ROUND(SUM('[20]NTG TD Calc'!$AC$439:$AX$439),2)</f>
        <v>27878.58</v>
      </c>
      <c r="E85" s="316">
        <f>ROUND(SUM('[20]EO TD Carrying Costs'!$AA$58:$AV$58),2)</f>
        <v>941.4</v>
      </c>
      <c r="F85" s="216">
        <f t="shared" si="35"/>
        <v>415914.95000000007</v>
      </c>
      <c r="G85" s="216">
        <f>ROUND(F85/12*1,2)</f>
        <v>34659.58</v>
      </c>
    </row>
    <row r="86" spans="1:7" x14ac:dyDescent="0.35">
      <c r="A86" s="20" t="s">
        <v>107</v>
      </c>
      <c r="B86" s="25">
        <f>ROUND('[19]EO Matrix @Meter'!$AS$22,2)</f>
        <v>77738.070000000007</v>
      </c>
      <c r="C86" s="25">
        <f>ROUND(SUM('[20]Ex Post Gross TD Calc'!$AC$575:$AX$575),2)</f>
        <v>2509.21</v>
      </c>
      <c r="D86" s="25">
        <f>ROUND(SUM('[20]NTG TD Calc'!$AC$440:$AX$440),2)</f>
        <v>126.52</v>
      </c>
      <c r="E86" s="316">
        <f>ROUND(SUM('[20]EO TD Carrying Costs'!$AA$59:$AV$59),2)</f>
        <v>232.22</v>
      </c>
      <c r="F86" s="216">
        <f t="shared" si="35"/>
        <v>80606.020000000019</v>
      </c>
      <c r="G86" s="216">
        <f>ROUND(F86/12*1,2)</f>
        <v>6717.17</v>
      </c>
    </row>
    <row r="87" spans="1:7" x14ac:dyDescent="0.35">
      <c r="A87" s="30" t="s">
        <v>109</v>
      </c>
      <c r="B87" s="216">
        <f>SUM(B83:B86)</f>
        <v>877237.60000000009</v>
      </c>
      <c r="C87" s="216">
        <f>SUM(C83:C86)</f>
        <v>-36346.57</v>
      </c>
      <c r="D87" s="216">
        <f t="shared" ref="D87:G87" si="36">SUM(D83:D86)</f>
        <v>86784.39</v>
      </c>
      <c r="E87" s="314">
        <f t="shared" si="36"/>
        <v>1663.22</v>
      </c>
      <c r="F87" s="216">
        <f t="shared" si="36"/>
        <v>929338.64000000013</v>
      </c>
      <c r="G87" s="216">
        <f t="shared" si="36"/>
        <v>77444.89</v>
      </c>
    </row>
    <row r="88" spans="1:7" x14ac:dyDescent="0.35">
      <c r="E88" s="315"/>
    </row>
    <row r="89" spans="1:7" x14ac:dyDescent="0.35">
      <c r="E89" s="315"/>
    </row>
    <row r="90" spans="1:7" x14ac:dyDescent="0.35">
      <c r="A90" s="243" t="s">
        <v>248</v>
      </c>
      <c r="E90" s="315"/>
    </row>
    <row r="91" spans="1:7" x14ac:dyDescent="0.35">
      <c r="A91" s="20" t="s">
        <v>24</v>
      </c>
      <c r="B91" s="25">
        <v>0</v>
      </c>
      <c r="C91" s="25">
        <f>ROUND(SUM('[20]Ex Post Gross TD Calc'!$AY$571:$BD$571),2)</f>
        <v>-61715.26</v>
      </c>
      <c r="D91" s="25">
        <f>ROUND(SUM('[20]NTG TD Calc'!$AY$436:$BD$436),2)</f>
        <v>-8358.2099999999991</v>
      </c>
      <c r="E91" s="316">
        <f>ROUND(SUM('[20]EO TD Carrying Costs'!$AW$55:$BB$55),2)</f>
        <v>-11046.8</v>
      </c>
      <c r="F91" s="216">
        <f>SUM(B91:E91)</f>
        <v>-81120.27</v>
      </c>
      <c r="G91" s="216">
        <f>ROUND(F91/12*7,2)</f>
        <v>-47320.160000000003</v>
      </c>
    </row>
    <row r="92" spans="1:7" x14ac:dyDescent="0.35">
      <c r="A92" s="20" t="s">
        <v>25</v>
      </c>
      <c r="B92" s="215">
        <f>B99</f>
        <v>0</v>
      </c>
      <c r="C92" s="215">
        <f t="shared" ref="C92:E92" si="37">C99</f>
        <v>-19852.230000000003</v>
      </c>
      <c r="D92" s="215">
        <f t="shared" si="37"/>
        <v>15591.88</v>
      </c>
      <c r="E92" s="317">
        <f t="shared" si="37"/>
        <v>1655.81</v>
      </c>
      <c r="F92" s="216">
        <f>SUM(B92:E92)</f>
        <v>-2604.5400000000041</v>
      </c>
      <c r="G92" s="216">
        <f>ROUND(F92/12*7,2)</f>
        <v>-1519.32</v>
      </c>
    </row>
    <row r="93" spans="1:7" x14ac:dyDescent="0.35">
      <c r="A93" s="20" t="s">
        <v>5</v>
      </c>
      <c r="B93" s="216">
        <f t="shared" ref="B93:G93" si="38">SUM(B91:B92)</f>
        <v>0</v>
      </c>
      <c r="C93" s="216">
        <f t="shared" si="38"/>
        <v>-81567.490000000005</v>
      </c>
      <c r="D93" s="216">
        <f t="shared" si="38"/>
        <v>7233.67</v>
      </c>
      <c r="E93" s="314">
        <f t="shared" si="38"/>
        <v>-9390.99</v>
      </c>
      <c r="F93" s="216">
        <f t="shared" si="38"/>
        <v>-83724.810000000012</v>
      </c>
      <c r="G93" s="216">
        <f t="shared" si="38"/>
        <v>-48839.48</v>
      </c>
    </row>
    <row r="94" spans="1:7" x14ac:dyDescent="0.35">
      <c r="B94" s="213"/>
      <c r="C94" s="213"/>
      <c r="D94" s="214"/>
      <c r="E94" s="315"/>
    </row>
    <row r="95" spans="1:7" x14ac:dyDescent="0.35">
      <c r="A95" s="20" t="s">
        <v>104</v>
      </c>
      <c r="B95" s="25">
        <v>0</v>
      </c>
      <c r="C95" s="25">
        <f>ROUND(SUM('[20]Ex Post Gross TD Calc'!$AY572:$BD572),2)</f>
        <v>-1523.11</v>
      </c>
      <c r="D95" s="25">
        <f>ROUND(SUM('[20]NTG TD Calc'!$AY437:$BD437),2)</f>
        <v>2543.67</v>
      </c>
      <c r="E95" s="316">
        <f>ROUND(SUM('[20]EO TD Carrying Costs'!$AW56:$BB56),2)</f>
        <v>224.89</v>
      </c>
      <c r="F95" s="216">
        <f t="shared" ref="F95:F98" si="39">SUM(B95:E95)</f>
        <v>1245.4500000000003</v>
      </c>
      <c r="G95" s="216">
        <f>ROUND(F95/12*7,2)</f>
        <v>726.51</v>
      </c>
    </row>
    <row r="96" spans="1:7" x14ac:dyDescent="0.35">
      <c r="A96" s="20" t="s">
        <v>105</v>
      </c>
      <c r="B96" s="25">
        <v>0</v>
      </c>
      <c r="C96" s="25">
        <f>ROUND(SUM('[20]Ex Post Gross TD Calc'!$AY573:$BD573),2)</f>
        <v>-13856.2</v>
      </c>
      <c r="D96" s="25">
        <f>ROUND(SUM('[20]NTG TD Calc'!$AY438:$BD438),2)</f>
        <v>8106.16</v>
      </c>
      <c r="E96" s="316">
        <f>ROUND(SUM('[20]EO TD Carrying Costs'!$AW57:$BB57),2)</f>
        <v>557.03</v>
      </c>
      <c r="F96" s="216">
        <f t="shared" si="39"/>
        <v>-5193.0100000000011</v>
      </c>
      <c r="G96" s="216">
        <f>ROUND(F96/12*7,2)</f>
        <v>-3029.26</v>
      </c>
    </row>
    <row r="97" spans="1:9" x14ac:dyDescent="0.35">
      <c r="A97" s="20" t="s">
        <v>106</v>
      </c>
      <c r="B97" s="25">
        <v>0</v>
      </c>
      <c r="C97" s="25">
        <f>ROUND(SUM('[20]Ex Post Gross TD Calc'!$AY574:$BD574),2)</f>
        <v>-4765.22</v>
      </c>
      <c r="D97" s="25">
        <f>ROUND(SUM('[20]NTG TD Calc'!$AY439:$BD439),2)</f>
        <v>4928.63</v>
      </c>
      <c r="E97" s="316">
        <f>ROUND(SUM('[20]EO TD Carrying Costs'!$AW58:$BB58),2)</f>
        <v>784.12</v>
      </c>
      <c r="F97" s="216">
        <f t="shared" si="39"/>
        <v>947.52999999999986</v>
      </c>
      <c r="G97" s="216">
        <f>ROUND(F97/12*7,2)</f>
        <v>552.73</v>
      </c>
    </row>
    <row r="98" spans="1:9" x14ac:dyDescent="0.35">
      <c r="A98" s="20" t="s">
        <v>107</v>
      </c>
      <c r="B98" s="25">
        <v>0</v>
      </c>
      <c r="C98" s="25">
        <f>ROUND(SUM('[20]Ex Post Gross TD Calc'!$AY575:$BD575),2)</f>
        <v>292.3</v>
      </c>
      <c r="D98" s="25">
        <f>ROUND(SUM('[20]NTG TD Calc'!$AY440:$BD440),2)</f>
        <v>13.42</v>
      </c>
      <c r="E98" s="316">
        <f>ROUND(SUM('[20]EO TD Carrying Costs'!$AW59:$BB59),2)</f>
        <v>89.77</v>
      </c>
      <c r="F98" s="216">
        <f t="shared" si="39"/>
        <v>395.49</v>
      </c>
      <c r="G98" s="216">
        <f>ROUND(F98/12*7,2)</f>
        <v>230.7</v>
      </c>
    </row>
    <row r="99" spans="1:9" x14ac:dyDescent="0.35">
      <c r="A99" s="30" t="s">
        <v>109</v>
      </c>
      <c r="B99" s="216">
        <f>SUM(B95:B98)</f>
        <v>0</v>
      </c>
      <c r="C99" s="216">
        <f>SUM(C95:C98)</f>
        <v>-19852.230000000003</v>
      </c>
      <c r="D99" s="216">
        <f t="shared" ref="D99:G99" si="40">SUM(D95:D98)</f>
        <v>15591.88</v>
      </c>
      <c r="E99" s="314">
        <f t="shared" si="40"/>
        <v>1655.81</v>
      </c>
      <c r="F99" s="216">
        <f t="shared" si="40"/>
        <v>-2604.5400000000009</v>
      </c>
      <c r="G99" s="216">
        <f t="shared" si="40"/>
        <v>-1519.32</v>
      </c>
    </row>
    <row r="100" spans="1:9" x14ac:dyDescent="0.35">
      <c r="E100" s="315"/>
    </row>
    <row r="101" spans="1:9" x14ac:dyDescent="0.35">
      <c r="E101" s="315"/>
    </row>
    <row r="102" spans="1:9" x14ac:dyDescent="0.35">
      <c r="A102" s="243" t="s">
        <v>322</v>
      </c>
      <c r="E102" s="315"/>
    </row>
    <row r="103" spans="1:9" x14ac:dyDescent="0.35">
      <c r="A103" s="20" t="s">
        <v>24</v>
      </c>
      <c r="B103" s="25">
        <v>0</v>
      </c>
      <c r="C103" s="25">
        <f>ROUND(SUM('[20]Ex Post Gross TD Calc'!$BE$571:$BJ$571),2)</f>
        <v>-90440.48</v>
      </c>
      <c r="D103" s="25">
        <f>ROUND(SUM('[20]NTG TD Calc'!$BE$436:$BJ$436),2)</f>
        <v>-0.01</v>
      </c>
      <c r="E103" s="316">
        <f>ROUND(SUM('[20]EO TD Carrying Costs'!$BC$55:$BH$55),2)</f>
        <v>-14826.35</v>
      </c>
      <c r="F103" s="216">
        <f>SUM(B103:E103)</f>
        <v>-105266.84</v>
      </c>
      <c r="G103" s="216">
        <f>ROUND(F103/12*11,2)</f>
        <v>-96494.6</v>
      </c>
      <c r="H103" s="39"/>
      <c r="I103" s="39"/>
    </row>
    <row r="104" spans="1:9" x14ac:dyDescent="0.35">
      <c r="A104" s="20" t="s">
        <v>25</v>
      </c>
      <c r="B104" s="215">
        <f>B111</f>
        <v>0</v>
      </c>
      <c r="C104" s="215">
        <f t="shared" ref="C104:G104" si="41">C111</f>
        <v>-33502.9</v>
      </c>
      <c r="D104" s="215">
        <f t="shared" si="41"/>
        <v>0.01</v>
      </c>
      <c r="E104" s="317">
        <f t="shared" si="41"/>
        <v>1031.25</v>
      </c>
      <c r="F104" s="216">
        <f>SUM(B104:E104)</f>
        <v>-32471.64</v>
      </c>
      <c r="G104" s="216">
        <f t="shared" si="41"/>
        <v>-29765.67</v>
      </c>
      <c r="H104" s="39"/>
      <c r="I104" s="39"/>
    </row>
    <row r="105" spans="1:9" x14ac:dyDescent="0.35">
      <c r="A105" s="20" t="s">
        <v>5</v>
      </c>
      <c r="B105" s="216">
        <f t="shared" ref="B105:G105" si="42">SUM(B103:B104)</f>
        <v>0</v>
      </c>
      <c r="C105" s="216">
        <f t="shared" si="42"/>
        <v>-123943.38</v>
      </c>
      <c r="D105" s="216">
        <f t="shared" si="42"/>
        <v>0</v>
      </c>
      <c r="E105" s="314">
        <f t="shared" si="42"/>
        <v>-13795.1</v>
      </c>
      <c r="F105" s="216">
        <f t="shared" si="42"/>
        <v>-137738.47999999998</v>
      </c>
      <c r="G105" s="216">
        <f t="shared" si="42"/>
        <v>-126260.27</v>
      </c>
      <c r="H105" s="39"/>
      <c r="I105" s="39"/>
    </row>
    <row r="106" spans="1:9" x14ac:dyDescent="0.35">
      <c r="B106" s="213"/>
      <c r="C106" s="213"/>
      <c r="D106" s="214"/>
      <c r="E106" s="315"/>
      <c r="H106" s="39"/>
      <c r="I106" s="39"/>
    </row>
    <row r="107" spans="1:9" x14ac:dyDescent="0.35">
      <c r="A107" s="20" t="s">
        <v>104</v>
      </c>
      <c r="B107" s="25">
        <v>0</v>
      </c>
      <c r="C107" s="25">
        <f>ROUND(SUM('[20]Ex Post Gross TD Calc'!$BE572:$BJ572),2)</f>
        <v>-6118.17</v>
      </c>
      <c r="D107" s="25">
        <f>ROUND(SUM('[20]NTG TD Calc'!$BE437:$BJ437),2)</f>
        <v>0.01</v>
      </c>
      <c r="E107" s="316">
        <f>ROUND(SUM('[20]EO TD Carrying Costs'!$BC56:$BH56),2)</f>
        <v>134.41</v>
      </c>
      <c r="F107" s="216">
        <f t="shared" ref="F107:F110" si="43">SUM(B107:E107)</f>
        <v>-5983.75</v>
      </c>
      <c r="G107" s="216">
        <f>ROUND(F107/12*11,2)</f>
        <v>-5485.1</v>
      </c>
      <c r="H107" s="39"/>
      <c r="I107" s="39"/>
    </row>
    <row r="108" spans="1:9" x14ac:dyDescent="0.35">
      <c r="A108" s="20" t="s">
        <v>105</v>
      </c>
      <c r="B108" s="25">
        <v>0</v>
      </c>
      <c r="C108" s="25">
        <f>ROUND(SUM('[20]Ex Post Gross TD Calc'!$BE573:$BJ573),2)</f>
        <v>-20173.09</v>
      </c>
      <c r="D108" s="25">
        <f>ROUND(SUM('[20]NTG TD Calc'!$BE438:$BJ438),2)</f>
        <v>-0.01</v>
      </c>
      <c r="E108" s="316">
        <f>ROUND(SUM('[20]EO TD Carrying Costs'!$BC57:$BH57),2)</f>
        <v>95.74</v>
      </c>
      <c r="F108" s="216">
        <f t="shared" si="43"/>
        <v>-20077.359999999997</v>
      </c>
      <c r="G108" s="216">
        <f>ROUND(F108/12*11,2)</f>
        <v>-18404.25</v>
      </c>
      <c r="H108" s="39"/>
      <c r="I108" s="39"/>
    </row>
    <row r="109" spans="1:9" x14ac:dyDescent="0.35">
      <c r="A109" s="20" t="s">
        <v>106</v>
      </c>
      <c r="B109" s="25">
        <v>0</v>
      </c>
      <c r="C109" s="25">
        <f>ROUND(SUM('[20]Ex Post Gross TD Calc'!$BE574:$BJ574),2)</f>
        <v>-7399.91</v>
      </c>
      <c r="D109" s="25">
        <f>ROUND(SUM('[20]NTG TD Calc'!$BE439:$BJ439),2)</f>
        <v>0.01</v>
      </c>
      <c r="E109" s="316">
        <f>ROUND(SUM('[20]EO TD Carrying Costs'!$BC58:$BH58),2)</f>
        <v>693.04</v>
      </c>
      <c r="F109" s="216">
        <f t="shared" si="43"/>
        <v>-6706.86</v>
      </c>
      <c r="G109" s="216">
        <f>ROUND(F109/12*11,2)</f>
        <v>-6147.96</v>
      </c>
      <c r="H109" s="39"/>
      <c r="I109" s="39"/>
    </row>
    <row r="110" spans="1:9" x14ac:dyDescent="0.35">
      <c r="A110" s="20" t="s">
        <v>107</v>
      </c>
      <c r="B110" s="25">
        <v>0</v>
      </c>
      <c r="C110" s="25">
        <f>ROUND(SUM('[20]Ex Post Gross TD Calc'!$BE575:$BJ575),2)</f>
        <v>188.27</v>
      </c>
      <c r="D110" s="25">
        <f>ROUND(SUM('[20]NTG TD Calc'!$BE440:$BJ440),2)</f>
        <v>0</v>
      </c>
      <c r="E110" s="316">
        <f>ROUND(SUM('[20]EO TD Carrying Costs'!$BC59:$BH59),2)</f>
        <v>108.06</v>
      </c>
      <c r="F110" s="216">
        <f t="shared" si="43"/>
        <v>296.33000000000004</v>
      </c>
      <c r="G110" s="216">
        <f>ROUND(F110/12*11,2)</f>
        <v>271.64</v>
      </c>
      <c r="H110" s="39"/>
      <c r="I110" s="39"/>
    </row>
    <row r="111" spans="1:9" x14ac:dyDescent="0.35">
      <c r="A111" s="30" t="s">
        <v>109</v>
      </c>
      <c r="B111" s="216">
        <f>SUM(B107:B110)</f>
        <v>0</v>
      </c>
      <c r="C111" s="216">
        <f>SUM(C107:C110)</f>
        <v>-33502.9</v>
      </c>
      <c r="D111" s="216">
        <f t="shared" ref="D111:G111" si="44">SUM(D107:D110)</f>
        <v>0.01</v>
      </c>
      <c r="E111" s="314">
        <f t="shared" si="44"/>
        <v>1031.25</v>
      </c>
      <c r="F111" s="216">
        <f t="shared" si="44"/>
        <v>-32471.639999999996</v>
      </c>
      <c r="G111" s="216">
        <f t="shared" si="44"/>
        <v>-29765.67</v>
      </c>
      <c r="H111" s="39"/>
      <c r="I111" s="39"/>
    </row>
    <row r="112" spans="1:9" x14ac:dyDescent="0.35">
      <c r="E112" s="315"/>
    </row>
    <row r="113" spans="1:17" x14ac:dyDescent="0.35">
      <c r="E113" s="315"/>
    </row>
    <row r="114" spans="1:17" x14ac:dyDescent="0.35">
      <c r="A114" s="243" t="s">
        <v>250</v>
      </c>
      <c r="E114" s="315"/>
    </row>
    <row r="115" spans="1:17" x14ac:dyDescent="0.35">
      <c r="A115" s="20" t="s">
        <v>24</v>
      </c>
      <c r="B115" s="25">
        <f>'[21]PY4 2023 EO'!$D$116</f>
        <v>1237690.19</v>
      </c>
      <c r="C115" s="25">
        <v>0</v>
      </c>
      <c r="D115" s="25">
        <v>0</v>
      </c>
      <c r="E115" s="316">
        <v>0</v>
      </c>
      <c r="F115" s="216">
        <f>SUM(B115:E115)</f>
        <v>1237690.19</v>
      </c>
      <c r="G115" s="216">
        <f>ROUND(F115/12*7,2)</f>
        <v>721985.94</v>
      </c>
    </row>
    <row r="116" spans="1:17" x14ac:dyDescent="0.35">
      <c r="A116" s="20" t="s">
        <v>25</v>
      </c>
      <c r="B116" s="215">
        <f>B123</f>
        <v>1064482.75</v>
      </c>
      <c r="C116" s="215">
        <f t="shared" ref="C116:E116" si="45">C123</f>
        <v>0</v>
      </c>
      <c r="D116" s="215">
        <f t="shared" si="45"/>
        <v>0</v>
      </c>
      <c r="E116" s="317">
        <f t="shared" si="45"/>
        <v>0</v>
      </c>
      <c r="F116" s="216">
        <f>SUM(B116:E116)</f>
        <v>1064482.75</v>
      </c>
      <c r="G116" s="216">
        <f>ROUND(F116/12*7,2)</f>
        <v>620948.27</v>
      </c>
    </row>
    <row r="117" spans="1:17" x14ac:dyDescent="0.35">
      <c r="A117" s="20" t="s">
        <v>5</v>
      </c>
      <c r="B117" s="216">
        <f t="shared" ref="B117:G117" si="46">SUM(B115:B116)</f>
        <v>2302172.94</v>
      </c>
      <c r="C117" s="216">
        <f t="shared" si="46"/>
        <v>0</v>
      </c>
      <c r="D117" s="216">
        <f t="shared" si="46"/>
        <v>0</v>
      </c>
      <c r="E117" s="314">
        <f t="shared" si="46"/>
        <v>0</v>
      </c>
      <c r="F117" s="216">
        <f t="shared" si="46"/>
        <v>2302172.94</v>
      </c>
      <c r="G117" s="216">
        <f t="shared" si="46"/>
        <v>1342934.21</v>
      </c>
    </row>
    <row r="118" spans="1:17" x14ac:dyDescent="0.35">
      <c r="B118" s="213"/>
      <c r="C118" s="213"/>
      <c r="D118" s="214"/>
      <c r="E118" s="315"/>
    </row>
    <row r="119" spans="1:17" x14ac:dyDescent="0.35">
      <c r="A119" s="20" t="s">
        <v>104</v>
      </c>
      <c r="B119" s="25">
        <f>'[21]PY4 2023 EO'!$D117</f>
        <v>150961.88</v>
      </c>
      <c r="C119" s="25">
        <v>0</v>
      </c>
      <c r="D119" s="25">
        <v>0</v>
      </c>
      <c r="E119" s="316">
        <v>0</v>
      </c>
      <c r="F119" s="216">
        <f t="shared" ref="F119:F122" si="47">SUM(B119:E119)</f>
        <v>150961.88</v>
      </c>
      <c r="G119" s="216">
        <f>ROUND(F119/12*7,2)</f>
        <v>88061.1</v>
      </c>
    </row>
    <row r="120" spans="1:17" x14ac:dyDescent="0.35">
      <c r="A120" s="20" t="s">
        <v>105</v>
      </c>
      <c r="B120" s="25">
        <f>'[21]PY4 2023 EO'!$D118</f>
        <v>302870.92000000004</v>
      </c>
      <c r="C120" s="25">
        <v>0</v>
      </c>
      <c r="D120" s="25">
        <v>0</v>
      </c>
      <c r="E120" s="316">
        <v>0</v>
      </c>
      <c r="F120" s="216">
        <f t="shared" si="47"/>
        <v>302870.92000000004</v>
      </c>
      <c r="G120" s="216">
        <f>ROUND(F120/12*7,2)</f>
        <v>176674.7</v>
      </c>
    </row>
    <row r="121" spans="1:17" x14ac:dyDescent="0.35">
      <c r="A121" s="20" t="s">
        <v>106</v>
      </c>
      <c r="B121" s="25">
        <f>'[21]PY4 2023 EO'!$D119</f>
        <v>481870.85</v>
      </c>
      <c r="C121" s="25">
        <v>0</v>
      </c>
      <c r="D121" s="25">
        <v>0</v>
      </c>
      <c r="E121" s="316">
        <v>0</v>
      </c>
      <c r="F121" s="216">
        <f t="shared" si="47"/>
        <v>481870.85</v>
      </c>
      <c r="G121" s="216">
        <f>ROUND(F121/12*7,2)</f>
        <v>281091.33</v>
      </c>
    </row>
    <row r="122" spans="1:17" x14ac:dyDescent="0.35">
      <c r="A122" s="20" t="s">
        <v>107</v>
      </c>
      <c r="B122" s="25">
        <f>'[21]PY4 2023 EO'!$D120</f>
        <v>128779.09999999999</v>
      </c>
      <c r="C122" s="25">
        <v>0</v>
      </c>
      <c r="D122" s="25">
        <v>0</v>
      </c>
      <c r="E122" s="316">
        <v>0</v>
      </c>
      <c r="F122" s="216">
        <f t="shared" si="47"/>
        <v>128779.09999999999</v>
      </c>
      <c r="G122" s="216">
        <f>ROUND(F122/12*7,2)</f>
        <v>75121.14</v>
      </c>
    </row>
    <row r="123" spans="1:17" x14ac:dyDescent="0.35">
      <c r="A123" s="30" t="s">
        <v>109</v>
      </c>
      <c r="B123" s="216">
        <f>SUM(B119:B122)</f>
        <v>1064482.75</v>
      </c>
      <c r="C123" s="216">
        <f>SUM(C119:C122)</f>
        <v>0</v>
      </c>
      <c r="D123" s="216">
        <f t="shared" ref="D123:G123" si="48">SUM(D119:D122)</f>
        <v>0</v>
      </c>
      <c r="E123" s="314">
        <f t="shared" si="48"/>
        <v>0</v>
      </c>
      <c r="F123" s="216">
        <f t="shared" si="48"/>
        <v>1064482.75</v>
      </c>
      <c r="G123" s="216">
        <f t="shared" si="48"/>
        <v>620948.27000000014</v>
      </c>
    </row>
    <row r="124" spans="1:17" x14ac:dyDescent="0.35">
      <c r="E124" s="4"/>
      <c r="J124" s="294"/>
      <c r="K124" s="294"/>
      <c r="L124" s="294"/>
      <c r="M124" s="294"/>
      <c r="N124" s="294"/>
      <c r="O124" s="294"/>
      <c r="P124" s="294"/>
      <c r="Q124" s="294"/>
    </row>
    <row r="126" spans="1:17" x14ac:dyDescent="0.35">
      <c r="A126" s="53" t="s">
        <v>11</v>
      </c>
    </row>
    <row r="127" spans="1:17" x14ac:dyDescent="0.35">
      <c r="A127" s="63" t="s">
        <v>249</v>
      </c>
      <c r="B127" s="39"/>
      <c r="C127" s="39"/>
      <c r="D127" s="39"/>
      <c r="E127" s="39"/>
      <c r="F127" s="39"/>
      <c r="G127" s="39"/>
      <c r="H127" s="39"/>
      <c r="I127" s="39"/>
      <c r="J127" s="39"/>
      <c r="K127" s="39"/>
    </row>
    <row r="128" spans="1:17" x14ac:dyDescent="0.35">
      <c r="A128" s="63" t="s">
        <v>232</v>
      </c>
      <c r="B128" s="39"/>
      <c r="C128" s="39"/>
      <c r="D128" s="39"/>
      <c r="E128" s="39"/>
      <c r="F128" s="39"/>
      <c r="G128" s="39"/>
      <c r="H128" s="39"/>
      <c r="I128" s="39"/>
      <c r="J128" s="39"/>
      <c r="K128" s="39"/>
    </row>
    <row r="129" spans="1:14" x14ac:dyDescent="0.35">
      <c r="A129" s="63" t="s">
        <v>233</v>
      </c>
      <c r="B129" s="39"/>
      <c r="C129" s="39"/>
      <c r="D129" s="39"/>
      <c r="E129" s="39"/>
      <c r="F129" s="39"/>
      <c r="G129" s="39"/>
      <c r="H129" s="39"/>
      <c r="I129" s="39"/>
      <c r="J129" s="39"/>
      <c r="K129" s="39"/>
    </row>
    <row r="130" spans="1:14" x14ac:dyDescent="0.35">
      <c r="A130" s="63" t="s">
        <v>234</v>
      </c>
      <c r="B130" s="39"/>
      <c r="C130" s="39"/>
      <c r="D130" s="39"/>
      <c r="E130" s="39"/>
      <c r="F130" s="39"/>
      <c r="G130" s="39"/>
      <c r="H130" s="39"/>
      <c r="I130" s="39"/>
      <c r="J130" s="39"/>
      <c r="K130" s="39"/>
    </row>
    <row r="131" spans="1:14" s="39" customFormat="1" x14ac:dyDescent="0.35">
      <c r="A131" s="63" t="s">
        <v>156</v>
      </c>
    </row>
    <row r="132" spans="1:14" ht="88.5" customHeight="1" x14ac:dyDescent="0.35">
      <c r="A132" s="376" t="s">
        <v>328</v>
      </c>
      <c r="B132" s="376"/>
      <c r="C132" s="376"/>
      <c r="D132" s="376"/>
      <c r="E132" s="376"/>
      <c r="F132" s="376"/>
      <c r="G132" s="376"/>
      <c r="H132" s="376"/>
      <c r="I132" s="376"/>
      <c r="J132" s="376"/>
      <c r="K132" s="376"/>
      <c r="N132" s="39"/>
    </row>
  </sheetData>
  <mergeCells count="2">
    <mergeCell ref="B3:D3"/>
    <mergeCell ref="A132:K132"/>
  </mergeCells>
  <pageMargins left="0.2" right="0.2" top="0.75" bottom="0.25" header="0.3" footer="0.3"/>
  <pageSetup scale="45" orientation="landscape" r:id="rId1"/>
  <headerFooter>
    <oddHeader>&amp;C&amp;F &amp;A&amp;R&amp;"Arial"&amp;10&amp;K000000CONFIDENTIAL</oddHeader>
    <oddFooter>&amp;R&amp;1#&amp;"Calibri"&amp;10&amp;KA80000Internal Use Only</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336C7-1E0A-4A0B-A197-04101632EBE5}">
  <sheetPr>
    <pageSetUpPr fitToPage="1"/>
  </sheetPr>
  <dimension ref="A1:V60"/>
  <sheetViews>
    <sheetView zoomScale="85" zoomScaleNormal="85" workbookViewId="0">
      <pane xSplit="1" ySplit="4" topLeftCell="B5" activePane="bottomRight" state="frozen"/>
      <selection activeCell="C7" sqref="C7"/>
      <selection pane="topRight" activeCell="C7" sqref="C7"/>
      <selection pane="bottomLeft" activeCell="C7" sqref="C7"/>
      <selection pane="bottomRight" activeCell="E1" sqref="E1"/>
    </sheetView>
  </sheetViews>
  <sheetFormatPr defaultColWidth="8.7265625" defaultRowHeight="14.5" x14ac:dyDescent="0.35"/>
  <cols>
    <col min="1" max="1" width="22.453125" style="46" customWidth="1"/>
    <col min="2" max="2" width="15.26953125" style="46" bestFit="1" customWidth="1"/>
    <col min="3" max="3" width="14.26953125" style="46" customWidth="1"/>
    <col min="4" max="4" width="13.26953125" style="46" bestFit="1" customWidth="1"/>
    <col min="5" max="5" width="13.453125" style="46" bestFit="1" customWidth="1"/>
    <col min="6" max="6" width="11.54296875" style="46" bestFit="1" customWidth="1"/>
    <col min="7" max="7" width="13.1796875" style="46" customWidth="1"/>
    <col min="8" max="9" width="8.7265625" style="46"/>
    <col min="10" max="10" width="9.453125" style="46" bestFit="1" customWidth="1"/>
    <col min="11" max="11" width="8.7265625" style="46"/>
    <col min="12" max="17" width="10.1796875" style="46" customWidth="1"/>
    <col min="18" max="16384" width="8.7265625" style="46"/>
  </cols>
  <sheetData>
    <row r="1" spans="1:7" x14ac:dyDescent="0.35">
      <c r="A1" s="63" t="str">
        <f>+'PPC Cycle 3'!A1</f>
        <v>Evergy Metro, Inc. - DSIM Rider Update Filed 12/01/2024</v>
      </c>
      <c r="E1" s="339"/>
    </row>
    <row r="2" spans="1:7" x14ac:dyDescent="0.35">
      <c r="A2" s="9" t="str">
        <f>+'PPC Cycle 4'!A2</f>
        <v>Projections for Cycle 4 January 2025 - December 2025 DSIM</v>
      </c>
    </row>
    <row r="3" spans="1:7" ht="45.75" customHeight="1" x14ac:dyDescent="0.35">
      <c r="B3" s="374" t="s">
        <v>301</v>
      </c>
      <c r="C3" s="374"/>
      <c r="D3" s="374"/>
    </row>
    <row r="4" spans="1:7" ht="87" x14ac:dyDescent="0.35">
      <c r="B4" s="70" t="s">
        <v>97</v>
      </c>
      <c r="C4" s="70" t="s">
        <v>98</v>
      </c>
      <c r="D4" s="70" t="s">
        <v>101</v>
      </c>
      <c r="E4" s="70" t="s">
        <v>99</v>
      </c>
      <c r="F4" s="70" t="s">
        <v>96</v>
      </c>
      <c r="G4" s="70" t="s">
        <v>160</v>
      </c>
    </row>
    <row r="5" spans="1:7" x14ac:dyDescent="0.35">
      <c r="B5" s="70"/>
      <c r="C5" s="70"/>
      <c r="D5" s="70"/>
      <c r="E5" s="70"/>
      <c r="F5" s="70"/>
      <c r="G5" s="70"/>
    </row>
    <row r="6" spans="1:7" x14ac:dyDescent="0.35">
      <c r="A6" s="243" t="s">
        <v>300</v>
      </c>
      <c r="B6" s="70"/>
      <c r="C6" s="70"/>
      <c r="D6" s="150"/>
    </row>
    <row r="7" spans="1:7" x14ac:dyDescent="0.35">
      <c r="A7" s="20" t="s">
        <v>24</v>
      </c>
      <c r="B7" s="216">
        <f>SUMIFS(B$16:B$54,$A$16:$A$54,$A7)</f>
        <v>0</v>
      </c>
      <c r="C7" s="216">
        <f>SUMIFS(C$16:C$54,$A$16:$A$54,$A7)</f>
        <v>0</v>
      </c>
      <c r="D7" s="216">
        <f>SUMIFS(D$16:D$54,$A$16:$A$54,$A7)</f>
        <v>0</v>
      </c>
      <c r="E7" s="314">
        <f>SUMIFS(E$16:E$54,$A$16:$A$54,$A7)</f>
        <v>0</v>
      </c>
      <c r="F7" s="216">
        <f>SUM(B7:E7)</f>
        <v>0</v>
      </c>
      <c r="G7" s="216">
        <f>SUMIFS(G$16:G$54,$A$16:$A$54,$A7)</f>
        <v>0</v>
      </c>
    </row>
    <row r="8" spans="1:7" x14ac:dyDescent="0.35">
      <c r="A8" s="20" t="s">
        <v>25</v>
      </c>
      <c r="B8" s="216">
        <f>SUM(B11:B14)</f>
        <v>0</v>
      </c>
      <c r="C8" s="216">
        <f t="shared" ref="C8:E8" si="0">SUM(C11:C14)</f>
        <v>0</v>
      </c>
      <c r="D8" s="216">
        <f t="shared" si="0"/>
        <v>0</v>
      </c>
      <c r="E8" s="314">
        <f t="shared" si="0"/>
        <v>0</v>
      </c>
      <c r="F8" s="216">
        <f>SUM(B8:E8)</f>
        <v>0</v>
      </c>
      <c r="G8" s="216">
        <f t="shared" ref="G8" si="1">SUM(G11:G14)</f>
        <v>0</v>
      </c>
    </row>
    <row r="9" spans="1:7" x14ac:dyDescent="0.35">
      <c r="A9" s="20" t="s">
        <v>5</v>
      </c>
      <c r="B9" s="216">
        <f t="shared" ref="B9:G9" si="2">SUM(B7:B8)</f>
        <v>0</v>
      </c>
      <c r="C9" s="216">
        <f t="shared" si="2"/>
        <v>0</v>
      </c>
      <c r="D9" s="216">
        <f t="shared" si="2"/>
        <v>0</v>
      </c>
      <c r="E9" s="314">
        <f t="shared" si="2"/>
        <v>0</v>
      </c>
      <c r="F9" s="216">
        <f t="shared" si="2"/>
        <v>0</v>
      </c>
      <c r="G9" s="216">
        <f t="shared" si="2"/>
        <v>0</v>
      </c>
    </row>
    <row r="10" spans="1:7" x14ac:dyDescent="0.35">
      <c r="E10" s="315"/>
    </row>
    <row r="11" spans="1:7" x14ac:dyDescent="0.35">
      <c r="A11" s="20" t="s">
        <v>104</v>
      </c>
      <c r="B11" s="216">
        <f t="shared" ref="B11:E14" si="3">SUMIFS(B$16:B$54,$A$16:$A$54,$A11)</f>
        <v>0</v>
      </c>
      <c r="C11" s="216">
        <f t="shared" si="3"/>
        <v>0</v>
      </c>
      <c r="D11" s="216">
        <f t="shared" si="3"/>
        <v>0</v>
      </c>
      <c r="E11" s="314">
        <f t="shared" si="3"/>
        <v>0</v>
      </c>
      <c r="F11" s="216">
        <f t="shared" ref="F11:F14" si="4">SUM(B11:E11)</f>
        <v>0</v>
      </c>
      <c r="G11" s="216">
        <f>SUMIFS(G$16:G$54,$A$16:$A$54,$A11)</f>
        <v>0</v>
      </c>
    </row>
    <row r="12" spans="1:7" x14ac:dyDescent="0.35">
      <c r="A12" s="20" t="s">
        <v>105</v>
      </c>
      <c r="B12" s="216">
        <f t="shared" si="3"/>
        <v>0</v>
      </c>
      <c r="C12" s="216">
        <f t="shared" si="3"/>
        <v>0</v>
      </c>
      <c r="D12" s="216">
        <f t="shared" si="3"/>
        <v>0</v>
      </c>
      <c r="E12" s="314">
        <f t="shared" si="3"/>
        <v>0</v>
      </c>
      <c r="F12" s="216">
        <f t="shared" si="4"/>
        <v>0</v>
      </c>
      <c r="G12" s="216">
        <f>SUMIFS(G$16:G$54,$A$16:$A$54,$A12)</f>
        <v>0</v>
      </c>
    </row>
    <row r="13" spans="1:7" x14ac:dyDescent="0.35">
      <c r="A13" s="20" t="s">
        <v>106</v>
      </c>
      <c r="B13" s="216">
        <f t="shared" si="3"/>
        <v>0</v>
      </c>
      <c r="C13" s="216">
        <f t="shared" si="3"/>
        <v>0</v>
      </c>
      <c r="D13" s="216">
        <f t="shared" si="3"/>
        <v>0</v>
      </c>
      <c r="E13" s="314">
        <f t="shared" si="3"/>
        <v>0</v>
      </c>
      <c r="F13" s="216">
        <f t="shared" si="4"/>
        <v>0</v>
      </c>
      <c r="G13" s="216">
        <f>SUMIFS(G$16:G$54,$A$16:$A$54,$A13)</f>
        <v>0</v>
      </c>
    </row>
    <row r="14" spans="1:7" x14ac:dyDescent="0.35">
      <c r="A14" s="20" t="s">
        <v>107</v>
      </c>
      <c r="B14" s="216">
        <f t="shared" si="3"/>
        <v>0</v>
      </c>
      <c r="C14" s="216">
        <f t="shared" si="3"/>
        <v>0</v>
      </c>
      <c r="D14" s="216">
        <f t="shared" si="3"/>
        <v>0</v>
      </c>
      <c r="E14" s="314">
        <f t="shared" si="3"/>
        <v>0</v>
      </c>
      <c r="F14" s="216">
        <f t="shared" si="4"/>
        <v>0</v>
      </c>
      <c r="G14" s="216">
        <f>SUMIFS(G$16:G$54,$A$16:$A$54,$A14)</f>
        <v>0</v>
      </c>
    </row>
    <row r="15" spans="1:7" x14ac:dyDescent="0.35">
      <c r="A15" s="30" t="s">
        <v>109</v>
      </c>
      <c r="B15" s="216">
        <f t="shared" ref="B15:G15" si="5">SUM(B11:B14)</f>
        <v>0</v>
      </c>
      <c r="C15" s="216">
        <f t="shared" si="5"/>
        <v>0</v>
      </c>
      <c r="D15" s="216">
        <f t="shared" si="5"/>
        <v>0</v>
      </c>
      <c r="E15" s="314">
        <f t="shared" si="5"/>
        <v>0</v>
      </c>
      <c r="F15" s="216">
        <f t="shared" si="5"/>
        <v>0</v>
      </c>
      <c r="G15" s="216">
        <f t="shared" si="5"/>
        <v>0</v>
      </c>
    </row>
    <row r="16" spans="1:7" x14ac:dyDescent="0.35">
      <c r="E16" s="315"/>
    </row>
    <row r="17" spans="1:22" x14ac:dyDescent="0.35">
      <c r="A17" s="20"/>
      <c r="B17" s="70"/>
      <c r="C17" s="70"/>
      <c r="D17" s="149"/>
      <c r="E17" s="315"/>
    </row>
    <row r="18" spans="1:22" x14ac:dyDescent="0.35">
      <c r="A18" s="243" t="s">
        <v>309</v>
      </c>
      <c r="B18" s="70"/>
      <c r="C18" s="70"/>
      <c r="D18" s="149"/>
      <c r="E18" s="315"/>
    </row>
    <row r="19" spans="1:22" x14ac:dyDescent="0.35">
      <c r="A19" s="20" t="s">
        <v>24</v>
      </c>
      <c r="B19" s="25"/>
      <c r="C19" s="25"/>
      <c r="D19" s="25"/>
      <c r="E19" s="316"/>
      <c r="F19" s="216">
        <f>SUM(B19:E19)</f>
        <v>0</v>
      </c>
      <c r="G19" s="216">
        <f>ROUND(F19/12*0,2)</f>
        <v>0</v>
      </c>
      <c r="L19" s="185"/>
      <c r="M19" s="185"/>
      <c r="N19" s="185"/>
      <c r="O19" s="185"/>
      <c r="P19" s="185"/>
      <c r="R19" s="4"/>
      <c r="S19" s="4"/>
      <c r="T19" s="4"/>
      <c r="U19" s="4"/>
      <c r="V19" s="4"/>
    </row>
    <row r="20" spans="1:22" x14ac:dyDescent="0.35">
      <c r="A20" s="20" t="s">
        <v>25</v>
      </c>
      <c r="B20" s="215"/>
      <c r="C20" s="215"/>
      <c r="D20" s="215"/>
      <c r="E20" s="317"/>
      <c r="F20" s="216">
        <f>SUM(B20:E20)</f>
        <v>0</v>
      </c>
      <c r="G20" s="216">
        <f t="shared" ref="G20" si="6">SUM(G23:G26)</f>
        <v>0</v>
      </c>
      <c r="L20" s="185"/>
      <c r="M20" s="185"/>
      <c r="N20" s="185"/>
      <c r="O20" s="185"/>
      <c r="P20" s="185"/>
      <c r="R20" s="4"/>
      <c r="S20" s="4"/>
      <c r="T20" s="4"/>
      <c r="U20" s="4"/>
      <c r="V20" s="4"/>
    </row>
    <row r="21" spans="1:22" x14ac:dyDescent="0.35">
      <c r="A21" s="20" t="s">
        <v>5</v>
      </c>
      <c r="B21" s="216">
        <f t="shared" ref="B21:G21" si="7">SUM(B19:B20)</f>
        <v>0</v>
      </c>
      <c r="C21" s="216">
        <f t="shared" si="7"/>
        <v>0</v>
      </c>
      <c r="D21" s="216">
        <f t="shared" si="7"/>
        <v>0</v>
      </c>
      <c r="E21" s="314">
        <f t="shared" si="7"/>
        <v>0</v>
      </c>
      <c r="F21" s="216">
        <f t="shared" si="7"/>
        <v>0</v>
      </c>
      <c r="G21" s="216">
        <f t="shared" si="7"/>
        <v>0</v>
      </c>
      <c r="L21" s="185"/>
      <c r="M21" s="185"/>
      <c r="N21" s="185"/>
      <c r="O21" s="185"/>
      <c r="P21" s="185"/>
      <c r="R21" s="4"/>
      <c r="S21" s="4"/>
      <c r="T21" s="4"/>
      <c r="U21" s="4"/>
      <c r="V21" s="4"/>
    </row>
    <row r="22" spans="1:22" x14ac:dyDescent="0.35">
      <c r="B22" s="213"/>
      <c r="C22" s="213"/>
      <c r="D22" s="214"/>
      <c r="E22" s="315"/>
      <c r="L22" s="185"/>
      <c r="M22" s="185"/>
      <c r="N22" s="185"/>
      <c r="O22" s="185"/>
      <c r="P22" s="185"/>
    </row>
    <row r="23" spans="1:22" x14ac:dyDescent="0.35">
      <c r="A23" s="20" t="s">
        <v>104</v>
      </c>
      <c r="B23" s="25"/>
      <c r="C23" s="25"/>
      <c r="D23" s="25"/>
      <c r="E23" s="317"/>
      <c r="F23" s="216">
        <f t="shared" ref="F23:F26" si="8">SUM(B23:E23)</f>
        <v>0</v>
      </c>
      <c r="G23" s="216">
        <f>ROUND(F23/12*0,2)</f>
        <v>0</v>
      </c>
      <c r="L23" s="185"/>
      <c r="M23" s="185"/>
      <c r="N23" s="185"/>
      <c r="O23" s="185"/>
      <c r="P23" s="185"/>
      <c r="R23" s="4"/>
      <c r="S23" s="4"/>
      <c r="T23" s="4"/>
      <c r="U23" s="4"/>
      <c r="V23" s="4"/>
    </row>
    <row r="24" spans="1:22" x14ac:dyDescent="0.35">
      <c r="A24" s="20" t="s">
        <v>105</v>
      </c>
      <c r="B24" s="215"/>
      <c r="C24" s="215"/>
      <c r="D24" s="215"/>
      <c r="E24" s="317"/>
      <c r="F24" s="216">
        <f t="shared" si="8"/>
        <v>0</v>
      </c>
      <c r="G24" s="216">
        <f t="shared" ref="G24:G26" si="9">ROUND(F24/12*0,2)</f>
        <v>0</v>
      </c>
      <c r="L24" s="185"/>
      <c r="M24" s="185"/>
      <c r="N24" s="185"/>
      <c r="O24" s="185"/>
      <c r="P24" s="185"/>
      <c r="R24" s="4"/>
      <c r="S24" s="4"/>
      <c r="T24" s="4"/>
      <c r="U24" s="4"/>
      <c r="V24" s="4"/>
    </row>
    <row r="25" spans="1:22" x14ac:dyDescent="0.35">
      <c r="A25" s="20" t="s">
        <v>106</v>
      </c>
      <c r="B25" s="25"/>
      <c r="C25" s="25"/>
      <c r="D25" s="25"/>
      <c r="E25" s="316"/>
      <c r="F25" s="216">
        <f t="shared" si="8"/>
        <v>0</v>
      </c>
      <c r="G25" s="216">
        <f t="shared" si="9"/>
        <v>0</v>
      </c>
      <c r="L25" s="185"/>
      <c r="M25" s="185"/>
      <c r="N25" s="185"/>
      <c r="O25" s="185"/>
      <c r="P25" s="185"/>
      <c r="R25" s="4"/>
      <c r="S25" s="4"/>
      <c r="T25" s="4"/>
      <c r="U25" s="4"/>
      <c r="V25" s="4"/>
    </row>
    <row r="26" spans="1:22" x14ac:dyDescent="0.35">
      <c r="A26" s="20" t="s">
        <v>107</v>
      </c>
      <c r="B26" s="215"/>
      <c r="C26" s="215"/>
      <c r="D26" s="215"/>
      <c r="E26" s="317"/>
      <c r="F26" s="216">
        <f t="shared" si="8"/>
        <v>0</v>
      </c>
      <c r="G26" s="216">
        <f t="shared" si="9"/>
        <v>0</v>
      </c>
      <c r="L26" s="185"/>
      <c r="M26" s="185"/>
      <c r="N26" s="185"/>
      <c r="O26" s="185"/>
      <c r="P26" s="185"/>
      <c r="R26" s="4"/>
      <c r="S26" s="4"/>
      <c r="T26" s="4"/>
      <c r="U26" s="4"/>
      <c r="V26" s="4"/>
    </row>
    <row r="27" spans="1:22" x14ac:dyDescent="0.35">
      <c r="A27" s="30" t="s">
        <v>109</v>
      </c>
      <c r="B27" s="216">
        <f>SUM(B23:B26)</f>
        <v>0</v>
      </c>
      <c r="C27" s="216">
        <f>SUM(C23:C26)</f>
        <v>0</v>
      </c>
      <c r="D27" s="216">
        <f t="shared" ref="D27:G27" si="10">SUM(D23:D26)</f>
        <v>0</v>
      </c>
      <c r="E27" s="314">
        <f t="shared" si="10"/>
        <v>0</v>
      </c>
      <c r="F27" s="216">
        <f t="shared" si="10"/>
        <v>0</v>
      </c>
      <c r="G27" s="216">
        <f t="shared" si="10"/>
        <v>0</v>
      </c>
      <c r="L27" s="185"/>
      <c r="M27" s="185"/>
      <c r="N27" s="185"/>
      <c r="O27" s="185"/>
      <c r="P27" s="185"/>
      <c r="R27" s="4"/>
      <c r="S27" s="4"/>
      <c r="T27" s="4"/>
      <c r="U27" s="4"/>
      <c r="V27" s="4"/>
    </row>
    <row r="28" spans="1:22" x14ac:dyDescent="0.35">
      <c r="E28" s="315"/>
    </row>
    <row r="29" spans="1:22" x14ac:dyDescent="0.35">
      <c r="E29" s="315"/>
    </row>
    <row r="30" spans="1:22" x14ac:dyDescent="0.35">
      <c r="A30" s="243" t="s">
        <v>310</v>
      </c>
      <c r="B30" s="70"/>
      <c r="C30" s="70"/>
      <c r="D30" s="149"/>
      <c r="E30" s="315"/>
      <c r="J30" s="293"/>
      <c r="K30" s="293"/>
      <c r="L30" s="293"/>
      <c r="M30" s="293"/>
      <c r="N30" s="293"/>
      <c r="O30" s="293"/>
      <c r="P30" s="293"/>
      <c r="Q30" s="293"/>
    </row>
    <row r="31" spans="1:22" x14ac:dyDescent="0.35">
      <c r="A31" s="20" t="s">
        <v>24</v>
      </c>
      <c r="B31" s="25"/>
      <c r="C31" s="25"/>
      <c r="D31" s="25"/>
      <c r="E31" s="316"/>
      <c r="F31" s="216">
        <f>SUM(B31:E31)</f>
        <v>0</v>
      </c>
      <c r="G31" s="216">
        <f>ROUND(F31/12*0,2)</f>
        <v>0</v>
      </c>
      <c r="J31" s="294"/>
      <c r="K31" s="294"/>
      <c r="L31" s="294"/>
      <c r="M31" s="185"/>
      <c r="N31" s="185"/>
      <c r="O31" s="185"/>
      <c r="P31" s="185"/>
      <c r="R31" s="4"/>
      <c r="S31" s="4"/>
      <c r="T31" s="4"/>
      <c r="U31" s="4"/>
      <c r="V31" s="4"/>
    </row>
    <row r="32" spans="1:22" x14ac:dyDescent="0.35">
      <c r="A32" s="20" t="s">
        <v>25</v>
      </c>
      <c r="B32" s="215"/>
      <c r="C32" s="215"/>
      <c r="D32" s="215"/>
      <c r="E32" s="317"/>
      <c r="F32" s="216">
        <f>SUM(B32:E32)</f>
        <v>0</v>
      </c>
      <c r="G32" s="216">
        <f t="shared" ref="G32" si="11">SUM(G35:G38)</f>
        <v>0</v>
      </c>
      <c r="M32" s="185"/>
      <c r="N32" s="185"/>
      <c r="O32" s="185"/>
      <c r="P32" s="185"/>
      <c r="R32" s="4"/>
      <c r="S32" s="4"/>
      <c r="T32" s="4"/>
      <c r="U32" s="4"/>
      <c r="V32" s="4"/>
    </row>
    <row r="33" spans="1:22" x14ac:dyDescent="0.35">
      <c r="A33" s="20" t="s">
        <v>5</v>
      </c>
      <c r="B33" s="216">
        <f t="shared" ref="B33:G33" si="12">SUM(B31:B32)</f>
        <v>0</v>
      </c>
      <c r="C33" s="216">
        <f t="shared" si="12"/>
        <v>0</v>
      </c>
      <c r="D33" s="216">
        <f t="shared" si="12"/>
        <v>0</v>
      </c>
      <c r="E33" s="314">
        <f t="shared" si="12"/>
        <v>0</v>
      </c>
      <c r="F33" s="216">
        <f t="shared" si="12"/>
        <v>0</v>
      </c>
      <c r="G33" s="216">
        <f t="shared" si="12"/>
        <v>0</v>
      </c>
      <c r="M33" s="185"/>
      <c r="N33" s="185"/>
      <c r="O33" s="185"/>
      <c r="P33" s="185"/>
      <c r="R33" s="4"/>
      <c r="S33" s="4"/>
      <c r="T33" s="4"/>
      <c r="U33" s="4"/>
      <c r="V33" s="4"/>
    </row>
    <row r="34" spans="1:22" x14ac:dyDescent="0.35">
      <c r="B34" s="213"/>
      <c r="C34" s="213"/>
      <c r="D34" s="214"/>
      <c r="E34" s="315"/>
      <c r="M34" s="185"/>
      <c r="N34" s="185"/>
      <c r="O34" s="185"/>
      <c r="P34" s="185"/>
    </row>
    <row r="35" spans="1:22" x14ac:dyDescent="0.35">
      <c r="A35" s="20" t="s">
        <v>104</v>
      </c>
      <c r="B35" s="25"/>
      <c r="C35" s="25"/>
      <c r="D35" s="25"/>
      <c r="E35" s="317"/>
      <c r="F35" s="216">
        <f t="shared" ref="F35:F38" si="13">SUM(B35:E35)</f>
        <v>0</v>
      </c>
      <c r="G35" s="216">
        <f>ROUND(F35/12*0,2)</f>
        <v>0</v>
      </c>
      <c r="J35" s="294"/>
      <c r="K35" s="294"/>
      <c r="L35" s="294"/>
      <c r="M35" s="185"/>
      <c r="N35" s="185"/>
      <c r="O35" s="185"/>
      <c r="P35" s="185"/>
      <c r="R35" s="4"/>
      <c r="S35" s="4"/>
      <c r="T35" s="4"/>
      <c r="U35" s="4"/>
      <c r="V35" s="4"/>
    </row>
    <row r="36" spans="1:22" x14ac:dyDescent="0.35">
      <c r="A36" s="20" t="s">
        <v>105</v>
      </c>
      <c r="B36" s="215"/>
      <c r="C36" s="215"/>
      <c r="D36" s="215"/>
      <c r="E36" s="317"/>
      <c r="F36" s="216">
        <f t="shared" si="13"/>
        <v>0</v>
      </c>
      <c r="G36" s="216">
        <f t="shared" ref="G36:G38" si="14">ROUND(F36/12*0,2)</f>
        <v>0</v>
      </c>
      <c r="J36" s="294"/>
      <c r="K36" s="294"/>
      <c r="L36" s="294"/>
      <c r="M36" s="185"/>
      <c r="N36" s="185"/>
      <c r="O36" s="185"/>
      <c r="P36" s="185"/>
      <c r="R36" s="4"/>
      <c r="S36" s="4"/>
      <c r="T36" s="4"/>
      <c r="U36" s="4"/>
      <c r="V36" s="4"/>
    </row>
    <row r="37" spans="1:22" x14ac:dyDescent="0.35">
      <c r="A37" s="20" t="s">
        <v>106</v>
      </c>
      <c r="B37" s="25"/>
      <c r="C37" s="25"/>
      <c r="D37" s="25"/>
      <c r="E37" s="316"/>
      <c r="F37" s="216">
        <f t="shared" si="13"/>
        <v>0</v>
      </c>
      <c r="G37" s="216">
        <f t="shared" si="14"/>
        <v>0</v>
      </c>
      <c r="J37" s="294"/>
      <c r="K37" s="294"/>
      <c r="L37" s="294"/>
      <c r="M37" s="185"/>
      <c r="N37" s="185"/>
      <c r="O37" s="185"/>
      <c r="P37" s="185"/>
      <c r="R37" s="4"/>
      <c r="S37" s="4"/>
      <c r="T37" s="4"/>
      <c r="U37" s="4"/>
      <c r="V37" s="4"/>
    </row>
    <row r="38" spans="1:22" x14ac:dyDescent="0.35">
      <c r="A38" s="20" t="s">
        <v>107</v>
      </c>
      <c r="B38" s="215"/>
      <c r="C38" s="215"/>
      <c r="D38" s="215"/>
      <c r="E38" s="317"/>
      <c r="F38" s="216">
        <f t="shared" si="13"/>
        <v>0</v>
      </c>
      <c r="G38" s="216">
        <f t="shared" si="14"/>
        <v>0</v>
      </c>
      <c r="J38" s="294"/>
      <c r="K38" s="294"/>
      <c r="L38" s="294"/>
      <c r="M38" s="185"/>
      <c r="N38" s="185"/>
      <c r="O38" s="185"/>
      <c r="P38" s="185"/>
      <c r="R38" s="4"/>
      <c r="S38" s="4"/>
      <c r="T38" s="4"/>
      <c r="U38" s="4"/>
      <c r="V38" s="4"/>
    </row>
    <row r="39" spans="1:22" x14ac:dyDescent="0.35">
      <c r="A39" s="30" t="s">
        <v>109</v>
      </c>
      <c r="B39" s="216">
        <f>SUM(B35:B38)</f>
        <v>0</v>
      </c>
      <c r="C39" s="216">
        <f>SUM(C35:C38)</f>
        <v>0</v>
      </c>
      <c r="D39" s="216">
        <f t="shared" ref="D39:G39" si="15">SUM(D35:D38)</f>
        <v>0</v>
      </c>
      <c r="E39" s="314">
        <f t="shared" si="15"/>
        <v>0</v>
      </c>
      <c r="F39" s="216">
        <f t="shared" si="15"/>
        <v>0</v>
      </c>
      <c r="G39" s="216">
        <f t="shared" si="15"/>
        <v>0</v>
      </c>
      <c r="L39" s="185"/>
      <c r="M39" s="185"/>
      <c r="N39" s="185"/>
      <c r="O39" s="185"/>
      <c r="P39" s="185"/>
      <c r="R39" s="4"/>
      <c r="S39" s="4"/>
      <c r="T39" s="4"/>
      <c r="U39" s="4"/>
      <c r="V39" s="4"/>
    </row>
    <row r="40" spans="1:22" x14ac:dyDescent="0.35">
      <c r="E40" s="315"/>
    </row>
    <row r="41" spans="1:22" x14ac:dyDescent="0.35">
      <c r="E41" s="315"/>
    </row>
    <row r="42" spans="1:22" x14ac:dyDescent="0.35">
      <c r="A42" s="243" t="s">
        <v>311</v>
      </c>
      <c r="B42" s="70"/>
      <c r="C42" s="70"/>
      <c r="D42" s="149"/>
      <c r="E42" s="315"/>
      <c r="J42" s="293"/>
      <c r="K42" s="293"/>
      <c r="L42" s="293"/>
      <c r="M42" s="293"/>
      <c r="N42" s="293"/>
      <c r="O42" s="293"/>
      <c r="P42" s="293"/>
      <c r="Q42" s="293"/>
    </row>
    <row r="43" spans="1:22" x14ac:dyDescent="0.35">
      <c r="A43" s="20" t="s">
        <v>24</v>
      </c>
      <c r="B43" s="25"/>
      <c r="C43" s="25"/>
      <c r="D43" s="25"/>
      <c r="E43" s="316"/>
      <c r="F43" s="216">
        <f>SUM(B43:E43)</f>
        <v>0</v>
      </c>
      <c r="G43" s="216">
        <f>ROUND(F43/12*0,2)</f>
        <v>0</v>
      </c>
      <c r="J43" s="294"/>
      <c r="K43" s="294"/>
      <c r="L43" s="294"/>
      <c r="M43" s="294"/>
      <c r="N43" s="294"/>
      <c r="O43" s="294"/>
      <c r="P43" s="294"/>
      <c r="Q43" s="294"/>
      <c r="R43" s="4"/>
      <c r="S43" s="4"/>
      <c r="T43" s="4"/>
      <c r="U43" s="4"/>
      <c r="V43" s="4"/>
    </row>
    <row r="44" spans="1:22" x14ac:dyDescent="0.35">
      <c r="A44" s="20" t="s">
        <v>25</v>
      </c>
      <c r="B44" s="215"/>
      <c r="C44" s="215"/>
      <c r="D44" s="215"/>
      <c r="E44" s="317"/>
      <c r="F44" s="216">
        <f>SUM(B44:E44)</f>
        <v>0</v>
      </c>
      <c r="G44" s="216">
        <f t="shared" ref="G44" si="16">SUM(G47:G50)</f>
        <v>0</v>
      </c>
      <c r="R44" s="4"/>
      <c r="S44" s="4"/>
      <c r="T44" s="4"/>
      <c r="U44" s="4"/>
      <c r="V44" s="4"/>
    </row>
    <row r="45" spans="1:22" x14ac:dyDescent="0.35">
      <c r="A45" s="20" t="s">
        <v>5</v>
      </c>
      <c r="B45" s="216">
        <f t="shared" ref="B45:G45" si="17">SUM(B43:B44)</f>
        <v>0</v>
      </c>
      <c r="C45" s="216">
        <f t="shared" si="17"/>
        <v>0</v>
      </c>
      <c r="D45" s="216">
        <f t="shared" si="17"/>
        <v>0</v>
      </c>
      <c r="E45" s="314">
        <f t="shared" si="17"/>
        <v>0</v>
      </c>
      <c r="F45" s="216">
        <f t="shared" si="17"/>
        <v>0</v>
      </c>
      <c r="G45" s="216">
        <f t="shared" si="17"/>
        <v>0</v>
      </c>
      <c r="R45" s="4"/>
      <c r="S45" s="4"/>
      <c r="T45" s="4"/>
      <c r="U45" s="4"/>
      <c r="V45" s="4"/>
    </row>
    <row r="46" spans="1:22" x14ac:dyDescent="0.35">
      <c r="B46" s="213"/>
      <c r="C46" s="213"/>
      <c r="D46" s="214"/>
      <c r="E46" s="315"/>
    </row>
    <row r="47" spans="1:22" x14ac:dyDescent="0.35">
      <c r="A47" s="20" t="s">
        <v>104</v>
      </c>
      <c r="B47" s="25"/>
      <c r="C47" s="25"/>
      <c r="D47" s="25"/>
      <c r="E47" s="317"/>
      <c r="F47" s="216">
        <f t="shared" ref="F47:F50" si="18">SUM(B47:E47)</f>
        <v>0</v>
      </c>
      <c r="G47" s="216">
        <f>ROUND(F47/12*0,2)</f>
        <v>0</v>
      </c>
      <c r="J47" s="294"/>
      <c r="K47" s="294"/>
      <c r="L47" s="294"/>
      <c r="M47" s="294"/>
      <c r="N47" s="294"/>
      <c r="O47" s="294"/>
      <c r="P47" s="294"/>
      <c r="Q47" s="294"/>
      <c r="R47" s="4"/>
      <c r="S47" s="4"/>
      <c r="T47" s="4"/>
      <c r="U47" s="4"/>
      <c r="V47" s="4"/>
    </row>
    <row r="48" spans="1:22" x14ac:dyDescent="0.35">
      <c r="A48" s="20" t="s">
        <v>105</v>
      </c>
      <c r="B48" s="215"/>
      <c r="C48" s="215"/>
      <c r="D48" s="215"/>
      <c r="E48" s="317"/>
      <c r="F48" s="216">
        <f t="shared" si="18"/>
        <v>0</v>
      </c>
      <c r="G48" s="216">
        <f t="shared" ref="G48:G50" si="19">ROUND(F48/12*0,2)</f>
        <v>0</v>
      </c>
      <c r="J48" s="294"/>
      <c r="K48" s="294"/>
      <c r="L48" s="294"/>
      <c r="M48" s="294"/>
      <c r="N48" s="294"/>
      <c r="O48" s="294"/>
      <c r="P48" s="294"/>
      <c r="Q48" s="294"/>
      <c r="R48" s="4"/>
      <c r="S48" s="4"/>
      <c r="T48" s="4"/>
      <c r="U48" s="4"/>
      <c r="V48" s="4"/>
    </row>
    <row r="49" spans="1:22" x14ac:dyDescent="0.35">
      <c r="A49" s="20" t="s">
        <v>106</v>
      </c>
      <c r="B49" s="25"/>
      <c r="C49" s="25"/>
      <c r="D49" s="25"/>
      <c r="E49" s="316"/>
      <c r="F49" s="216">
        <f t="shared" si="18"/>
        <v>0</v>
      </c>
      <c r="G49" s="216">
        <f t="shared" si="19"/>
        <v>0</v>
      </c>
      <c r="J49" s="294"/>
      <c r="K49" s="294"/>
      <c r="L49" s="294"/>
      <c r="M49" s="294"/>
      <c r="N49" s="294"/>
      <c r="O49" s="294"/>
      <c r="P49" s="294"/>
      <c r="Q49" s="294"/>
      <c r="R49" s="4"/>
      <c r="S49" s="4"/>
      <c r="T49" s="4"/>
      <c r="U49" s="4"/>
      <c r="V49" s="4"/>
    </row>
    <row r="50" spans="1:22" x14ac:dyDescent="0.35">
      <c r="A50" s="20" t="s">
        <v>107</v>
      </c>
      <c r="B50" s="215"/>
      <c r="C50" s="215"/>
      <c r="D50" s="215"/>
      <c r="E50" s="317"/>
      <c r="F50" s="216">
        <f t="shared" si="18"/>
        <v>0</v>
      </c>
      <c r="G50" s="216">
        <f t="shared" si="19"/>
        <v>0</v>
      </c>
      <c r="J50" s="294"/>
      <c r="K50" s="294"/>
      <c r="L50" s="294"/>
      <c r="M50" s="294"/>
      <c r="N50" s="294"/>
      <c r="O50" s="294"/>
      <c r="P50" s="294"/>
      <c r="Q50" s="294"/>
      <c r="R50" s="4"/>
      <c r="S50" s="4"/>
      <c r="T50" s="4"/>
      <c r="U50" s="4"/>
      <c r="V50" s="4"/>
    </row>
    <row r="51" spans="1:22" x14ac:dyDescent="0.35">
      <c r="A51" s="30" t="s">
        <v>109</v>
      </c>
      <c r="B51" s="216">
        <f>SUM(B47:B50)</f>
        <v>0</v>
      </c>
      <c r="C51" s="216">
        <f>SUM(C47:C50)</f>
        <v>0</v>
      </c>
      <c r="D51" s="216">
        <f t="shared" ref="D51:G51" si="20">SUM(D47:D50)</f>
        <v>0</v>
      </c>
      <c r="E51" s="314">
        <f t="shared" si="20"/>
        <v>0</v>
      </c>
      <c r="F51" s="216">
        <f t="shared" si="20"/>
        <v>0</v>
      </c>
      <c r="G51" s="216">
        <f t="shared" si="20"/>
        <v>0</v>
      </c>
      <c r="L51" s="185"/>
      <c r="M51" s="185"/>
      <c r="N51" s="185"/>
      <c r="O51" s="185"/>
      <c r="P51" s="185"/>
      <c r="R51" s="4"/>
      <c r="S51" s="4"/>
      <c r="T51" s="4"/>
      <c r="U51" s="4"/>
      <c r="V51" s="4"/>
    </row>
    <row r="52" spans="1:22" x14ac:dyDescent="0.35">
      <c r="E52" s="315"/>
    </row>
    <row r="53" spans="1:22" x14ac:dyDescent="0.35">
      <c r="E53" s="315"/>
    </row>
    <row r="54" spans="1:22" x14ac:dyDescent="0.35">
      <c r="A54" s="53" t="s">
        <v>11</v>
      </c>
    </row>
    <row r="55" spans="1:22" x14ac:dyDescent="0.35">
      <c r="A55" s="63" t="s">
        <v>302</v>
      </c>
      <c r="B55" s="39"/>
      <c r="C55" s="39"/>
      <c r="D55" s="39"/>
      <c r="E55" s="39"/>
      <c r="F55" s="39"/>
      <c r="G55" s="39"/>
      <c r="H55" s="39"/>
      <c r="I55" s="39"/>
      <c r="J55" s="39"/>
      <c r="K55" s="39"/>
    </row>
    <row r="56" spans="1:22" x14ac:dyDescent="0.35">
      <c r="A56" s="63" t="s">
        <v>303</v>
      </c>
      <c r="B56" s="39"/>
      <c r="C56" s="39"/>
      <c r="D56" s="39"/>
      <c r="E56" s="39"/>
      <c r="F56" s="39"/>
      <c r="G56" s="39"/>
      <c r="H56" s="39"/>
      <c r="I56" s="39"/>
      <c r="J56" s="39"/>
      <c r="K56" s="39"/>
    </row>
    <row r="57" spans="1:22" x14ac:dyDescent="0.35">
      <c r="A57" s="63" t="s">
        <v>304</v>
      </c>
      <c r="B57" s="39"/>
      <c r="C57" s="39"/>
      <c r="D57" s="39"/>
      <c r="E57" s="39"/>
      <c r="F57" s="39"/>
      <c r="G57" s="39"/>
      <c r="H57" s="39"/>
      <c r="I57" s="39"/>
      <c r="J57" s="39"/>
      <c r="K57" s="39"/>
    </row>
    <row r="58" spans="1:22" x14ac:dyDescent="0.35">
      <c r="A58" s="63" t="s">
        <v>305</v>
      </c>
      <c r="B58" s="39"/>
      <c r="C58" s="39"/>
      <c r="D58" s="39"/>
      <c r="E58" s="39"/>
      <c r="F58" s="39"/>
      <c r="G58" s="39"/>
      <c r="H58" s="39"/>
      <c r="I58" s="39"/>
      <c r="J58" s="39"/>
      <c r="K58" s="39"/>
    </row>
    <row r="59" spans="1:22" s="39" customFormat="1" x14ac:dyDescent="0.35">
      <c r="A59" s="63" t="s">
        <v>156</v>
      </c>
    </row>
    <row r="60" spans="1:22" x14ac:dyDescent="0.35">
      <c r="A60" s="373" t="s">
        <v>306</v>
      </c>
      <c r="B60" s="373"/>
      <c r="C60" s="373"/>
      <c r="D60" s="373"/>
      <c r="E60" s="373"/>
      <c r="F60" s="373"/>
      <c r="G60" s="373"/>
      <c r="H60" s="373"/>
      <c r="I60" s="373"/>
      <c r="J60" s="373"/>
      <c r="K60" s="373"/>
    </row>
  </sheetData>
  <mergeCells count="2">
    <mergeCell ref="B3:D3"/>
    <mergeCell ref="A60:K60"/>
  </mergeCells>
  <pageMargins left="0.2" right="0.2" top="0.75" bottom="0.25" header="0.3" footer="0.3"/>
  <pageSetup scale="45" orientation="landscape" r:id="rId1"/>
  <headerFooter>
    <oddHeader>&amp;C&amp;F &amp;A&amp;R&amp;"Arial"&amp;10&amp;K000000CONFIDENTIAL</oddHeader>
    <oddFooter>&amp;R&amp;1#&amp;"Calibri"&amp;10&amp;KA80000Internal Use Only</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2D9B7-C354-47DA-B8E5-0C6783072B70}">
  <sheetPr>
    <pageSetUpPr fitToPage="1"/>
  </sheetPr>
  <dimension ref="A1:AI71"/>
  <sheetViews>
    <sheetView topLeftCell="A20" zoomScale="85" zoomScaleNormal="85" workbookViewId="0">
      <selection activeCell="L32" sqref="L32"/>
    </sheetView>
  </sheetViews>
  <sheetFormatPr defaultColWidth="9.1796875" defaultRowHeight="14.5" outlineLevelCol="1" x14ac:dyDescent="0.35"/>
  <cols>
    <col min="1" max="1" width="37.7265625" style="46" customWidth="1"/>
    <col min="2" max="2" width="12.26953125" style="46" bestFit="1" customWidth="1"/>
    <col min="3" max="3" width="12.453125" style="46" bestFit="1" customWidth="1"/>
    <col min="4" max="4" width="12.453125" style="46" hidden="1" customWidth="1" outlineLevel="1"/>
    <col min="5" max="5" width="15.453125" style="46" customWidth="1" collapsed="1"/>
    <col min="6" max="6" width="15.81640625" style="46" bestFit="1" customWidth="1"/>
    <col min="7" max="7" width="12.26953125" style="46" bestFit="1" customWidth="1"/>
    <col min="8" max="9" width="13.26953125" style="46" bestFit="1" customWidth="1"/>
    <col min="10" max="10" width="12.26953125" style="46" bestFit="1" customWidth="1"/>
    <col min="11" max="11" width="12.54296875" style="46" customWidth="1"/>
    <col min="12" max="12" width="12.81640625" style="46" customWidth="1"/>
    <col min="13" max="13" width="16" style="46" customWidth="1"/>
    <col min="14" max="14" width="15" style="46" bestFit="1" customWidth="1"/>
    <col min="15" max="15" width="16" style="46" bestFit="1" customWidth="1"/>
    <col min="16" max="16" width="15.26953125" style="46" hidden="1" customWidth="1" outlineLevel="1"/>
    <col min="17" max="17" width="17.453125" style="46" bestFit="1" customWidth="1" collapsed="1"/>
    <col min="18" max="18" width="16.26953125" style="46" bestFit="1" customWidth="1"/>
    <col min="19" max="19" width="15.26953125" style="46" bestFit="1" customWidth="1"/>
    <col min="20" max="20" width="12.453125" style="46" customWidth="1"/>
    <col min="21" max="22" width="14.26953125" style="46" bestFit="1" customWidth="1"/>
    <col min="23" max="16384" width="9.1796875" style="46"/>
  </cols>
  <sheetData>
    <row r="1" spans="1:35" x14ac:dyDescent="0.35">
      <c r="A1" s="3" t="str">
        <f>+'PPC Cycle 3'!A1</f>
        <v>Evergy Metro, Inc. - DSIM Rider Update Filed 12/01/2024</v>
      </c>
      <c r="B1" s="3"/>
      <c r="C1" s="3"/>
      <c r="D1" s="3"/>
    </row>
    <row r="2" spans="1:35" x14ac:dyDescent="0.35">
      <c r="E2" s="3" t="s">
        <v>139</v>
      </c>
    </row>
    <row r="3" spans="1:35" ht="29" x14ac:dyDescent="0.35">
      <c r="E3" s="48" t="s">
        <v>45</v>
      </c>
      <c r="F3" s="70" t="s">
        <v>57</v>
      </c>
      <c r="G3" s="48" t="s">
        <v>3</v>
      </c>
      <c r="H3" s="70" t="s">
        <v>54</v>
      </c>
      <c r="I3" s="48" t="s">
        <v>10</v>
      </c>
      <c r="J3" s="48" t="s">
        <v>58</v>
      </c>
      <c r="S3" s="48"/>
    </row>
    <row r="4" spans="1:35" x14ac:dyDescent="0.35">
      <c r="A4" s="20" t="s">
        <v>24</v>
      </c>
      <c r="B4" s="20"/>
      <c r="C4" s="20"/>
      <c r="D4" s="20"/>
      <c r="E4" s="22">
        <f>SUM(C19:M19)</f>
        <v>-32699.701099999998</v>
      </c>
      <c r="F4" s="22">
        <f>SUM(C26:L26)</f>
        <v>-12219.6</v>
      </c>
      <c r="G4" s="22">
        <f>F4-E4</f>
        <v>20480.1011</v>
      </c>
      <c r="H4" s="22">
        <f>+B42</f>
        <v>-43875.945960000012</v>
      </c>
      <c r="I4" s="22">
        <f>SUM(C50:L50)</f>
        <v>-1210.5700000000002</v>
      </c>
      <c r="J4" s="25">
        <f>SUM(G4:I4)</f>
        <v>-24606.414860000012</v>
      </c>
      <c r="K4" s="47">
        <f>+J4-M42</f>
        <v>0</v>
      </c>
      <c r="N4" s="47"/>
    </row>
    <row r="5" spans="1:35" ht="15" thickBot="1" x14ac:dyDescent="0.4">
      <c r="A5" s="20" t="s">
        <v>25</v>
      </c>
      <c r="B5" s="20"/>
      <c r="C5" s="20"/>
      <c r="D5" s="20"/>
      <c r="E5" s="22">
        <f>SUM(C20:M23)</f>
        <v>21834.5059</v>
      </c>
      <c r="F5" s="22">
        <f>SUM(C27:L30)</f>
        <v>-5013.41</v>
      </c>
      <c r="G5" s="22">
        <f>F5-E5</f>
        <v>-26847.9159</v>
      </c>
      <c r="H5" s="22">
        <f>SUM(B43:B46)</f>
        <v>35466.70532999975</v>
      </c>
      <c r="I5" s="22">
        <f>SUM(C51:L54)</f>
        <v>804.25000000000205</v>
      </c>
      <c r="J5" s="25">
        <f>SUM(G5:I5)</f>
        <v>9423.0394299997515</v>
      </c>
      <c r="K5" s="47">
        <f>+J5-SUM(M43:M46)</f>
        <v>-3.4560798667371273E-11</v>
      </c>
      <c r="N5" s="47"/>
    </row>
    <row r="6" spans="1:35" ht="15.5" thickTop="1" thickBot="1" x14ac:dyDescent="0.4">
      <c r="E6" s="27">
        <f t="shared" ref="E6:J6" si="0">SUM(E4:E5)</f>
        <v>-10865.195199999998</v>
      </c>
      <c r="F6" s="27">
        <f t="shared" si="0"/>
        <v>-17233.010000000002</v>
      </c>
      <c r="G6" s="27">
        <f t="shared" si="0"/>
        <v>-6367.8148000000001</v>
      </c>
      <c r="H6" s="27">
        <f t="shared" si="0"/>
        <v>-8409.2406300002622</v>
      </c>
      <c r="I6" s="27">
        <f t="shared" si="0"/>
        <v>-406.31999999999812</v>
      </c>
      <c r="J6" s="27">
        <f t="shared" si="0"/>
        <v>-15183.37543000026</v>
      </c>
      <c r="T6" s="5"/>
    </row>
    <row r="7" spans="1:35" ht="44" thickTop="1" x14ac:dyDescent="0.35">
      <c r="J7" s="222"/>
      <c r="K7" s="221" t="s">
        <v>120</v>
      </c>
    </row>
    <row r="8" spans="1:35" ht="17.25" customHeight="1" x14ac:dyDescent="0.35">
      <c r="A8" s="20" t="s">
        <v>104</v>
      </c>
      <c r="J8" s="25">
        <f>ROUND($J$5*K8,2)</f>
        <v>1279.31</v>
      </c>
      <c r="K8" s="219">
        <f>+'PCR Cycle 2'!L8</f>
        <v>0.13576441564001979</v>
      </c>
    </row>
    <row r="9" spans="1:35" ht="17.25" customHeight="1" x14ac:dyDescent="0.35">
      <c r="A9" s="20" t="s">
        <v>105</v>
      </c>
      <c r="J9" s="25">
        <f t="shared" ref="J9:J11" si="1">ROUND($J$5*K9,2)</f>
        <v>3355.69</v>
      </c>
      <c r="K9" s="219">
        <f>+'PCR Cycle 2'!L9</f>
        <v>0.35611574316442379</v>
      </c>
    </row>
    <row r="10" spans="1:35" ht="17.25" customHeight="1" x14ac:dyDescent="0.35">
      <c r="A10" s="20" t="s">
        <v>106</v>
      </c>
      <c r="J10" s="25">
        <f t="shared" si="1"/>
        <v>3941.83</v>
      </c>
      <c r="K10" s="219">
        <f>+'PCR Cycle 2'!L10</f>
        <v>0.4183185730547726</v>
      </c>
    </row>
    <row r="11" spans="1:35" ht="17.25" customHeight="1" thickBot="1" x14ac:dyDescent="0.4">
      <c r="A11" s="20" t="s">
        <v>107</v>
      </c>
      <c r="J11" s="25">
        <f t="shared" si="1"/>
        <v>846.2</v>
      </c>
      <c r="K11" s="219">
        <f>+'PCR Cycle 2'!L11</f>
        <v>8.9801268140783777E-2</v>
      </c>
    </row>
    <row r="12" spans="1:35" ht="17.25" customHeight="1" thickTop="1" thickBot="1" x14ac:dyDescent="0.4">
      <c r="A12" s="20" t="s">
        <v>109</v>
      </c>
      <c r="J12" s="27">
        <f>SUM(J8:J11)</f>
        <v>9423.0300000000007</v>
      </c>
      <c r="K12" s="220">
        <f>SUM(K8:K11)</f>
        <v>1</v>
      </c>
    </row>
    <row r="13" spans="1:35" ht="15.5" thickTop="1" thickBot="1" x14ac:dyDescent="0.4">
      <c r="V13" s="4"/>
      <c r="W13" s="5"/>
    </row>
    <row r="14" spans="1:35" ht="87.5" thickBot="1" x14ac:dyDescent="0.4">
      <c r="B14" s="114" t="str">
        <f>+'PCR Cycle 2'!B14</f>
        <v>Cumulative Over/Under Carryover From 06/01/2024 Filing</v>
      </c>
      <c r="C14" s="264" t="str">
        <f>+'PCR Cycle 2'!C14</f>
        <v>Reverse May 2024 - July 2024 Forecast From 06/01/2024 Filing</v>
      </c>
      <c r="D14" s="264"/>
      <c r="E14" s="382" t="s">
        <v>32</v>
      </c>
      <c r="F14" s="382"/>
      <c r="G14" s="383"/>
      <c r="H14" s="389" t="s">
        <v>32</v>
      </c>
      <c r="I14" s="390"/>
      <c r="J14" s="391"/>
      <c r="K14" s="378" t="s">
        <v>8</v>
      </c>
      <c r="L14" s="379"/>
      <c r="M14" s="380"/>
      <c r="P14" s="287" t="s">
        <v>236</v>
      </c>
    </row>
    <row r="15" spans="1:35" x14ac:dyDescent="0.35">
      <c r="A15" s="46" t="s">
        <v>84</v>
      </c>
      <c r="C15" s="104"/>
      <c r="D15" s="262"/>
      <c r="E15" s="19">
        <f>+'PCR Cycle 2'!E15</f>
        <v>45443</v>
      </c>
      <c r="F15" s="19">
        <f t="shared" ref="F15:M15" si="2">EOMONTH(E15,1)</f>
        <v>45473</v>
      </c>
      <c r="G15" s="19">
        <f t="shared" si="2"/>
        <v>45504</v>
      </c>
      <c r="H15" s="14">
        <f t="shared" si="2"/>
        <v>45535</v>
      </c>
      <c r="I15" s="19">
        <f t="shared" si="2"/>
        <v>45565</v>
      </c>
      <c r="J15" s="15">
        <f t="shared" si="2"/>
        <v>45596</v>
      </c>
      <c r="K15" s="19">
        <f t="shared" si="2"/>
        <v>45626</v>
      </c>
      <c r="L15" s="19">
        <f t="shared" si="2"/>
        <v>45657</v>
      </c>
      <c r="M15" s="15">
        <f t="shared" si="2"/>
        <v>45688</v>
      </c>
      <c r="P15" s="185"/>
      <c r="Z15" s="1"/>
      <c r="AA15" s="1"/>
      <c r="AB15" s="1"/>
      <c r="AC15" s="1"/>
      <c r="AD15" s="1"/>
      <c r="AE15" s="1"/>
      <c r="AF15" s="1"/>
      <c r="AG15" s="1"/>
      <c r="AH15" s="1"/>
      <c r="AI15" s="1"/>
    </row>
    <row r="16" spans="1:35" x14ac:dyDescent="0.35">
      <c r="A16" s="46" t="s">
        <v>5</v>
      </c>
      <c r="C16" s="97">
        <v>8297.4199999999983</v>
      </c>
      <c r="D16" s="97"/>
      <c r="E16" s="108">
        <f t="shared" ref="E16:L16" si="3">SUM(E26:E30)</f>
        <v>-4148.7099999999991</v>
      </c>
      <c r="F16" s="108">
        <f t="shared" si="3"/>
        <v>-4148.7099999999991</v>
      </c>
      <c r="G16" s="109">
        <f t="shared" si="3"/>
        <v>-4148.7099999999991</v>
      </c>
      <c r="H16" s="16">
        <f t="shared" si="3"/>
        <v>-2616.8599999999997</v>
      </c>
      <c r="I16" s="55">
        <f t="shared" si="3"/>
        <v>-2616.8599999999997</v>
      </c>
      <c r="J16" s="161">
        <f t="shared" si="3"/>
        <v>-2616.8599999999997</v>
      </c>
      <c r="K16" s="154">
        <f t="shared" si="3"/>
        <v>-2616.8599999999997</v>
      </c>
      <c r="L16" s="78">
        <f t="shared" si="3"/>
        <v>-2616.8599999999997</v>
      </c>
      <c r="M16" s="79"/>
      <c r="P16" s="185">
        <f>-SUM(K16:M16)</f>
        <v>5233.7199999999993</v>
      </c>
    </row>
    <row r="17" spans="1:18" x14ac:dyDescent="0.35">
      <c r="C17" s="99"/>
      <c r="D17" s="99"/>
      <c r="E17" s="17"/>
      <c r="F17" s="17"/>
      <c r="G17" s="17"/>
      <c r="H17" s="10"/>
      <c r="I17" s="17"/>
      <c r="J17" s="11"/>
      <c r="K17" s="31"/>
      <c r="L17" s="31"/>
      <c r="M17" s="29"/>
      <c r="P17" s="185"/>
    </row>
    <row r="18" spans="1:18" x14ac:dyDescent="0.35">
      <c r="A18" s="46" t="s">
        <v>85</v>
      </c>
      <c r="C18" s="99"/>
      <c r="D18" s="99"/>
      <c r="E18" s="18"/>
      <c r="F18" s="18"/>
      <c r="G18" s="18"/>
      <c r="H18" s="91"/>
      <c r="I18" s="18"/>
      <c r="J18" s="162"/>
      <c r="K18" s="31"/>
      <c r="L18" s="31"/>
      <c r="M18" s="29"/>
      <c r="N18" s="63" t="s">
        <v>49</v>
      </c>
      <c r="O18" s="39"/>
      <c r="P18" s="185"/>
    </row>
    <row r="19" spans="1:18" x14ac:dyDescent="0.35">
      <c r="A19" s="46" t="s">
        <v>24</v>
      </c>
      <c r="C19" s="97">
        <v>26294.334040000002</v>
      </c>
      <c r="D19" s="97"/>
      <c r="E19" s="131">
        <f>'[5]May 2024'!$G70</f>
        <v>-6139.3099999999995</v>
      </c>
      <c r="F19" s="131">
        <f>'[5]June 2024'!$G70</f>
        <v>-8434.44</v>
      </c>
      <c r="G19" s="131">
        <f>'[5]July 2024'!$G70</f>
        <v>-11887.46</v>
      </c>
      <c r="H19" s="182">
        <f>'[5]August 2024'!$G70</f>
        <v>-9833.23</v>
      </c>
      <c r="I19" s="117">
        <f>'[5]September 2024'!$G70</f>
        <v>-5164.26</v>
      </c>
      <c r="J19" s="163">
        <f>'[5]October 2024'!$G70</f>
        <v>-4038.9</v>
      </c>
      <c r="K19" s="119">
        <f>'PCR Cycle 2'!K27*$N19</f>
        <v>-3341.4857800000004</v>
      </c>
      <c r="L19" s="41">
        <f>'PCR Cycle 2'!L27*$N19</f>
        <v>-4781.3775400000004</v>
      </c>
      <c r="M19" s="61">
        <f>'PCR Cycle 2'!M27*$N19</f>
        <v>-5373.5718200000001</v>
      </c>
      <c r="N19" s="72">
        <v>-2.0000000000000002E-5</v>
      </c>
      <c r="O19" s="4"/>
      <c r="P19" s="185">
        <f t="shared" ref="P19:P23" si="4">-SUM(K19:M19)</f>
        <v>13496.435140000001</v>
      </c>
    </row>
    <row r="20" spans="1:18" x14ac:dyDescent="0.35">
      <c r="A20" s="46" t="s">
        <v>132</v>
      </c>
      <c r="C20" s="97">
        <v>1627.8724100000002</v>
      </c>
      <c r="D20" s="97"/>
      <c r="E20" s="131">
        <f>'[5]May 2024'!$G71</f>
        <v>-438.48</v>
      </c>
      <c r="F20" s="131">
        <f>'[5]June 2024'!$G71</f>
        <v>-538.62</v>
      </c>
      <c r="G20" s="131">
        <f>'[5]July 2024'!$G71</f>
        <v>-625.93000000000006</v>
      </c>
      <c r="H20" s="182">
        <f>'[5]August 2024'!$G71</f>
        <v>-433.28</v>
      </c>
      <c r="I20" s="117">
        <f>'[5]September 2024'!$G71</f>
        <v>-9.27</v>
      </c>
      <c r="J20" s="163">
        <f>'[5]October 2024'!$G71</f>
        <v>3.02</v>
      </c>
      <c r="K20" s="119">
        <f>'PCR Cycle 2'!K28*$N20</f>
        <v>0</v>
      </c>
      <c r="L20" s="41">
        <f>'PCR Cycle 2'!L28*$N20</f>
        <v>0</v>
      </c>
      <c r="M20" s="61">
        <f>'PCR Cycle 2'!M28*$N20</f>
        <v>0</v>
      </c>
      <c r="N20" s="72">
        <v>0</v>
      </c>
      <c r="O20" s="4"/>
      <c r="P20" s="185">
        <f t="shared" si="4"/>
        <v>0</v>
      </c>
    </row>
    <row r="21" spans="1:18" x14ac:dyDescent="0.35">
      <c r="A21" s="46" t="s">
        <v>133</v>
      </c>
      <c r="C21" s="97">
        <v>-5724.7017000000005</v>
      </c>
      <c r="D21" s="97"/>
      <c r="E21" s="131">
        <f>'[5]May 2024'!$G72</f>
        <v>1527.44</v>
      </c>
      <c r="F21" s="131">
        <f>'[5]June 2024'!$G72</f>
        <v>2065.7800000000002</v>
      </c>
      <c r="G21" s="131">
        <f>'[5]July 2024'!$G72</f>
        <v>2125.2199999999998</v>
      </c>
      <c r="H21" s="182">
        <f>'[5]August 2024'!$G72</f>
        <v>1788.41</v>
      </c>
      <c r="I21" s="117">
        <f>'[5]September 2024'!$G72</f>
        <v>954.36</v>
      </c>
      <c r="J21" s="163">
        <f>'[5]October 2024'!$G72</f>
        <v>972.67</v>
      </c>
      <c r="K21" s="119">
        <f>'PCR Cycle 2'!K29*$N21</f>
        <v>880.8219600000001</v>
      </c>
      <c r="L21" s="41">
        <f>'PCR Cycle 2'!L29*$N21</f>
        <v>965.34503000000007</v>
      </c>
      <c r="M21" s="61">
        <f>'PCR Cycle 2'!M29*$N21</f>
        <v>974.03870000000006</v>
      </c>
      <c r="N21" s="72">
        <v>1.0000000000000001E-5</v>
      </c>
      <c r="O21" s="4"/>
      <c r="P21" s="185">
        <f t="shared" si="4"/>
        <v>-2820.2056900000002</v>
      </c>
    </row>
    <row r="22" spans="1:18" x14ac:dyDescent="0.35">
      <c r="A22" s="46" t="s">
        <v>134</v>
      </c>
      <c r="C22" s="97">
        <v>-9100.395120000001</v>
      </c>
      <c r="D22" s="97"/>
      <c r="E22" s="131">
        <f>'[5]May 2024'!$G73</f>
        <v>2858.7400000000002</v>
      </c>
      <c r="F22" s="131">
        <f>'[5]June 2024'!$G73</f>
        <v>2918.99</v>
      </c>
      <c r="G22" s="131">
        <f>'[5]July 2024'!$G73</f>
        <v>3285.31</v>
      </c>
      <c r="H22" s="182">
        <f>'[5]August 2024'!$G73</f>
        <v>2760.25</v>
      </c>
      <c r="I22" s="117">
        <f>'[5]September 2024'!$G73</f>
        <v>1670.44</v>
      </c>
      <c r="J22" s="163">
        <f>'[5]October 2024'!$G73</f>
        <v>1557.45</v>
      </c>
      <c r="K22" s="119">
        <f>'PCR Cycle 2'!K30*$N22</f>
        <v>1427.85031</v>
      </c>
      <c r="L22" s="41">
        <f>'PCR Cycle 2'!L30*$N22</f>
        <v>1564.8658600000001</v>
      </c>
      <c r="M22" s="61">
        <f>'PCR Cycle 2'!M30*$N22</f>
        <v>1578.9586700000002</v>
      </c>
      <c r="N22" s="72">
        <v>1.0000000000000001E-5</v>
      </c>
      <c r="O22" s="4"/>
      <c r="P22" s="185">
        <f t="shared" si="4"/>
        <v>-4571.6748400000006</v>
      </c>
    </row>
    <row r="23" spans="1:18" x14ac:dyDescent="0.35">
      <c r="A23" s="46" t="s">
        <v>135</v>
      </c>
      <c r="C23" s="97">
        <v>-2417.7902600000002</v>
      </c>
      <c r="D23" s="97"/>
      <c r="E23" s="131">
        <f>'[5]May 2024'!$G74</f>
        <v>766.7</v>
      </c>
      <c r="F23" s="131">
        <f>'[5]June 2024'!$G74</f>
        <v>638.53</v>
      </c>
      <c r="G23" s="131">
        <f>'[5]July 2024'!$G74</f>
        <v>1014.83</v>
      </c>
      <c r="H23" s="182">
        <f>'[5]August 2024'!$G74</f>
        <v>871.28</v>
      </c>
      <c r="I23" s="117">
        <f>'[5]September 2024'!$G74</f>
        <v>754.73</v>
      </c>
      <c r="J23" s="163">
        <f>'[5]October 2024'!$G74</f>
        <v>999.16</v>
      </c>
      <c r="K23" s="119">
        <f>'PCR Cycle 2'!K31*$N23</f>
        <v>802.64826000000005</v>
      </c>
      <c r="L23" s="41">
        <f>'PCR Cycle 2'!L31*$N23</f>
        <v>879.66984000000002</v>
      </c>
      <c r="M23" s="61">
        <f>'PCR Cycle 2'!M31*$N23</f>
        <v>887.59194000000002</v>
      </c>
      <c r="N23" s="72">
        <v>2.0000000000000002E-5</v>
      </c>
      <c r="O23" s="4"/>
      <c r="P23" s="185">
        <f t="shared" si="4"/>
        <v>-2569.9100399999998</v>
      </c>
    </row>
    <row r="24" spans="1:18" x14ac:dyDescent="0.35">
      <c r="C24" s="67"/>
      <c r="D24" s="67"/>
      <c r="E24" s="68"/>
      <c r="F24" s="68"/>
      <c r="G24" s="68"/>
      <c r="H24" s="67"/>
      <c r="I24" s="68"/>
      <c r="J24" s="164"/>
      <c r="K24" s="56"/>
      <c r="L24" s="56"/>
      <c r="M24" s="13"/>
      <c r="O24" s="4"/>
    </row>
    <row r="25" spans="1:18" x14ac:dyDescent="0.35">
      <c r="A25" s="46" t="s">
        <v>86</v>
      </c>
      <c r="C25" s="36"/>
      <c r="D25" s="36"/>
      <c r="E25" s="37"/>
      <c r="F25" s="37"/>
      <c r="G25" s="37"/>
      <c r="H25" s="36"/>
      <c r="I25" s="37"/>
      <c r="J25" s="167"/>
      <c r="K25" s="52"/>
      <c r="L25" s="52"/>
      <c r="M25" s="38"/>
    </row>
    <row r="26" spans="1:18" x14ac:dyDescent="0.35">
      <c r="A26" s="46" t="s">
        <v>24</v>
      </c>
      <c r="C26" s="97">
        <v>6344.9</v>
      </c>
      <c r="D26" s="97"/>
      <c r="E26" s="108">
        <f>ROUND(+'EO Cycle 2'!$F$65/24+'EO Cycle 2'!$F$76/24+'EO Cycle 2'!$F$87/24,2)</f>
        <v>-3172.45</v>
      </c>
      <c r="F26" s="108">
        <f>ROUND(+'EO Cycle 2'!$F$65/24+'EO Cycle 2'!$F$76/24+'EO Cycle 2'!$F$87/24,2)</f>
        <v>-3172.45</v>
      </c>
      <c r="G26" s="108">
        <f>ROUND(+'EO Cycle 2'!$F$65/24+'EO Cycle 2'!$F$76/24+'EO Cycle 2'!$F$87/24,2)</f>
        <v>-3172.45</v>
      </c>
      <c r="H26" s="288">
        <f>ROUND(+'EO Cycle 2'!$F$76/24+'EO Cycle 2'!$F$87/24,2)</f>
        <v>-1809.43</v>
      </c>
      <c r="I26" s="117">
        <f>ROUND(+'EO Cycle 2'!$F$76/24+'EO Cycle 2'!$F$87/24,2)</f>
        <v>-1809.43</v>
      </c>
      <c r="J26" s="163">
        <f>ROUND(+'EO Cycle 2'!$F$76/24+'EO Cycle 2'!$F$87/24,2)</f>
        <v>-1809.43</v>
      </c>
      <c r="K26" s="138">
        <f>ROUND(+'EO Cycle 2'!$F$76/24+'EO Cycle 2'!$F$87/24,2)</f>
        <v>-1809.43</v>
      </c>
      <c r="L26" s="138">
        <f>ROUND(+'EO Cycle 2'!$F$76/24+'EO Cycle 2'!$F$87/24,2)</f>
        <v>-1809.43</v>
      </c>
      <c r="M26" s="79"/>
      <c r="P26" s="185">
        <f t="shared" ref="P26:P32" si="5">-SUM(K26:M26)</f>
        <v>3618.86</v>
      </c>
    </row>
    <row r="27" spans="1:18" x14ac:dyDescent="0.35">
      <c r="A27" s="46" t="s">
        <v>132</v>
      </c>
      <c r="C27" s="97">
        <v>2098.08</v>
      </c>
      <c r="D27" s="97"/>
      <c r="E27" s="108">
        <f>ROUND(+'EO Cycle 2'!$F69/24+'EO Cycle 2'!$F80/24+'EO Cycle 2'!$F91/24,2)</f>
        <v>-1049.04</v>
      </c>
      <c r="F27" s="108">
        <f>ROUND(+'EO Cycle 2'!$F69/24+'EO Cycle 2'!$F80/24+'EO Cycle 2'!$F91/24,2)</f>
        <v>-1049.04</v>
      </c>
      <c r="G27" s="108">
        <f>ROUND(+'EO Cycle 2'!$F69/24+'EO Cycle 2'!$F80/24+'EO Cycle 2'!$F91/24,2)</f>
        <v>-1049.04</v>
      </c>
      <c r="H27" s="288">
        <f>ROUND(+'EO Cycle 2'!$F80/24+'EO Cycle 2'!$F91/24,2)</f>
        <v>-739.78</v>
      </c>
      <c r="I27" s="117">
        <f>ROUND(+'EO Cycle 2'!$F80/24+'EO Cycle 2'!$F91/24,2)</f>
        <v>-739.78</v>
      </c>
      <c r="J27" s="163">
        <f>ROUND(+'EO Cycle 2'!$F80/24+'EO Cycle 2'!$F91/24,2)</f>
        <v>-739.78</v>
      </c>
      <c r="K27" s="138">
        <f>ROUND(+'EO Cycle 2'!$F80/24+'EO Cycle 2'!$F91/24,2)</f>
        <v>-739.78</v>
      </c>
      <c r="L27" s="138">
        <f>ROUND(+'EO Cycle 2'!$F80/24+'EO Cycle 2'!$F91/24,2)</f>
        <v>-739.78</v>
      </c>
      <c r="M27" s="79"/>
      <c r="P27" s="185">
        <f t="shared" si="5"/>
        <v>1479.56</v>
      </c>
    </row>
    <row r="28" spans="1:18" x14ac:dyDescent="0.35">
      <c r="A28" s="46" t="s">
        <v>133</v>
      </c>
      <c r="C28" s="97">
        <v>-134.28</v>
      </c>
      <c r="D28" s="97"/>
      <c r="E28" s="108">
        <f>ROUND(+'EO Cycle 2'!$F70/24+'EO Cycle 2'!$F81/24+'EO Cycle 2'!$F92/24,2)</f>
        <v>67.14</v>
      </c>
      <c r="F28" s="108">
        <f>ROUND(+'EO Cycle 2'!$F70/24+'EO Cycle 2'!$F81/24+'EO Cycle 2'!$F92/24,2)</f>
        <v>67.14</v>
      </c>
      <c r="G28" s="108">
        <f>ROUND(+'EO Cycle 2'!$F70/24+'EO Cycle 2'!$F81/24+'EO Cycle 2'!$F92/24,2)</f>
        <v>67.14</v>
      </c>
      <c r="H28" s="288">
        <f>ROUND(+'EO Cycle 2'!$F81/24+'EO Cycle 2'!$F92/24,2)</f>
        <v>-11</v>
      </c>
      <c r="I28" s="117">
        <f>ROUND(+'EO Cycle 2'!$F81/24+'EO Cycle 2'!$F92/24,2)</f>
        <v>-11</v>
      </c>
      <c r="J28" s="163">
        <f>ROUND(+'EO Cycle 2'!$F81/24+'EO Cycle 2'!$F92/24,2)</f>
        <v>-11</v>
      </c>
      <c r="K28" s="138">
        <f>ROUND(+'EO Cycle 2'!$F81/24+'EO Cycle 2'!$F92/24,2)</f>
        <v>-11</v>
      </c>
      <c r="L28" s="138">
        <f>ROUND(+'EO Cycle 2'!$F81/24+'EO Cycle 2'!$F92/24,2)</f>
        <v>-11</v>
      </c>
      <c r="M28" s="79"/>
      <c r="P28" s="185">
        <f t="shared" si="5"/>
        <v>22</v>
      </c>
    </row>
    <row r="29" spans="1:18" x14ac:dyDescent="0.35">
      <c r="A29" s="46" t="s">
        <v>134</v>
      </c>
      <c r="C29" s="97">
        <v>828.08</v>
      </c>
      <c r="D29" s="97"/>
      <c r="E29" s="108">
        <f>ROUND(+'EO Cycle 2'!$F71/24+'EO Cycle 2'!$F82/24+'EO Cycle 2'!$F93/24,2)</f>
        <v>-414.04</v>
      </c>
      <c r="F29" s="108">
        <f>ROUND(+'EO Cycle 2'!$F71/24+'EO Cycle 2'!$F82/24+'EO Cycle 2'!$F93/24,2)</f>
        <v>-414.04</v>
      </c>
      <c r="G29" s="108">
        <f>ROUND(+'EO Cycle 2'!$F71/24+'EO Cycle 2'!$F82/24+'EO Cycle 2'!$F93/24,2)</f>
        <v>-414.04</v>
      </c>
      <c r="H29" s="288">
        <f>ROUND(+'EO Cycle 2'!$F82/24+'EO Cycle 2'!$F93/24,2)</f>
        <v>-345.43</v>
      </c>
      <c r="I29" s="117">
        <f>ROUND(+'EO Cycle 2'!$F82/24+'EO Cycle 2'!$F93/24,2)</f>
        <v>-345.43</v>
      </c>
      <c r="J29" s="163">
        <f>ROUND(+'EO Cycle 2'!$F82/24+'EO Cycle 2'!$F93/24,2)</f>
        <v>-345.43</v>
      </c>
      <c r="K29" s="138">
        <f>ROUND(+'EO Cycle 2'!$F82/24+'EO Cycle 2'!$F93/24,2)</f>
        <v>-345.43</v>
      </c>
      <c r="L29" s="138">
        <f>ROUND(+'EO Cycle 2'!$F82/24+'EO Cycle 2'!$F93/24,2)</f>
        <v>-345.43</v>
      </c>
      <c r="M29" s="79"/>
      <c r="P29" s="185">
        <f t="shared" si="5"/>
        <v>690.86</v>
      </c>
    </row>
    <row r="30" spans="1:18" x14ac:dyDescent="0.35">
      <c r="A30" s="46" t="s">
        <v>135</v>
      </c>
      <c r="C30" s="97">
        <v>-839.36</v>
      </c>
      <c r="D30" s="97"/>
      <c r="E30" s="108">
        <f>ROUND(+'EO Cycle 2'!$F72/24+'EO Cycle 2'!$F83/24+'EO Cycle 2'!$F94/24,2)</f>
        <v>419.68</v>
      </c>
      <c r="F30" s="108">
        <f>ROUND(+'EO Cycle 2'!$F72/24+'EO Cycle 2'!$F83/24+'EO Cycle 2'!$F94/24,2)</f>
        <v>419.68</v>
      </c>
      <c r="G30" s="108">
        <f>ROUND(+'EO Cycle 2'!$F72/24+'EO Cycle 2'!$F83/24+'EO Cycle 2'!$F94/24,2)</f>
        <v>419.68</v>
      </c>
      <c r="H30" s="288">
        <f>ROUND(+'EO Cycle 2'!$F83/24+'EO Cycle 2'!$F94/24,2)</f>
        <v>288.77999999999997</v>
      </c>
      <c r="I30" s="117">
        <f>ROUND(+'EO Cycle 2'!$F83/24+'EO Cycle 2'!$F94/24,2)</f>
        <v>288.77999999999997</v>
      </c>
      <c r="J30" s="163">
        <f>ROUND(+'EO Cycle 2'!$F83/24+'EO Cycle 2'!$F94/24,2)</f>
        <v>288.77999999999997</v>
      </c>
      <c r="K30" s="138">
        <f>ROUND(+'EO Cycle 2'!$F83/24+'EO Cycle 2'!$F94/24,2)</f>
        <v>288.77999999999997</v>
      </c>
      <c r="L30" s="138">
        <f>ROUND(+'EO Cycle 2'!$F83/24+'EO Cycle 2'!$F94/24,2)</f>
        <v>288.77999999999997</v>
      </c>
      <c r="M30" s="79"/>
      <c r="O30" s="47"/>
      <c r="P30" s="185">
        <f t="shared" si="5"/>
        <v>-577.55999999999995</v>
      </c>
    </row>
    <row r="31" spans="1:18" x14ac:dyDescent="0.35">
      <c r="C31" s="99"/>
      <c r="D31" s="99"/>
      <c r="E31" s="18"/>
      <c r="F31" s="18"/>
      <c r="G31" s="18"/>
      <c r="H31" s="91"/>
      <c r="I31" s="18"/>
      <c r="J31" s="162"/>
      <c r="K31" s="56"/>
      <c r="L31" s="56"/>
      <c r="M31" s="13"/>
    </row>
    <row r="32" spans="1:18" ht="15" thickBot="1" x14ac:dyDescent="0.4">
      <c r="A32" s="3" t="s">
        <v>14</v>
      </c>
      <c r="B32" s="3"/>
      <c r="C32" s="102">
        <v>140.55000000000001</v>
      </c>
      <c r="D32" s="102"/>
      <c r="E32" s="131">
        <f>-65.55+0.01</f>
        <v>-65.539999999999992</v>
      </c>
      <c r="F32" s="131">
        <f>-75.67+0.02</f>
        <v>-75.650000000000006</v>
      </c>
      <c r="G32" s="132">
        <v>-72.980000000000018</v>
      </c>
      <c r="H32" s="26">
        <f>-61.65-0.02</f>
        <v>-61.67</v>
      </c>
      <c r="I32" s="118">
        <f>-55.49+0.02</f>
        <v>-55.47</v>
      </c>
      <c r="J32" s="168">
        <f>-61.01-0.02</f>
        <v>-61.03</v>
      </c>
      <c r="K32" s="157">
        <f>ROUND((SUM(J42:J46)+SUM(J50:J54)+SUM(K35:K39)/2)*K$48,2)+0.01</f>
        <v>-72.55</v>
      </c>
      <c r="L32" s="140">
        <f>ROUND((SUM(K42:K46)+SUM(K50:K54)+SUM(L35:L39)/2)*L$48,2)+0.01</f>
        <v>-81.99</v>
      </c>
      <c r="M32" s="82"/>
      <c r="P32" s="185">
        <f t="shared" si="5"/>
        <v>154.54</v>
      </c>
      <c r="R32" s="333"/>
    </row>
    <row r="33" spans="1:16" x14ac:dyDescent="0.35">
      <c r="C33" s="64"/>
      <c r="D33" s="64"/>
      <c r="E33" s="144"/>
      <c r="F33" s="144"/>
      <c r="G33" s="145"/>
      <c r="H33" s="64"/>
      <c r="I33" s="33"/>
      <c r="J33" s="169"/>
      <c r="K33" s="34"/>
      <c r="L33" s="34"/>
      <c r="M33" s="60"/>
    </row>
    <row r="34" spans="1:16" x14ac:dyDescent="0.35">
      <c r="A34" s="46" t="s">
        <v>51</v>
      </c>
      <c r="C34" s="65"/>
      <c r="D34" s="65"/>
      <c r="E34" s="145"/>
      <c r="F34" s="145"/>
      <c r="G34" s="145"/>
      <c r="H34" s="65"/>
      <c r="I34" s="35"/>
      <c r="J34" s="170"/>
      <c r="K34" s="34"/>
      <c r="L34" s="34"/>
      <c r="M34" s="60"/>
    </row>
    <row r="35" spans="1:16" x14ac:dyDescent="0.35">
      <c r="A35" s="46" t="s">
        <v>24</v>
      </c>
      <c r="C35" s="100">
        <f t="shared" ref="C35:M35" si="6">C26-C19</f>
        <v>-19949.43404</v>
      </c>
      <c r="D35" s="100"/>
      <c r="E35" s="41">
        <f t="shared" si="6"/>
        <v>2966.8599999999997</v>
      </c>
      <c r="F35" s="41">
        <f t="shared" si="6"/>
        <v>5261.9900000000007</v>
      </c>
      <c r="G35" s="107">
        <f t="shared" si="6"/>
        <v>8715.0099999999984</v>
      </c>
      <c r="H35" s="40">
        <f t="shared" si="6"/>
        <v>8023.7999999999993</v>
      </c>
      <c r="I35" s="41">
        <f t="shared" si="6"/>
        <v>3354.83</v>
      </c>
      <c r="J35" s="61">
        <f t="shared" si="6"/>
        <v>2229.4700000000003</v>
      </c>
      <c r="K35" s="119">
        <f t="shared" si="6"/>
        <v>1532.0557800000004</v>
      </c>
      <c r="L35" s="41">
        <f t="shared" si="6"/>
        <v>2971.9475400000001</v>
      </c>
      <c r="M35" s="61">
        <f t="shared" si="6"/>
        <v>5373.5718200000001</v>
      </c>
    </row>
    <row r="36" spans="1:16" x14ac:dyDescent="0.35">
      <c r="A36" s="46" t="s">
        <v>132</v>
      </c>
      <c r="C36" s="100">
        <f t="shared" ref="C36:M36" si="7">C27-C20</f>
        <v>470.20758999999975</v>
      </c>
      <c r="D36" s="100"/>
      <c r="E36" s="41">
        <f t="shared" si="7"/>
        <v>-610.55999999999995</v>
      </c>
      <c r="F36" s="41">
        <f t="shared" si="7"/>
        <v>-510.41999999999996</v>
      </c>
      <c r="G36" s="107">
        <f t="shared" si="7"/>
        <v>-423.1099999999999</v>
      </c>
      <c r="H36" s="40">
        <f t="shared" si="7"/>
        <v>-306.5</v>
      </c>
      <c r="I36" s="41">
        <f t="shared" si="7"/>
        <v>-730.51</v>
      </c>
      <c r="J36" s="61">
        <f t="shared" si="7"/>
        <v>-742.8</v>
      </c>
      <c r="K36" s="119">
        <f t="shared" si="7"/>
        <v>-739.78</v>
      </c>
      <c r="L36" s="41">
        <f t="shared" si="7"/>
        <v>-739.78</v>
      </c>
      <c r="M36" s="61">
        <f t="shared" si="7"/>
        <v>0</v>
      </c>
    </row>
    <row r="37" spans="1:16" x14ac:dyDescent="0.35">
      <c r="A37" s="46" t="s">
        <v>133</v>
      </c>
      <c r="C37" s="100">
        <f t="shared" ref="C37:M37" si="8">C28-C21</f>
        <v>5590.4217000000008</v>
      </c>
      <c r="D37" s="100"/>
      <c r="E37" s="41">
        <f t="shared" si="8"/>
        <v>-1460.3</v>
      </c>
      <c r="F37" s="41">
        <f t="shared" si="8"/>
        <v>-1998.64</v>
      </c>
      <c r="G37" s="107">
        <f t="shared" si="8"/>
        <v>-2058.08</v>
      </c>
      <c r="H37" s="40">
        <f t="shared" si="8"/>
        <v>-1799.41</v>
      </c>
      <c r="I37" s="41">
        <f t="shared" si="8"/>
        <v>-965.36</v>
      </c>
      <c r="J37" s="61">
        <f t="shared" si="8"/>
        <v>-983.67</v>
      </c>
      <c r="K37" s="119">
        <f t="shared" si="8"/>
        <v>-891.8219600000001</v>
      </c>
      <c r="L37" s="41">
        <f t="shared" si="8"/>
        <v>-976.34503000000007</v>
      </c>
      <c r="M37" s="61">
        <f t="shared" si="8"/>
        <v>-974.03870000000006</v>
      </c>
    </row>
    <row r="38" spans="1:16" x14ac:dyDescent="0.35">
      <c r="A38" s="46" t="s">
        <v>134</v>
      </c>
      <c r="C38" s="100">
        <f t="shared" ref="C38:M38" si="9">C29-C22</f>
        <v>9928.475120000001</v>
      </c>
      <c r="D38" s="100"/>
      <c r="E38" s="41">
        <f t="shared" si="9"/>
        <v>-3272.78</v>
      </c>
      <c r="F38" s="41">
        <f t="shared" si="9"/>
        <v>-3333.0299999999997</v>
      </c>
      <c r="G38" s="107">
        <f t="shared" si="9"/>
        <v>-3699.35</v>
      </c>
      <c r="H38" s="40">
        <f t="shared" si="9"/>
        <v>-3105.68</v>
      </c>
      <c r="I38" s="41">
        <f t="shared" si="9"/>
        <v>-2015.8700000000001</v>
      </c>
      <c r="J38" s="61">
        <f t="shared" si="9"/>
        <v>-1902.88</v>
      </c>
      <c r="K38" s="119">
        <f t="shared" si="9"/>
        <v>-1773.2803100000001</v>
      </c>
      <c r="L38" s="41">
        <f t="shared" si="9"/>
        <v>-1910.2958600000002</v>
      </c>
      <c r="M38" s="61">
        <f t="shared" si="9"/>
        <v>-1578.9586700000002</v>
      </c>
    </row>
    <row r="39" spans="1:16" x14ac:dyDescent="0.35">
      <c r="A39" s="46" t="s">
        <v>135</v>
      </c>
      <c r="C39" s="100">
        <f t="shared" ref="C39:M39" si="10">C30-C23</f>
        <v>1578.4302600000001</v>
      </c>
      <c r="D39" s="100"/>
      <c r="E39" s="41">
        <f t="shared" si="10"/>
        <v>-347.02000000000004</v>
      </c>
      <c r="F39" s="41">
        <f t="shared" si="10"/>
        <v>-218.84999999999997</v>
      </c>
      <c r="G39" s="107">
        <f t="shared" si="10"/>
        <v>-595.15000000000009</v>
      </c>
      <c r="H39" s="40">
        <f t="shared" si="10"/>
        <v>-582.5</v>
      </c>
      <c r="I39" s="41">
        <f t="shared" si="10"/>
        <v>-465.95000000000005</v>
      </c>
      <c r="J39" s="61">
        <f t="shared" si="10"/>
        <v>-710.38</v>
      </c>
      <c r="K39" s="119">
        <f t="shared" si="10"/>
        <v>-513.86826000000008</v>
      </c>
      <c r="L39" s="41">
        <f t="shared" si="10"/>
        <v>-590.88984000000005</v>
      </c>
      <c r="M39" s="61">
        <f t="shared" si="10"/>
        <v>-887.59194000000002</v>
      </c>
    </row>
    <row r="40" spans="1:16" x14ac:dyDescent="0.35">
      <c r="C40" s="99"/>
      <c r="D40" s="99"/>
      <c r="E40" s="17"/>
      <c r="F40" s="17"/>
      <c r="G40" s="17"/>
      <c r="H40" s="10"/>
      <c r="I40" s="17"/>
      <c r="J40" s="11"/>
      <c r="K40" s="17"/>
      <c r="L40" s="17"/>
      <c r="M40" s="11"/>
    </row>
    <row r="41" spans="1:16" x14ac:dyDescent="0.35">
      <c r="A41" s="46" t="s">
        <v>52</v>
      </c>
      <c r="C41" s="99"/>
      <c r="D41" s="99"/>
      <c r="E41" s="17"/>
      <c r="F41" s="17"/>
      <c r="G41" s="17"/>
      <c r="H41" s="10"/>
      <c r="I41" s="17"/>
      <c r="J41" s="11"/>
      <c r="K41" s="17"/>
      <c r="L41" s="17"/>
      <c r="M41" s="11"/>
    </row>
    <row r="42" spans="1:16" x14ac:dyDescent="0.35">
      <c r="A42" s="46" t="s">
        <v>24</v>
      </c>
      <c r="B42" s="300">
        <v>-43875.945960000012</v>
      </c>
      <c r="C42" s="100">
        <f>B42+C35+B50</f>
        <v>-63825.380000000012</v>
      </c>
      <c r="D42" s="100"/>
      <c r="E42" s="41">
        <f>C42+E35+C50+D50</f>
        <v>-60206.660000000011</v>
      </c>
      <c r="F42" s="41">
        <f t="shared" ref="F42:M42" si="11">E42+F35+E50</f>
        <v>-55281.280000000013</v>
      </c>
      <c r="G42" s="107">
        <f t="shared" si="11"/>
        <v>-46882.860000000015</v>
      </c>
      <c r="H42" s="40">
        <f t="shared" si="11"/>
        <v>-39139.280000000013</v>
      </c>
      <c r="I42" s="41">
        <f t="shared" si="11"/>
        <v>-36019.220000000008</v>
      </c>
      <c r="J42" s="61">
        <f t="shared" si="11"/>
        <v>-33985.350000000006</v>
      </c>
      <c r="K42" s="119">
        <f t="shared" si="11"/>
        <v>-32628.664220000006</v>
      </c>
      <c r="L42" s="41">
        <f t="shared" si="11"/>
        <v>-29823.556680000005</v>
      </c>
      <c r="M42" s="61">
        <f t="shared" si="11"/>
        <v>-24606.414860000004</v>
      </c>
      <c r="P42" s="185"/>
    </row>
    <row r="43" spans="1:16" x14ac:dyDescent="0.35">
      <c r="A43" s="46" t="s">
        <v>132</v>
      </c>
      <c r="B43" s="300">
        <v>-202162.78759000014</v>
      </c>
      <c r="C43" s="100">
        <f t="shared" ref="C43:M43" si="12">B43+C36+B51</f>
        <v>-201692.58000000013</v>
      </c>
      <c r="D43" s="100"/>
      <c r="E43" s="41">
        <f t="shared" ref="E43:E46" si="13">C43+E36+C51+D51</f>
        <v>-200115.50000000012</v>
      </c>
      <c r="F43" s="41">
        <f t="shared" si="12"/>
        <v>-201716.18000000014</v>
      </c>
      <c r="G43" s="107">
        <f t="shared" si="12"/>
        <v>-203240.63000000012</v>
      </c>
      <c r="H43" s="40">
        <f t="shared" si="12"/>
        <v>-204657.46000000011</v>
      </c>
      <c r="I43" s="41">
        <f t="shared" si="12"/>
        <v>-206500.60000000012</v>
      </c>
      <c r="J43" s="61">
        <f t="shared" si="12"/>
        <v>-208313.0100000001</v>
      </c>
      <c r="K43" s="119">
        <f t="shared" si="12"/>
        <v>-210091.7000000001</v>
      </c>
      <c r="L43" s="41">
        <f t="shared" si="12"/>
        <v>-211879.28000000009</v>
      </c>
      <c r="M43" s="61">
        <f t="shared" si="12"/>
        <v>-212936.0100000001</v>
      </c>
      <c r="P43" s="185"/>
    </row>
    <row r="44" spans="1:16" x14ac:dyDescent="0.35">
      <c r="A44" s="46" t="s">
        <v>133</v>
      </c>
      <c r="B44" s="300">
        <v>118887.81829999984</v>
      </c>
      <c r="C44" s="100">
        <f t="shared" ref="C44:M44" si="14">B44+C37+B52</f>
        <v>124478.23999999985</v>
      </c>
      <c r="D44" s="100"/>
      <c r="E44" s="41">
        <f t="shared" si="13"/>
        <v>121689.72999999984</v>
      </c>
      <c r="F44" s="41">
        <f t="shared" si="14"/>
        <v>120359.06999999983</v>
      </c>
      <c r="G44" s="107">
        <f t="shared" si="14"/>
        <v>118964.42999999983</v>
      </c>
      <c r="H44" s="40">
        <f t="shared" si="14"/>
        <v>117821.23999999983</v>
      </c>
      <c r="I44" s="41">
        <f t="shared" si="14"/>
        <v>117501.78999999983</v>
      </c>
      <c r="J44" s="61">
        <f t="shared" si="14"/>
        <v>117130.32999999984</v>
      </c>
      <c r="K44" s="119">
        <f t="shared" si="14"/>
        <v>116826.16803999984</v>
      </c>
      <c r="L44" s="41">
        <f t="shared" si="14"/>
        <v>116435.73300999985</v>
      </c>
      <c r="M44" s="61">
        <f t="shared" si="14"/>
        <v>116045.86430999984</v>
      </c>
      <c r="P44" s="185"/>
    </row>
    <row r="45" spans="1:16" x14ac:dyDescent="0.35">
      <c r="A45" s="46" t="s">
        <v>134</v>
      </c>
      <c r="B45" s="300">
        <v>10875.284880000079</v>
      </c>
      <c r="C45" s="100">
        <f t="shared" ref="C45:M45" si="15">B45+C38+B53</f>
        <v>20803.760000000082</v>
      </c>
      <c r="D45" s="100"/>
      <c r="E45" s="41">
        <f t="shared" si="13"/>
        <v>17340.620000000083</v>
      </c>
      <c r="F45" s="41">
        <f t="shared" si="15"/>
        <v>14111.140000000083</v>
      </c>
      <c r="G45" s="107">
        <f t="shared" si="15"/>
        <v>10498.040000000083</v>
      </c>
      <c r="H45" s="40">
        <f t="shared" si="15"/>
        <v>7459.8900000000822</v>
      </c>
      <c r="I45" s="41">
        <f t="shared" si="15"/>
        <v>5493.050000000082</v>
      </c>
      <c r="J45" s="61">
        <f t="shared" si="15"/>
        <v>3623.9000000000819</v>
      </c>
      <c r="K45" s="119">
        <f t="shared" si="15"/>
        <v>1873.4796900000817</v>
      </c>
      <c r="L45" s="41">
        <f t="shared" si="15"/>
        <v>-23.02616999991843</v>
      </c>
      <c r="M45" s="61">
        <f t="shared" si="15"/>
        <v>-1597.3248399999186</v>
      </c>
      <c r="P45" s="185"/>
    </row>
    <row r="46" spans="1:16" x14ac:dyDescent="0.35">
      <c r="A46" s="46" t="s">
        <v>135</v>
      </c>
      <c r="B46" s="300">
        <v>107866.38973999997</v>
      </c>
      <c r="C46" s="100">
        <f>B46+C39+B54</f>
        <v>109444.81999999996</v>
      </c>
      <c r="D46" s="100"/>
      <c r="E46" s="41">
        <f t="shared" si="13"/>
        <v>107917.42999999996</v>
      </c>
      <c r="F46" s="41">
        <f t="shared" ref="F46:M46" si="16">E46+F39+E54</f>
        <v>108288.37999999996</v>
      </c>
      <c r="G46" s="107">
        <f t="shared" si="16"/>
        <v>108285.81999999996</v>
      </c>
      <c r="H46" s="40">
        <f t="shared" si="16"/>
        <v>108297.13999999997</v>
      </c>
      <c r="I46" s="41">
        <f t="shared" si="16"/>
        <v>108421.97999999997</v>
      </c>
      <c r="J46" s="61">
        <f t="shared" si="16"/>
        <v>108275.39999999997</v>
      </c>
      <c r="K46" s="119">
        <f t="shared" si="16"/>
        <v>108304.26173999996</v>
      </c>
      <c r="L46" s="41">
        <f t="shared" si="16"/>
        <v>108255.76189999995</v>
      </c>
      <c r="M46" s="61">
        <f t="shared" si="16"/>
        <v>107910.50995999995</v>
      </c>
      <c r="P46" s="185"/>
    </row>
    <row r="47" spans="1:16" x14ac:dyDescent="0.35">
      <c r="C47" s="99"/>
      <c r="D47" s="99"/>
      <c r="E47" s="17"/>
      <c r="F47" s="17"/>
      <c r="G47" s="17"/>
      <c r="H47" s="10"/>
      <c r="I47" s="17"/>
      <c r="J47" s="11"/>
      <c r="K47" s="17"/>
      <c r="L47" s="17"/>
      <c r="M47" s="11"/>
    </row>
    <row r="48" spans="1:16" x14ac:dyDescent="0.35">
      <c r="A48" s="39" t="s">
        <v>48</v>
      </c>
      <c r="B48" s="39"/>
      <c r="C48" s="103"/>
      <c r="D48" s="103"/>
      <c r="E48" s="83">
        <f>+'PCR Cycle 2'!E50</f>
        <v>5.4564799999999997E-3</v>
      </c>
      <c r="F48" s="83">
        <f>+'PCR Cycle 2'!F50</f>
        <v>5.4667700000000001E-3</v>
      </c>
      <c r="G48" s="83">
        <f>+'PCR Cycle 2'!G50</f>
        <v>5.46883E-3</v>
      </c>
      <c r="H48" s="84">
        <f>+'PCR Cycle 2'!H50</f>
        <v>5.4406000000000003E-3</v>
      </c>
      <c r="I48" s="83">
        <f>+'PCR Cycle 2'!I50</f>
        <v>5.1888699999999999E-3</v>
      </c>
      <c r="J48" s="92">
        <f>+'PCR Cycle 2'!J50</f>
        <v>4.9961500000000004E-3</v>
      </c>
      <c r="K48" s="83">
        <f>+'PCR Cycle 2'!K50</f>
        <v>4.9961500000000004E-3</v>
      </c>
      <c r="L48" s="83">
        <f>+'PCR Cycle 2'!L50</f>
        <v>4.9961500000000004E-3</v>
      </c>
      <c r="M48" s="85"/>
    </row>
    <row r="49" spans="1:18" x14ac:dyDescent="0.35">
      <c r="A49" s="39" t="s">
        <v>36</v>
      </c>
      <c r="B49" s="39"/>
      <c r="C49" s="105"/>
      <c r="D49" s="105"/>
      <c r="E49" s="83"/>
      <c r="F49" s="83"/>
      <c r="G49" s="83"/>
      <c r="H49" s="84"/>
      <c r="I49" s="83"/>
      <c r="J49" s="85"/>
      <c r="K49" s="83"/>
      <c r="L49" s="83"/>
      <c r="M49" s="85"/>
    </row>
    <row r="50" spans="1:18" x14ac:dyDescent="0.35">
      <c r="A50" s="46" t="s">
        <v>24</v>
      </c>
      <c r="C50" s="301">
        <v>651.86</v>
      </c>
      <c r="D50" s="100"/>
      <c r="E50" s="41">
        <f>ROUND((C42+C50+D50+E35/2)*E$48,2)</f>
        <v>-336.61</v>
      </c>
      <c r="F50" s="41">
        <f t="shared" ref="F50:M50" si="17">ROUND((E42+E50+F35/2)*F$48,2)</f>
        <v>-316.58999999999997</v>
      </c>
      <c r="G50" s="107">
        <f t="shared" si="17"/>
        <v>-280.22000000000003</v>
      </c>
      <c r="H50" s="40">
        <f t="shared" si="17"/>
        <v>-234.77</v>
      </c>
      <c r="I50" s="119">
        <f t="shared" si="17"/>
        <v>-195.6</v>
      </c>
      <c r="J50" s="49">
        <f t="shared" si="17"/>
        <v>-175.37</v>
      </c>
      <c r="K50" s="158">
        <f t="shared" si="17"/>
        <v>-166.84</v>
      </c>
      <c r="L50" s="107">
        <f t="shared" si="17"/>
        <v>-156.43</v>
      </c>
      <c r="M50" s="61">
        <f t="shared" si="17"/>
        <v>0</v>
      </c>
      <c r="P50" s="185">
        <f t="shared" ref="P50:P54" si="18">-SUM(K50:M50)</f>
        <v>323.27</v>
      </c>
    </row>
    <row r="51" spans="1:18" x14ac:dyDescent="0.35">
      <c r="A51" s="46" t="s">
        <v>132</v>
      </c>
      <c r="C51" s="301">
        <v>2187.6400000000003</v>
      </c>
      <c r="D51" s="100"/>
      <c r="E51" s="41">
        <f t="shared" ref="E51:E54" si="19">ROUND((C43+C51+D51+E36/2)*E$48,2)</f>
        <v>-1090.26</v>
      </c>
      <c r="F51" s="41">
        <f t="shared" ref="F51:M51" si="20">ROUND((E43+E51+F36/2)*F$48,2)</f>
        <v>-1101.3399999999999</v>
      </c>
      <c r="G51" s="107">
        <f t="shared" si="20"/>
        <v>-1110.33</v>
      </c>
      <c r="H51" s="40">
        <f t="shared" si="20"/>
        <v>-1112.6300000000001</v>
      </c>
      <c r="I51" s="119">
        <f t="shared" si="20"/>
        <v>-1069.6099999999999</v>
      </c>
      <c r="J51" s="49">
        <f t="shared" si="20"/>
        <v>-1038.9100000000001</v>
      </c>
      <c r="K51" s="158">
        <f t="shared" si="20"/>
        <v>-1047.8</v>
      </c>
      <c r="L51" s="107">
        <f t="shared" si="20"/>
        <v>-1056.73</v>
      </c>
      <c r="M51" s="61">
        <f t="shared" si="20"/>
        <v>0</v>
      </c>
      <c r="P51" s="185">
        <f t="shared" si="18"/>
        <v>2104.5299999999997</v>
      </c>
    </row>
    <row r="52" spans="1:18" x14ac:dyDescent="0.35">
      <c r="A52" s="46" t="s">
        <v>133</v>
      </c>
      <c r="C52" s="301">
        <v>-1328.21</v>
      </c>
      <c r="D52" s="100"/>
      <c r="E52" s="41">
        <f t="shared" si="19"/>
        <v>667.98</v>
      </c>
      <c r="F52" s="41">
        <f>ROUND((E44+E52+F37/2)*F$48,2)</f>
        <v>663.44</v>
      </c>
      <c r="G52" s="107">
        <f t="shared" ref="G52:M52" si="21">ROUND((F44+F52+G37/2)*G$48,2)</f>
        <v>656.22</v>
      </c>
      <c r="H52" s="40">
        <f t="shared" si="21"/>
        <v>645.91</v>
      </c>
      <c r="I52" s="119">
        <f t="shared" si="21"/>
        <v>612.21</v>
      </c>
      <c r="J52" s="49">
        <f t="shared" si="21"/>
        <v>587.66</v>
      </c>
      <c r="K52" s="158">
        <f t="shared" si="21"/>
        <v>585.91</v>
      </c>
      <c r="L52" s="107">
        <f t="shared" si="21"/>
        <v>584.16999999999996</v>
      </c>
      <c r="M52" s="61">
        <f t="shared" si="21"/>
        <v>0</v>
      </c>
      <c r="P52" s="185">
        <f t="shared" si="18"/>
        <v>-1170.08</v>
      </c>
    </row>
    <row r="53" spans="1:18" x14ac:dyDescent="0.35">
      <c r="A53" s="46" t="s">
        <v>134</v>
      </c>
      <c r="C53" s="301">
        <v>-190.36</v>
      </c>
      <c r="D53" s="100"/>
      <c r="E53" s="41">
        <f t="shared" si="19"/>
        <v>103.55</v>
      </c>
      <c r="F53" s="41">
        <f t="shared" ref="F53:M53" si="22">ROUND((E45+E53+F38/2)*F$48,2)</f>
        <v>86.25</v>
      </c>
      <c r="G53" s="107">
        <f t="shared" si="22"/>
        <v>67.53</v>
      </c>
      <c r="H53" s="40">
        <f t="shared" si="22"/>
        <v>49.03</v>
      </c>
      <c r="I53" s="119">
        <f t="shared" si="22"/>
        <v>33.729999999999997</v>
      </c>
      <c r="J53" s="49">
        <f t="shared" si="22"/>
        <v>22.86</v>
      </c>
      <c r="K53" s="158">
        <f t="shared" si="22"/>
        <v>13.79</v>
      </c>
      <c r="L53" s="107">
        <f t="shared" si="22"/>
        <v>4.66</v>
      </c>
      <c r="M53" s="61">
        <f t="shared" si="22"/>
        <v>0</v>
      </c>
      <c r="P53" s="185">
        <f t="shared" si="18"/>
        <v>-18.45</v>
      </c>
    </row>
    <row r="54" spans="1:18" ht="15" thickBot="1" x14ac:dyDescent="0.4">
      <c r="A54" s="46" t="s">
        <v>135</v>
      </c>
      <c r="C54" s="301">
        <v>-1180.3699999999999</v>
      </c>
      <c r="D54" s="100"/>
      <c r="E54" s="41">
        <f t="shared" si="19"/>
        <v>589.79999999999995</v>
      </c>
      <c r="F54" s="41">
        <f t="shared" ref="F54:M54" si="23">ROUND((E46+E54+F39/2)*F$48,2)</f>
        <v>592.59</v>
      </c>
      <c r="G54" s="107">
        <f t="shared" si="23"/>
        <v>593.82000000000005</v>
      </c>
      <c r="H54" s="40">
        <f t="shared" si="23"/>
        <v>590.79</v>
      </c>
      <c r="I54" s="119">
        <f t="shared" si="23"/>
        <v>563.79999999999995</v>
      </c>
      <c r="J54" s="49">
        <f t="shared" si="23"/>
        <v>542.73</v>
      </c>
      <c r="K54" s="158">
        <f t="shared" si="23"/>
        <v>542.39</v>
      </c>
      <c r="L54" s="107">
        <f t="shared" si="23"/>
        <v>542.34</v>
      </c>
      <c r="M54" s="61">
        <f t="shared" si="23"/>
        <v>0</v>
      </c>
      <c r="P54" s="185">
        <f t="shared" si="18"/>
        <v>-1084.73</v>
      </c>
    </row>
    <row r="55" spans="1:18" ht="15.5" thickTop="1" thickBot="1" x14ac:dyDescent="0.4">
      <c r="A55" s="54" t="s">
        <v>22</v>
      </c>
      <c r="B55" s="54"/>
      <c r="C55" s="106">
        <v>0</v>
      </c>
      <c r="D55" s="106"/>
      <c r="E55" s="42">
        <f t="shared" ref="E55:J55" si="24">SUM(E50:E54)+SUM(E42:E46)-E58</f>
        <v>2.5465851649641991E-11</v>
      </c>
      <c r="F55" s="42">
        <f t="shared" si="24"/>
        <v>0</v>
      </c>
      <c r="G55" s="50">
        <f t="shared" ref="G55:I55" si="25">SUM(G50:G54)+SUM(G42:G46)-G58</f>
        <v>1.6370904631912708E-11</v>
      </c>
      <c r="H55" s="142">
        <f t="shared" si="25"/>
        <v>4.0017766878008842E-11</v>
      </c>
      <c r="I55" s="50">
        <f t="shared" si="25"/>
        <v>0</v>
      </c>
      <c r="J55" s="62">
        <f t="shared" si="24"/>
        <v>4.1836756281554699E-11</v>
      </c>
      <c r="K55" s="159">
        <f t="shared" ref="K55:M55" si="26">SUM(K50:K54)+SUM(K42:K46)-K58</f>
        <v>3.4560798667371273E-11</v>
      </c>
      <c r="L55" s="50">
        <f t="shared" si="26"/>
        <v>4.0017766878008842E-11</v>
      </c>
      <c r="M55" s="62">
        <f t="shared" si="26"/>
        <v>5.2750692702829838E-11</v>
      </c>
    </row>
    <row r="56" spans="1:18" ht="15.5" thickTop="1" thickBot="1" x14ac:dyDescent="0.4">
      <c r="A56" s="54" t="s">
        <v>23</v>
      </c>
      <c r="B56" s="54"/>
      <c r="C56" s="106">
        <v>0</v>
      </c>
      <c r="D56" s="106"/>
      <c r="E56" s="42">
        <f t="shared" ref="E56:J56" si="27">SUM(E50:E54)-E32</f>
        <v>0</v>
      </c>
      <c r="F56" s="42">
        <f t="shared" si="27"/>
        <v>2.5579538487363607E-13</v>
      </c>
      <c r="G56" s="50">
        <f t="shared" ref="G56:I56" si="28">SUM(G50:G54)-G32</f>
        <v>1.1368683772161603E-13</v>
      </c>
      <c r="H56" s="142">
        <f t="shared" si="28"/>
        <v>-1.8474111129762605E-13</v>
      </c>
      <c r="I56" s="50">
        <f t="shared" si="28"/>
        <v>1.9895196601282805E-13</v>
      </c>
      <c r="J56" s="62">
        <f t="shared" si="27"/>
        <v>-1.9895196601282805E-13</v>
      </c>
      <c r="K56" s="160">
        <f t="shared" ref="K56:M56" si="29">SUM(K50:K54)-K32</f>
        <v>0</v>
      </c>
      <c r="L56" s="42">
        <f t="shared" si="29"/>
        <v>-1.2789769243681803E-13</v>
      </c>
      <c r="M56" s="42">
        <f t="shared" si="29"/>
        <v>0</v>
      </c>
    </row>
    <row r="57" spans="1:18" ht="15.5" thickTop="1" thickBot="1" x14ac:dyDescent="0.4">
      <c r="C57" s="99"/>
      <c r="D57" s="99"/>
      <c r="E57" s="17"/>
      <c r="F57" s="17"/>
      <c r="G57" s="17"/>
      <c r="H57" s="10"/>
      <c r="I57" s="17"/>
      <c r="J57" s="11"/>
      <c r="K57" s="17"/>
      <c r="L57" s="17"/>
      <c r="M57" s="11"/>
    </row>
    <row r="58" spans="1:18" ht="15" thickBot="1" x14ac:dyDescent="0.4">
      <c r="A58" s="46" t="s">
        <v>35</v>
      </c>
      <c r="B58" s="115">
        <f>SUM(B42:B46)</f>
        <v>-8409.2406300002622</v>
      </c>
      <c r="C58" s="100">
        <f t="shared" ref="C58:M58" si="30">(C16-SUM(C19:C23))+SUM(C50:C54)+B58</f>
        <v>-10650.580000000264</v>
      </c>
      <c r="D58" s="100"/>
      <c r="E58" s="41">
        <f>(E16-SUM(E19:E23))+SUM(D50:E54)+C58</f>
        <v>-13439.920000000264</v>
      </c>
      <c r="F58" s="41">
        <f t="shared" si="30"/>
        <v>-14314.520000000262</v>
      </c>
      <c r="G58" s="107">
        <f t="shared" si="30"/>
        <v>-12448.18000000026</v>
      </c>
      <c r="H58" s="40">
        <f t="shared" si="30"/>
        <v>-10280.14000000026</v>
      </c>
      <c r="I58" s="41">
        <f t="shared" si="30"/>
        <v>-11158.470000000258</v>
      </c>
      <c r="J58" s="61">
        <f t="shared" si="30"/>
        <v>-13329.760000000257</v>
      </c>
      <c r="K58" s="158">
        <f t="shared" si="30"/>
        <v>-15789.004750000257</v>
      </c>
      <c r="L58" s="107">
        <f t="shared" si="30"/>
        <v>-17116.357940000256</v>
      </c>
      <c r="M58" s="61">
        <f t="shared" si="30"/>
        <v>-15183.375430000257</v>
      </c>
      <c r="R58" s="333"/>
    </row>
    <row r="59" spans="1:18" x14ac:dyDescent="0.35">
      <c r="A59" s="46" t="s">
        <v>12</v>
      </c>
      <c r="C59" s="116"/>
      <c r="D59" s="17"/>
      <c r="E59" s="17"/>
      <c r="F59" s="17"/>
      <c r="G59" s="17"/>
      <c r="H59" s="10"/>
      <c r="I59" s="17"/>
      <c r="J59" s="11"/>
      <c r="K59" s="17"/>
      <c r="L59" s="17"/>
      <c r="M59" s="11"/>
    </row>
    <row r="60" spans="1:18" ht="15" thickBot="1" x14ac:dyDescent="0.4">
      <c r="A60" s="37"/>
      <c r="B60" s="37"/>
      <c r="C60" s="143"/>
      <c r="D60" s="263"/>
      <c r="E60" s="44"/>
      <c r="F60" s="44"/>
      <c r="G60" s="44"/>
      <c r="H60" s="43"/>
      <c r="I60" s="44"/>
      <c r="J60" s="45"/>
      <c r="K60" s="44"/>
      <c r="L60" s="44"/>
      <c r="M60" s="45"/>
    </row>
    <row r="62" spans="1:18" x14ac:dyDescent="0.35">
      <c r="A62" s="69" t="s">
        <v>11</v>
      </c>
      <c r="B62" s="69"/>
      <c r="C62" s="69"/>
      <c r="D62" s="69"/>
    </row>
    <row r="63" spans="1:18" ht="31.5" customHeight="1" x14ac:dyDescent="0.35">
      <c r="A63" s="381" t="s">
        <v>157</v>
      </c>
      <c r="B63" s="381"/>
      <c r="C63" s="381"/>
      <c r="D63" s="381"/>
      <c r="E63" s="381"/>
      <c r="F63" s="381"/>
      <c r="G63" s="381"/>
      <c r="H63" s="381"/>
      <c r="I63" s="381"/>
      <c r="J63" s="381"/>
      <c r="K63" s="229"/>
      <c r="L63" s="229"/>
      <c r="M63" s="229"/>
    </row>
    <row r="64" spans="1:18" ht="63" customHeight="1" x14ac:dyDescent="0.35">
      <c r="A64" s="381" t="s">
        <v>256</v>
      </c>
      <c r="B64" s="381"/>
      <c r="C64" s="387"/>
      <c r="D64" s="387"/>
      <c r="E64" s="387"/>
      <c r="F64" s="387"/>
      <c r="G64" s="387"/>
      <c r="H64" s="387"/>
      <c r="I64" s="387"/>
      <c r="J64" s="387"/>
      <c r="K64" s="387"/>
      <c r="L64" s="229"/>
    </row>
    <row r="65" spans="1:13" ht="18.75" customHeight="1" x14ac:dyDescent="0.35">
      <c r="A65" s="381" t="s">
        <v>183</v>
      </c>
      <c r="B65" s="381"/>
      <c r="C65" s="381"/>
      <c r="D65" s="381"/>
      <c r="E65" s="381"/>
      <c r="F65" s="381"/>
      <c r="G65" s="381"/>
      <c r="H65" s="381"/>
      <c r="I65" s="381"/>
      <c r="J65" s="381"/>
      <c r="K65" s="229"/>
      <c r="L65" s="229"/>
      <c r="M65" s="229"/>
    </row>
    <row r="66" spans="1:13" x14ac:dyDescent="0.35">
      <c r="A66" s="381" t="s">
        <v>258</v>
      </c>
      <c r="B66" s="381"/>
      <c r="C66" s="387"/>
      <c r="D66" s="387"/>
      <c r="E66" s="387"/>
      <c r="F66" s="387"/>
      <c r="G66" s="387"/>
      <c r="H66" s="387"/>
      <c r="I66" s="387"/>
      <c r="J66" s="387"/>
    </row>
    <row r="67" spans="1:13" x14ac:dyDescent="0.35">
      <c r="A67" s="63" t="s">
        <v>285</v>
      </c>
      <c r="B67" s="63"/>
      <c r="C67" s="63"/>
      <c r="D67" s="63"/>
      <c r="E67" s="39"/>
      <c r="F67" s="39"/>
      <c r="G67" s="39"/>
      <c r="H67" s="39"/>
      <c r="I67" s="39"/>
      <c r="J67" s="39"/>
    </row>
    <row r="68" spans="1:13" x14ac:dyDescent="0.35">
      <c r="A68" s="63" t="s">
        <v>92</v>
      </c>
      <c r="B68" s="63"/>
      <c r="C68" s="63"/>
      <c r="D68" s="63"/>
      <c r="E68" s="39"/>
      <c r="F68" s="39"/>
      <c r="G68" s="39"/>
      <c r="H68" s="39"/>
      <c r="I68" s="39"/>
      <c r="J68" s="39"/>
    </row>
    <row r="69" spans="1:13" x14ac:dyDescent="0.35">
      <c r="A69" s="3" t="s">
        <v>181</v>
      </c>
      <c r="B69" s="3"/>
      <c r="C69" s="3"/>
      <c r="D69" s="3"/>
    </row>
    <row r="71" spans="1:13" ht="36" customHeight="1" x14ac:dyDescent="0.35">
      <c r="A71" s="377"/>
      <c r="B71" s="377"/>
      <c r="C71" s="377"/>
      <c r="D71" s="377"/>
      <c r="E71" s="377"/>
      <c r="F71" s="377"/>
      <c r="G71" s="377"/>
    </row>
  </sheetData>
  <mergeCells count="8">
    <mergeCell ref="A71:G71"/>
    <mergeCell ref="A65:J65"/>
    <mergeCell ref="E14:G14"/>
    <mergeCell ref="H14:J14"/>
    <mergeCell ref="K14:M14"/>
    <mergeCell ref="A63:J63"/>
    <mergeCell ref="A64:K64"/>
    <mergeCell ref="A66:J66"/>
  </mergeCells>
  <pageMargins left="0.2" right="0.2" top="0.75" bottom="0.25" header="0.3" footer="0.3"/>
  <pageSetup scale="42" orientation="landscape" r:id="rId1"/>
  <headerFooter>
    <oddHeader>&amp;C&amp;F &amp;A&amp;R&amp;"Arial"&amp;10&amp;K000000CONFIDENTIAL</oddHeader>
    <oddFooter>&amp;R&amp;1#&amp;"Calibri"&amp;10&amp;KA80000Internal Use Only</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AC3BF-DCCF-4090-B203-675F09BD870F}">
  <sheetPr>
    <pageSetUpPr fitToPage="1"/>
  </sheetPr>
  <dimension ref="A1:AI68"/>
  <sheetViews>
    <sheetView zoomScale="85" zoomScaleNormal="85" workbookViewId="0"/>
  </sheetViews>
  <sheetFormatPr defaultColWidth="9.1796875" defaultRowHeight="14.5" outlineLevelCol="1" x14ac:dyDescent="0.35"/>
  <cols>
    <col min="1" max="1" width="37.7265625" style="46" customWidth="1"/>
    <col min="2" max="2" width="12.26953125" style="46" bestFit="1" customWidth="1"/>
    <col min="3" max="3" width="12.453125" style="46" bestFit="1" customWidth="1"/>
    <col min="4" max="4" width="12.453125" style="46" customWidth="1" outlineLevel="1"/>
    <col min="5" max="5" width="15.453125" style="46" customWidth="1"/>
    <col min="6" max="6" width="15.81640625" style="46" bestFit="1" customWidth="1"/>
    <col min="7" max="7" width="12.26953125" style="46" bestFit="1" customWidth="1"/>
    <col min="8" max="9" width="13.26953125" style="46" bestFit="1" customWidth="1"/>
    <col min="10" max="10" width="12.26953125" style="46" bestFit="1" customWidth="1"/>
    <col min="11" max="11" width="12.54296875" style="46" customWidth="1"/>
    <col min="12" max="12" width="12.81640625" style="46" customWidth="1"/>
    <col min="13" max="13" width="16" style="46" customWidth="1"/>
    <col min="14" max="14" width="15" style="46" bestFit="1" customWidth="1"/>
    <col min="15" max="15" width="16" style="46" bestFit="1" customWidth="1"/>
    <col min="16" max="16" width="15.26953125" style="46" hidden="1" customWidth="1" outlineLevel="1"/>
    <col min="17" max="17" width="17.453125" style="46" bestFit="1" customWidth="1" collapsed="1"/>
    <col min="18" max="18" width="16.26953125" style="46" bestFit="1" customWidth="1"/>
    <col min="19" max="19" width="15.26953125" style="46" bestFit="1" customWidth="1"/>
    <col min="20" max="20" width="12.453125" style="46" customWidth="1"/>
    <col min="21" max="22" width="14.26953125" style="46" bestFit="1" customWidth="1"/>
    <col min="23" max="16384" width="9.1796875" style="46"/>
  </cols>
  <sheetData>
    <row r="1" spans="1:35" x14ac:dyDescent="0.35">
      <c r="A1" s="3" t="str">
        <f>+'PPC Cycle 3'!A1</f>
        <v>Evergy Metro, Inc. - DSIM Rider Update Filed 12/01/2024</v>
      </c>
      <c r="B1" s="3"/>
      <c r="C1" s="3"/>
      <c r="D1" s="3"/>
    </row>
    <row r="2" spans="1:35" x14ac:dyDescent="0.35">
      <c r="E2" s="3" t="s">
        <v>166</v>
      </c>
    </row>
    <row r="3" spans="1:35" ht="29" x14ac:dyDescent="0.35">
      <c r="E3" s="48" t="s">
        <v>45</v>
      </c>
      <c r="F3" s="70" t="s">
        <v>57</v>
      </c>
      <c r="G3" s="48" t="s">
        <v>3</v>
      </c>
      <c r="H3" s="70" t="s">
        <v>54</v>
      </c>
      <c r="I3" s="48" t="s">
        <v>10</v>
      </c>
      <c r="J3" s="48" t="s">
        <v>58</v>
      </c>
      <c r="S3" s="48"/>
    </row>
    <row r="4" spans="1:35" x14ac:dyDescent="0.35">
      <c r="A4" s="20" t="s">
        <v>24</v>
      </c>
      <c r="B4" s="20"/>
      <c r="C4" s="20"/>
      <c r="D4" s="20"/>
      <c r="E4" s="22">
        <f>SUM(C16:M16)</f>
        <v>969457.9249499999</v>
      </c>
      <c r="F4" s="22">
        <f>SUM(C23:L23)</f>
        <v>1032922.8200000002</v>
      </c>
      <c r="G4" s="22">
        <f>F4-E4</f>
        <v>63464.895050000283</v>
      </c>
      <c r="H4" s="22">
        <f>+B39</f>
        <v>253013.88747999989</v>
      </c>
      <c r="I4" s="22">
        <f>SUM(C47:L47)</f>
        <v>13543.970000000001</v>
      </c>
      <c r="J4" s="25">
        <f>SUM(G4:I4)</f>
        <v>330022.75253000017</v>
      </c>
      <c r="K4" s="47">
        <f>+J4-M39</f>
        <v>0</v>
      </c>
      <c r="N4" s="47"/>
    </row>
    <row r="5" spans="1:35" x14ac:dyDescent="0.35">
      <c r="A5" s="20" t="s">
        <v>104</v>
      </c>
      <c r="B5" s="20"/>
      <c r="C5" s="20"/>
      <c r="D5" s="20"/>
      <c r="E5" s="22">
        <f t="shared" ref="E5:E8" si="0">SUM(C17:M17)</f>
        <v>125269.19261</v>
      </c>
      <c r="F5" s="22">
        <f t="shared" ref="F5:F8" si="1">SUM(C24:L24)</f>
        <v>147695.68999999997</v>
      </c>
      <c r="G5" s="22">
        <f t="shared" ref="G5:G8" si="2">F5-E5</f>
        <v>22426.497389999975</v>
      </c>
      <c r="H5" s="22">
        <f t="shared" ref="H5:H8" si="3">+B40</f>
        <v>11285.225289999998</v>
      </c>
      <c r="I5" s="22">
        <f t="shared" ref="I5:I8" si="4">SUM(C48:L48)</f>
        <v>1236.6200000000001</v>
      </c>
      <c r="J5" s="25">
        <f t="shared" ref="J5:J8" si="5">SUM(G5:I5)</f>
        <v>34948.34267999998</v>
      </c>
      <c r="K5" s="47">
        <f>+J5-M40</f>
        <v>0</v>
      </c>
      <c r="N5" s="47"/>
    </row>
    <row r="6" spans="1:35" x14ac:dyDescent="0.35">
      <c r="A6" s="20" t="s">
        <v>105</v>
      </c>
      <c r="B6" s="20"/>
      <c r="C6" s="20"/>
      <c r="D6" s="20"/>
      <c r="E6" s="22">
        <f t="shared" si="0"/>
        <v>244669.19230999998</v>
      </c>
      <c r="F6" s="22">
        <f t="shared" si="1"/>
        <v>274392.39</v>
      </c>
      <c r="G6" s="22">
        <f t="shared" si="2"/>
        <v>29723.19769000003</v>
      </c>
      <c r="H6" s="22">
        <f t="shared" si="3"/>
        <v>54291.521950000002</v>
      </c>
      <c r="I6" s="22">
        <f t="shared" si="4"/>
        <v>3379.98</v>
      </c>
      <c r="J6" s="25">
        <f t="shared" si="5"/>
        <v>87394.699640000021</v>
      </c>
      <c r="K6" s="47">
        <f>+J6-M41</f>
        <v>0</v>
      </c>
      <c r="N6" s="47"/>
    </row>
    <row r="7" spans="1:35" x14ac:dyDescent="0.35">
      <c r="A7" s="20" t="s">
        <v>106</v>
      </c>
      <c r="B7" s="20"/>
      <c r="C7" s="20"/>
      <c r="D7" s="20"/>
      <c r="E7" s="22">
        <f t="shared" si="0"/>
        <v>424358.22024</v>
      </c>
      <c r="F7" s="22">
        <f t="shared" si="1"/>
        <v>453545.63</v>
      </c>
      <c r="G7" s="22">
        <f t="shared" si="2"/>
        <v>29187.40976000001</v>
      </c>
      <c r="H7" s="22">
        <f t="shared" si="3"/>
        <v>132211.78760000004</v>
      </c>
      <c r="I7" s="22">
        <f t="shared" si="4"/>
        <v>6886.2500000000009</v>
      </c>
      <c r="J7" s="25">
        <f t="shared" si="5"/>
        <v>168285.44736000005</v>
      </c>
      <c r="K7" s="47">
        <f>+J7-M42</f>
        <v>0</v>
      </c>
      <c r="N7" s="47"/>
    </row>
    <row r="8" spans="1:35" ht="15" thickBot="1" x14ac:dyDescent="0.4">
      <c r="A8" s="20" t="s">
        <v>107</v>
      </c>
      <c r="B8" s="20"/>
      <c r="C8" s="20"/>
      <c r="D8" s="20"/>
      <c r="E8" s="22">
        <f t="shared" si="0"/>
        <v>84942.802689999997</v>
      </c>
      <c r="F8" s="22">
        <f t="shared" si="1"/>
        <v>98566.67</v>
      </c>
      <c r="G8" s="22">
        <f t="shared" si="2"/>
        <v>13623.867310000001</v>
      </c>
      <c r="H8" s="22">
        <f t="shared" si="3"/>
        <v>11147.572010000005</v>
      </c>
      <c r="I8" s="22">
        <f t="shared" si="4"/>
        <v>967.00999999999988</v>
      </c>
      <c r="J8" s="25">
        <f t="shared" si="5"/>
        <v>25738.449320000003</v>
      </c>
      <c r="K8" s="47">
        <f>+J8-M43</f>
        <v>0</v>
      </c>
      <c r="N8" s="47"/>
    </row>
    <row r="9" spans="1:35" ht="15.5" thickTop="1" thickBot="1" x14ac:dyDescent="0.4">
      <c r="E9" s="27">
        <f t="shared" ref="E9:J9" si="6">SUM(E4:E8)</f>
        <v>1848697.3328</v>
      </c>
      <c r="F9" s="27">
        <f t="shared" si="6"/>
        <v>2007123.2000000002</v>
      </c>
      <c r="G9" s="27">
        <f t="shared" si="6"/>
        <v>158425.8672000003</v>
      </c>
      <c r="H9" s="27">
        <f t="shared" si="6"/>
        <v>461949.99432999996</v>
      </c>
      <c r="I9" s="27">
        <f t="shared" si="6"/>
        <v>26013.83</v>
      </c>
      <c r="J9" s="27">
        <f t="shared" si="6"/>
        <v>646389.6915300003</v>
      </c>
      <c r="T9" s="5"/>
    </row>
    <row r="10" spans="1:35" ht="15.5" thickTop="1" thickBot="1" x14ac:dyDescent="0.4">
      <c r="V10" s="4"/>
      <c r="W10" s="5"/>
    </row>
    <row r="11" spans="1:35" ht="87.5" thickBot="1" x14ac:dyDescent="0.4">
      <c r="B11" s="114" t="str">
        <f>+'PCR Cycle 2'!B14</f>
        <v>Cumulative Over/Under Carryover From 06/01/2024 Filing</v>
      </c>
      <c r="C11" s="264" t="str">
        <f>+'PCR Cycle 2'!C14</f>
        <v>Reverse May 2024 - July 2024 Forecast From 06/01/2024 Filing</v>
      </c>
      <c r="D11" s="352" t="s">
        <v>288</v>
      </c>
      <c r="E11" s="382" t="s">
        <v>32</v>
      </c>
      <c r="F11" s="382"/>
      <c r="G11" s="383"/>
      <c r="H11" s="389" t="s">
        <v>32</v>
      </c>
      <c r="I11" s="390"/>
      <c r="J11" s="391"/>
      <c r="K11" s="378" t="s">
        <v>8</v>
      </c>
      <c r="L11" s="379"/>
      <c r="M11" s="380"/>
      <c r="P11" s="287" t="s">
        <v>236</v>
      </c>
    </row>
    <row r="12" spans="1:35" x14ac:dyDescent="0.35">
      <c r="A12" s="46" t="s">
        <v>84</v>
      </c>
      <c r="C12" s="104"/>
      <c r="D12" s="262"/>
      <c r="E12" s="19">
        <f>+'PCR Cycle 2'!E15</f>
        <v>45443</v>
      </c>
      <c r="F12" s="19">
        <f t="shared" ref="F12:M12" si="7">EOMONTH(E12,1)</f>
        <v>45473</v>
      </c>
      <c r="G12" s="19">
        <f t="shared" si="7"/>
        <v>45504</v>
      </c>
      <c r="H12" s="14">
        <f t="shared" si="7"/>
        <v>45535</v>
      </c>
      <c r="I12" s="19">
        <f t="shared" si="7"/>
        <v>45565</v>
      </c>
      <c r="J12" s="15">
        <f t="shared" si="7"/>
        <v>45596</v>
      </c>
      <c r="K12" s="19">
        <f t="shared" si="7"/>
        <v>45626</v>
      </c>
      <c r="L12" s="19">
        <f t="shared" si="7"/>
        <v>45657</v>
      </c>
      <c r="M12" s="15">
        <f t="shared" si="7"/>
        <v>45688</v>
      </c>
      <c r="P12" s="185"/>
      <c r="Z12" s="1"/>
      <c r="AA12" s="1"/>
      <c r="AB12" s="1"/>
      <c r="AC12" s="1"/>
      <c r="AD12" s="1"/>
      <c r="AE12" s="1"/>
      <c r="AF12" s="1"/>
      <c r="AG12" s="1"/>
      <c r="AH12" s="1"/>
      <c r="AI12" s="1"/>
    </row>
    <row r="13" spans="1:35" x14ac:dyDescent="0.35">
      <c r="A13" s="46" t="s">
        <v>5</v>
      </c>
      <c r="C13" s="97">
        <v>-560567.72</v>
      </c>
      <c r="D13" s="97">
        <f t="shared" ref="D13:L13" si="8">SUM(D23:D27)</f>
        <v>-364.08</v>
      </c>
      <c r="E13" s="108">
        <f t="shared" si="8"/>
        <v>280162.5</v>
      </c>
      <c r="F13" s="108">
        <f t="shared" si="8"/>
        <v>280162.5</v>
      </c>
      <c r="G13" s="109">
        <f t="shared" si="8"/>
        <v>280162.5</v>
      </c>
      <c r="H13" s="16">
        <f t="shared" si="8"/>
        <v>345513.5</v>
      </c>
      <c r="I13" s="55">
        <f t="shared" si="8"/>
        <v>345513.5</v>
      </c>
      <c r="J13" s="161">
        <f t="shared" si="8"/>
        <v>345513.5</v>
      </c>
      <c r="K13" s="154">
        <f t="shared" si="8"/>
        <v>345513.5</v>
      </c>
      <c r="L13" s="78">
        <f t="shared" si="8"/>
        <v>345513.5</v>
      </c>
      <c r="M13" s="79"/>
      <c r="P13" s="185">
        <f>-SUM(K13:M13)</f>
        <v>-691027</v>
      </c>
    </row>
    <row r="14" spans="1:35" x14ac:dyDescent="0.35">
      <c r="C14" s="99"/>
      <c r="D14" s="99"/>
      <c r="E14" s="17"/>
      <c r="F14" s="17"/>
      <c r="G14" s="17"/>
      <c r="H14" s="10"/>
      <c r="I14" s="17"/>
      <c r="J14" s="11"/>
      <c r="K14" s="31"/>
      <c r="L14" s="31"/>
      <c r="M14" s="29"/>
      <c r="P14" s="185"/>
    </row>
    <row r="15" spans="1:35" x14ac:dyDescent="0.35">
      <c r="A15" s="46" t="s">
        <v>85</v>
      </c>
      <c r="C15" s="99"/>
      <c r="D15" s="99"/>
      <c r="E15" s="18"/>
      <c r="F15" s="18"/>
      <c r="G15" s="18"/>
      <c r="H15" s="91"/>
      <c r="I15" s="18"/>
      <c r="J15" s="162"/>
      <c r="K15" s="31"/>
      <c r="L15" s="31"/>
      <c r="M15" s="29"/>
      <c r="N15" s="63" t="s">
        <v>49</v>
      </c>
      <c r="O15" s="39"/>
      <c r="P15" s="185"/>
    </row>
    <row r="16" spans="1:35" x14ac:dyDescent="0.35">
      <c r="A16" s="46" t="s">
        <v>24</v>
      </c>
      <c r="C16" s="97">
        <v>-341826.34252000006</v>
      </c>
      <c r="D16" s="97"/>
      <c r="E16" s="131">
        <f>'[5]May 2024'!$G120</f>
        <v>79691.66</v>
      </c>
      <c r="F16" s="131">
        <f>'[5]June 2024'!$G120</f>
        <v>109632.56</v>
      </c>
      <c r="G16" s="131">
        <f>'[5]July 2024'!$G120</f>
        <v>154556.13</v>
      </c>
      <c r="H16" s="182">
        <f>'[5]August 2024'!$G120</f>
        <v>164218.72</v>
      </c>
      <c r="I16" s="117">
        <f>'[5]September 2024'!$G120</f>
        <v>180686.07</v>
      </c>
      <c r="J16" s="163">
        <f>'[5]October 2024'!$G120</f>
        <v>143375.67999999999</v>
      </c>
      <c r="K16" s="119">
        <f>'PCR Cycle 2'!K27*$N16</f>
        <v>118622.74519</v>
      </c>
      <c r="L16" s="41">
        <f>'PCR Cycle 2'!L27*$N16</f>
        <v>169738.90267000001</v>
      </c>
      <c r="M16" s="61">
        <f>'PCR Cycle 2'!M27*$N16</f>
        <v>190761.79961000002</v>
      </c>
      <c r="N16" s="72">
        <v>7.1000000000000002E-4</v>
      </c>
      <c r="O16" s="4"/>
      <c r="P16" s="185">
        <f t="shared" ref="P16:P20" si="9">-SUM(K16:M16)</f>
        <v>-479123.44747000001</v>
      </c>
    </row>
    <row r="17" spans="1:18" x14ac:dyDescent="0.35">
      <c r="A17" s="46" t="s">
        <v>132</v>
      </c>
      <c r="C17" s="97">
        <v>-50464.044710000002</v>
      </c>
      <c r="D17" s="97"/>
      <c r="E17" s="131">
        <f>'[5]May 2024'!$G121</f>
        <v>14400.35</v>
      </c>
      <c r="F17" s="131">
        <f>'[5]June 2024'!$G121</f>
        <v>16699.72</v>
      </c>
      <c r="G17" s="131">
        <f>'[5]July 2024'!$G121</f>
        <v>19404</v>
      </c>
      <c r="H17" s="182">
        <f>'[5]August 2024'!$G121</f>
        <v>20230.02</v>
      </c>
      <c r="I17" s="117">
        <f>'[5]September 2024'!$G121</f>
        <v>23057.42</v>
      </c>
      <c r="J17" s="163">
        <f>'[5]October 2024'!$G121</f>
        <v>21425.81</v>
      </c>
      <c r="K17" s="119">
        <f>'PCR Cycle 2'!K28*$N17</f>
        <v>18900.660019999999</v>
      </c>
      <c r="L17" s="41">
        <f>'PCR Cycle 2'!L28*$N17</f>
        <v>20714.35442</v>
      </c>
      <c r="M17" s="61">
        <f>'PCR Cycle 2'!M28*$N17</f>
        <v>20900.902880000001</v>
      </c>
      <c r="N17" s="72">
        <v>3.8000000000000002E-4</v>
      </c>
      <c r="O17" s="4"/>
      <c r="P17" s="185">
        <f t="shared" si="9"/>
        <v>-60515.91732</v>
      </c>
    </row>
    <row r="18" spans="1:18" x14ac:dyDescent="0.35">
      <c r="A18" s="46" t="s">
        <v>133</v>
      </c>
      <c r="C18" s="97">
        <v>-94457.578049999996</v>
      </c>
      <c r="D18" s="97"/>
      <c r="E18" s="131">
        <f>'[5]May 2024'!$G122</f>
        <v>26572.47</v>
      </c>
      <c r="F18" s="131">
        <f>'[5]June 2024'!$G122</f>
        <v>29757.98</v>
      </c>
      <c r="G18" s="131">
        <f>'[5]July 2024'!$G122</f>
        <v>35066.160000000003</v>
      </c>
      <c r="H18" s="182">
        <f>'[5]August 2024'!$G122</f>
        <v>36936.76</v>
      </c>
      <c r="I18" s="117">
        <f>'[5]September 2024'!$G122</f>
        <v>44351.64</v>
      </c>
      <c r="J18" s="163">
        <f>'[5]October 2024'!$G122</f>
        <v>42352.71</v>
      </c>
      <c r="K18" s="119">
        <f>'PCR Cycle 2'!K29*$N18</f>
        <v>38756.166239999999</v>
      </c>
      <c r="L18" s="41">
        <f>'PCR Cycle 2'!L29*$N18</f>
        <v>42475.181320000003</v>
      </c>
      <c r="M18" s="61">
        <f>'PCR Cycle 2'!M29*$N18</f>
        <v>42857.702799999999</v>
      </c>
      <c r="N18" s="72">
        <v>4.4000000000000002E-4</v>
      </c>
      <c r="O18" s="4"/>
      <c r="P18" s="185">
        <f t="shared" si="9"/>
        <v>-124089.05035999999</v>
      </c>
    </row>
    <row r="19" spans="1:18" x14ac:dyDescent="0.35">
      <c r="A19" s="46" t="s">
        <v>134</v>
      </c>
      <c r="C19" s="97">
        <v>-182007.90240000002</v>
      </c>
      <c r="D19" s="97"/>
      <c r="E19" s="131">
        <f>'[5]May 2024'!$G123</f>
        <v>57202.17</v>
      </c>
      <c r="F19" s="131">
        <f>'[5]June 2024'!$G123</f>
        <v>58379.82</v>
      </c>
      <c r="G19" s="131">
        <f>'[5]July 2024'!$G123</f>
        <v>65706.240000000005</v>
      </c>
      <c r="H19" s="182">
        <f>'[5]August 2024'!$G123</f>
        <v>66928.86</v>
      </c>
      <c r="I19" s="117">
        <f>'[5]September 2024'!$G123</f>
        <v>75897.94</v>
      </c>
      <c r="J19" s="163">
        <f>'[5]October 2024'!$G123</f>
        <v>71954.05</v>
      </c>
      <c r="K19" s="119">
        <f>'PCR Cycle 2'!K30*$N19</f>
        <v>65681.114260000002</v>
      </c>
      <c r="L19" s="41">
        <f>'PCR Cycle 2'!L30*$N19</f>
        <v>71983.829559999998</v>
      </c>
      <c r="M19" s="61">
        <f>'PCR Cycle 2'!M30*$N19</f>
        <v>72632.098819999999</v>
      </c>
      <c r="N19" s="72">
        <v>4.6000000000000001E-4</v>
      </c>
      <c r="O19" s="4"/>
      <c r="P19" s="185">
        <f t="shared" si="9"/>
        <v>-210297.04264</v>
      </c>
    </row>
    <row r="20" spans="1:18" x14ac:dyDescent="0.35">
      <c r="A20" s="46" t="s">
        <v>135</v>
      </c>
      <c r="C20" s="97">
        <v>-27804.587990000004</v>
      </c>
      <c r="D20" s="97"/>
      <c r="E20" s="131">
        <f>'[5]May 2024'!$G124</f>
        <v>8821.34</v>
      </c>
      <c r="F20" s="131">
        <f>'[5]June 2024'!$G124</f>
        <v>7343.07</v>
      </c>
      <c r="G20" s="131">
        <f>'[5]July 2024'!$G124</f>
        <v>11670.58</v>
      </c>
      <c r="H20" s="182">
        <f>'[5]August 2024'!$G124</f>
        <v>11429.81</v>
      </c>
      <c r="I20" s="117">
        <f>'[5]September 2024'!$G124</f>
        <v>12808.45</v>
      </c>
      <c r="J20" s="163">
        <f>'[5]October 2024'!$G124</f>
        <v>16985.669999999998</v>
      </c>
      <c r="K20" s="119">
        <f>'PCR Cycle 2'!K31*$N20</f>
        <v>13645.020420000001</v>
      </c>
      <c r="L20" s="41">
        <f>'PCR Cycle 2'!L31*$N20</f>
        <v>14954.387280000001</v>
      </c>
      <c r="M20" s="61">
        <f>'PCR Cycle 2'!M31*$N20</f>
        <v>15089.062980000001</v>
      </c>
      <c r="N20" s="72">
        <v>3.4000000000000002E-4</v>
      </c>
      <c r="O20" s="4"/>
      <c r="P20" s="185">
        <f t="shared" si="9"/>
        <v>-43688.470680000006</v>
      </c>
    </row>
    <row r="21" spans="1:18" x14ac:dyDescent="0.35">
      <c r="C21" s="67"/>
      <c r="D21" s="67"/>
      <c r="E21" s="68"/>
      <c r="F21" s="68"/>
      <c r="G21" s="68"/>
      <c r="H21" s="67"/>
      <c r="I21" s="68"/>
      <c r="J21" s="164"/>
      <c r="K21" s="56"/>
      <c r="L21" s="56"/>
      <c r="M21" s="13"/>
      <c r="O21" s="4"/>
    </row>
    <row r="22" spans="1:18" x14ac:dyDescent="0.35">
      <c r="A22" s="46" t="s">
        <v>86</v>
      </c>
      <c r="C22" s="36"/>
      <c r="D22" s="36"/>
      <c r="E22" s="37"/>
      <c r="F22" s="37"/>
      <c r="G22" s="37"/>
      <c r="H22" s="36"/>
      <c r="I22" s="37"/>
      <c r="J22" s="167"/>
      <c r="K22" s="52"/>
      <c r="L22" s="52"/>
      <c r="M22" s="38"/>
      <c r="O22" s="4"/>
    </row>
    <row r="23" spans="1:18" x14ac:dyDescent="0.35">
      <c r="A23" s="46" t="s">
        <v>24</v>
      </c>
      <c r="C23" s="97">
        <v>-278407.86</v>
      </c>
      <c r="D23" s="97">
        <f>ROUND(SUM('EO Cycle 3'!C79:E79)/12-SUM('[22]EO Cycle 3'!$C79:$E79)/12,2)*3</f>
        <v>-364.08</v>
      </c>
      <c r="E23" s="131">
        <f>ROUND(+'EO Cycle 3'!$F55/12+'EO Cycle 3'!$F67/12+'EO Cycle 3'!$F79/12,2)</f>
        <v>139082.57</v>
      </c>
      <c r="F23" s="131">
        <f>ROUND(+'EO Cycle 3'!$F55/12+'EO Cycle 3'!$F67/12+'EO Cycle 3'!$F79/12,2)</f>
        <v>139082.57</v>
      </c>
      <c r="G23" s="131">
        <f>ROUND(+'EO Cycle 3'!$F55/12+'EO Cycle 3'!$F67/12+'EO Cycle 3'!$F79/12,2)</f>
        <v>139082.57</v>
      </c>
      <c r="H23" s="182">
        <f>ROUND(+'EO Cycle 3'!$F55/12+'EO Cycle 3'!$F79/12+'EO Cycle 3'!$F91/12+'EO Cycle 3'!$F115/12,2)</f>
        <v>178889.41</v>
      </c>
      <c r="I23" s="117">
        <f>ROUND(+'EO Cycle 3'!$F55/12+'EO Cycle 3'!$F79/12+'EO Cycle 3'!$F91/12+'EO Cycle 3'!$F115/12,2)</f>
        <v>178889.41</v>
      </c>
      <c r="J23" s="163">
        <f>ROUND(+'EO Cycle 3'!$F55/12+'EO Cycle 3'!$F79/12+'EO Cycle 3'!$F91/12+'EO Cycle 3'!$F115/12,2)</f>
        <v>178889.41</v>
      </c>
      <c r="K23" s="138">
        <f>ROUND(+'EO Cycle 3'!$F55/12+'EO Cycle 3'!$F79/12+'EO Cycle 3'!$F91/12+'EO Cycle 3'!$F115/12,2)</f>
        <v>178889.41</v>
      </c>
      <c r="L23" s="138">
        <f>ROUND(+'EO Cycle 3'!$F55/12+'EO Cycle 3'!$F79/12+'EO Cycle 3'!$F91/12+'EO Cycle 3'!$F115/12,2)</f>
        <v>178889.41</v>
      </c>
      <c r="M23" s="79"/>
      <c r="O23" s="4"/>
      <c r="P23" s="185">
        <f t="shared" ref="P23:P29" si="10">-SUM(K23:M23)</f>
        <v>-357778.82</v>
      </c>
    </row>
    <row r="24" spans="1:18" x14ac:dyDescent="0.35">
      <c r="A24" s="46" t="s">
        <v>132</v>
      </c>
      <c r="C24" s="97">
        <v>-35974.58</v>
      </c>
      <c r="D24" s="97">
        <f>ROUND(SUM('EO Cycle 3'!C83:E83)/12-SUM('[22]EO Cycle 3'!$C83:$E83)/12,2)*3</f>
        <v>0</v>
      </c>
      <c r="E24" s="131">
        <f>ROUND(+'EO Cycle 3'!$F59/12+'EO Cycle 3'!$F71/12+'EO Cycle 3'!$F83/12,2)</f>
        <v>17987.29</v>
      </c>
      <c r="F24" s="131">
        <f>ROUND(+'EO Cycle 3'!$F59/12+'EO Cycle 3'!$F71/12+'EO Cycle 3'!$F83/12,2)</f>
        <v>17987.29</v>
      </c>
      <c r="G24" s="131">
        <f>ROUND(+'EO Cycle 3'!$F59/12+'EO Cycle 3'!$F71/12+'EO Cycle 3'!$F83/12,2)</f>
        <v>17987.29</v>
      </c>
      <c r="H24" s="182">
        <f>ROUND(+'EO Cycle 3'!$F59/12+'EO Cycle 3'!$F83/12+'EO Cycle 3'!$F95/12+'EO Cycle 3'!$F119/12,2)</f>
        <v>25941.68</v>
      </c>
      <c r="I24" s="117">
        <f>ROUND(+'EO Cycle 3'!$F59/12+'EO Cycle 3'!$F83/12+'EO Cycle 3'!$F95/12+'EO Cycle 3'!$F119/12,2)</f>
        <v>25941.68</v>
      </c>
      <c r="J24" s="163">
        <f>ROUND(+'EO Cycle 3'!$F59/12+'EO Cycle 3'!$F83/12+'EO Cycle 3'!$F95/12+'EO Cycle 3'!$F119/12,2)</f>
        <v>25941.68</v>
      </c>
      <c r="K24" s="138">
        <f>ROUND(+'EO Cycle 3'!$F59/12+'EO Cycle 3'!$F83/12+'EO Cycle 3'!$F95/12+'EO Cycle 3'!$F119/12,2)</f>
        <v>25941.68</v>
      </c>
      <c r="L24" s="138">
        <f>ROUND(+'EO Cycle 3'!$F59/12+'EO Cycle 3'!$F83/12+'EO Cycle 3'!$F95/12+'EO Cycle 3'!$F119/12,2)</f>
        <v>25941.68</v>
      </c>
      <c r="M24" s="79"/>
      <c r="O24" s="4"/>
      <c r="P24" s="185">
        <f t="shared" si="10"/>
        <v>-51883.360000000001</v>
      </c>
    </row>
    <row r="25" spans="1:18" x14ac:dyDescent="0.35">
      <c r="A25" s="46" t="s">
        <v>133</v>
      </c>
      <c r="C25" s="97">
        <v>-68091.48</v>
      </c>
      <c r="D25" s="97">
        <f>ROUND(SUM('EO Cycle 3'!C84:E84)/12-SUM('[22]EO Cycle 3'!$C84:$E84)/12,2)*3</f>
        <v>0</v>
      </c>
      <c r="E25" s="131">
        <f>ROUND(+'EO Cycle 3'!$F60/12+'EO Cycle 3'!$F72/12+'EO Cycle 3'!$F84/12,2)</f>
        <v>34045.74</v>
      </c>
      <c r="F25" s="131">
        <f>ROUND(+'EO Cycle 3'!$F60/12+'EO Cycle 3'!$F72/12+'EO Cycle 3'!$F84/12,2)</f>
        <v>34045.74</v>
      </c>
      <c r="G25" s="131">
        <f>ROUND(+'EO Cycle 3'!$F60/12+'EO Cycle 3'!$F72/12+'EO Cycle 3'!$F84/12,2)</f>
        <v>34045.74</v>
      </c>
      <c r="H25" s="182">
        <f>ROUND(+'EO Cycle 3'!$F60/12+'EO Cycle 3'!$F84/12+'EO Cycle 3'!$F96/12+'EO Cycle 3'!$F120/12,2)</f>
        <v>48069.33</v>
      </c>
      <c r="I25" s="117">
        <f>ROUND(+'EO Cycle 3'!$F60/12+'EO Cycle 3'!$F84/12+'EO Cycle 3'!$F96/12+'EO Cycle 3'!$F120/12,2)</f>
        <v>48069.33</v>
      </c>
      <c r="J25" s="163">
        <f>ROUND(+'EO Cycle 3'!$F60/12+'EO Cycle 3'!$F84/12+'EO Cycle 3'!$F96/12+'EO Cycle 3'!$F120/12,2)</f>
        <v>48069.33</v>
      </c>
      <c r="K25" s="138">
        <f>ROUND(+'EO Cycle 3'!$F60/12+'EO Cycle 3'!$F84/12+'EO Cycle 3'!$F96/12+'EO Cycle 3'!$F120/12,2)</f>
        <v>48069.33</v>
      </c>
      <c r="L25" s="138">
        <f>ROUND(+'EO Cycle 3'!$F60/12+'EO Cycle 3'!$F84/12+'EO Cycle 3'!$F96/12+'EO Cycle 3'!$F120/12,2)</f>
        <v>48069.33</v>
      </c>
      <c r="M25" s="79"/>
      <c r="O25" s="4"/>
      <c r="P25" s="185">
        <f t="shared" si="10"/>
        <v>-96138.66</v>
      </c>
    </row>
    <row r="26" spans="1:18" x14ac:dyDescent="0.35">
      <c r="A26" s="46" t="s">
        <v>134</v>
      </c>
      <c r="C26" s="97">
        <v>-155922.46</v>
      </c>
      <c r="D26" s="97">
        <f>ROUND(SUM('EO Cycle 3'!C85:E85)/12-SUM('[22]EO Cycle 3'!$C85:$E85)/12,2)*3</f>
        <v>0</v>
      </c>
      <c r="E26" s="131">
        <f>ROUND(+'EO Cycle 3'!$F61/12+'EO Cycle 3'!$F73/12+'EO Cycle 3'!$F85/12,2)</f>
        <v>77961.23</v>
      </c>
      <c r="F26" s="131">
        <f>ROUND(+'EO Cycle 3'!$F61/12+'EO Cycle 3'!$F73/12+'EO Cycle 3'!$F85/12,2)</f>
        <v>77961.23</v>
      </c>
      <c r="G26" s="131">
        <f>ROUND(+'EO Cycle 3'!$F61/12+'EO Cycle 3'!$F73/12+'EO Cycle 3'!$F85/12,2)</f>
        <v>77961.23</v>
      </c>
      <c r="H26" s="182">
        <f>ROUND(+'EO Cycle 3'!$F61/12+'EO Cycle 3'!$F85/12+'EO Cycle 3'!$F97/12+'EO Cycle 3'!$F121/12,2)</f>
        <v>75116.88</v>
      </c>
      <c r="I26" s="117">
        <f>ROUND(+'EO Cycle 3'!$F61/12+'EO Cycle 3'!$F85/12+'EO Cycle 3'!$F97/12+'EO Cycle 3'!$F121/12,2)</f>
        <v>75116.88</v>
      </c>
      <c r="J26" s="163">
        <f>ROUND(+'EO Cycle 3'!$F61/12+'EO Cycle 3'!$F85/12+'EO Cycle 3'!$F97/12+'EO Cycle 3'!$F121/12,2)</f>
        <v>75116.88</v>
      </c>
      <c r="K26" s="138">
        <f>ROUND(+'EO Cycle 3'!$F61/12+'EO Cycle 3'!$F85/12+'EO Cycle 3'!$F97/12+'EO Cycle 3'!$F121/12,2)</f>
        <v>75116.88</v>
      </c>
      <c r="L26" s="138">
        <f>ROUND(+'EO Cycle 3'!$F61/12+'EO Cycle 3'!$F85/12+'EO Cycle 3'!$F97/12+'EO Cycle 3'!$F121/12,2)</f>
        <v>75116.88</v>
      </c>
      <c r="M26" s="79"/>
      <c r="O26" s="4"/>
      <c r="P26" s="185">
        <f t="shared" si="10"/>
        <v>-150233.76</v>
      </c>
    </row>
    <row r="27" spans="1:18" x14ac:dyDescent="0.35">
      <c r="A27" s="46" t="s">
        <v>135</v>
      </c>
      <c r="C27" s="97">
        <v>-22171.34</v>
      </c>
      <c r="D27" s="97">
        <f>ROUND(SUM('EO Cycle 3'!C86:E86)/12-SUM('[22]EO Cycle 3'!$C86:$E86)/12,2)*3</f>
        <v>0</v>
      </c>
      <c r="E27" s="131">
        <f>ROUND(+'EO Cycle 3'!$F62/12+'EO Cycle 3'!$F74/12+'EO Cycle 3'!$F86/12,2)</f>
        <v>11085.67</v>
      </c>
      <c r="F27" s="131">
        <f>ROUND(+'EO Cycle 3'!$F62/12+'EO Cycle 3'!$F74/12+'EO Cycle 3'!$F86/12,2)</f>
        <v>11085.67</v>
      </c>
      <c r="G27" s="131">
        <f>ROUND(+'EO Cycle 3'!$F62/12+'EO Cycle 3'!$F74/12+'EO Cycle 3'!$F86/12,2)</f>
        <v>11085.67</v>
      </c>
      <c r="H27" s="182">
        <f>ROUND(+'EO Cycle 3'!$F62/12+'EO Cycle 3'!$F86/12+'EO Cycle 3'!$F98/12+'EO Cycle 3'!$F122/12,2)</f>
        <v>17496.2</v>
      </c>
      <c r="I27" s="117">
        <f>ROUND(+'EO Cycle 3'!$F62/12+'EO Cycle 3'!$F86/12+'EO Cycle 3'!$F98/12+'EO Cycle 3'!$F122/12,2)</f>
        <v>17496.2</v>
      </c>
      <c r="J27" s="163">
        <f>ROUND(+'EO Cycle 3'!$F62/12+'EO Cycle 3'!$F86/12+'EO Cycle 3'!$F98/12+'EO Cycle 3'!$F122/12,2)</f>
        <v>17496.2</v>
      </c>
      <c r="K27" s="138">
        <f>ROUND(+'EO Cycle 3'!$F62/12+'EO Cycle 3'!$F86/12+'EO Cycle 3'!$F98/12+'EO Cycle 3'!$F122/12,2)</f>
        <v>17496.2</v>
      </c>
      <c r="L27" s="138">
        <f>ROUND(+'EO Cycle 3'!$F62/12+'EO Cycle 3'!$F86/12+'EO Cycle 3'!$F98/12+'EO Cycle 3'!$F122/12,2)</f>
        <v>17496.2</v>
      </c>
      <c r="M27" s="79"/>
      <c r="O27" s="4"/>
      <c r="P27" s="185">
        <f t="shared" si="10"/>
        <v>-34992.400000000001</v>
      </c>
    </row>
    <row r="28" spans="1:18" x14ac:dyDescent="0.35">
      <c r="C28" s="36"/>
      <c r="D28" s="36"/>
      <c r="E28" s="349"/>
      <c r="F28" s="349"/>
      <c r="G28" s="349"/>
      <c r="H28" s="350"/>
      <c r="I28" s="349"/>
      <c r="J28" s="351"/>
      <c r="K28" s="52"/>
      <c r="L28" s="52"/>
      <c r="M28" s="13"/>
    </row>
    <row r="29" spans="1:18" ht="15" thickBot="1" x14ac:dyDescent="0.4">
      <c r="A29" s="3" t="s">
        <v>14</v>
      </c>
      <c r="B29" s="3"/>
      <c r="C29" s="102">
        <v>-7372.02</v>
      </c>
      <c r="D29" s="102">
        <f>SUM(D47:D51)</f>
        <v>0</v>
      </c>
      <c r="E29" s="131">
        <f>3477.79-0.33</f>
        <v>3477.46</v>
      </c>
      <c r="F29" s="131">
        <f>3919.01-2.98</f>
        <v>3916.03</v>
      </c>
      <c r="G29" s="132">
        <f>4085.08-3.67</f>
        <v>4081.41</v>
      </c>
      <c r="H29" s="26">
        <f>4194.86-4.78</f>
        <v>4190.08</v>
      </c>
      <c r="I29" s="118">
        <f>4165.37-6.07</f>
        <v>4159.3</v>
      </c>
      <c r="J29" s="168">
        <f>4178.13-7.31</f>
        <v>4170.82</v>
      </c>
      <c r="K29" s="157">
        <f>ROUND((SUM(J39:J43)+SUM(J47:J51)+SUM(K32:K36)/2)*K$45,2)</f>
        <v>4539.7</v>
      </c>
      <c r="L29" s="140">
        <f>ROUND((SUM(K39:K43)+SUM(K47:K51)+SUM(L32:L36)/2)*L$45,2)</f>
        <v>4851.05</v>
      </c>
      <c r="M29" s="82"/>
      <c r="P29" s="185">
        <f t="shared" si="10"/>
        <v>-9390.75</v>
      </c>
      <c r="R29" s="333"/>
    </row>
    <row r="30" spans="1:18" x14ac:dyDescent="0.35">
      <c r="C30" s="64"/>
      <c r="D30" s="64"/>
      <c r="E30" s="144"/>
      <c r="F30" s="144"/>
      <c r="G30" s="145"/>
      <c r="H30" s="64"/>
      <c r="I30" s="33"/>
      <c r="J30" s="169"/>
      <c r="K30" s="34"/>
      <c r="L30" s="34"/>
      <c r="M30" s="60"/>
    </row>
    <row r="31" spans="1:18" x14ac:dyDescent="0.35">
      <c r="A31" s="46" t="s">
        <v>51</v>
      </c>
      <c r="C31" s="65"/>
      <c r="D31" s="65"/>
      <c r="E31" s="145"/>
      <c r="F31" s="145"/>
      <c r="G31" s="145"/>
      <c r="H31" s="65"/>
      <c r="I31" s="35"/>
      <c r="J31" s="170"/>
      <c r="K31" s="34"/>
      <c r="L31" s="34"/>
      <c r="M31" s="60"/>
    </row>
    <row r="32" spans="1:18" x14ac:dyDescent="0.35">
      <c r="A32" s="46" t="s">
        <v>24</v>
      </c>
      <c r="C32" s="100">
        <f t="shared" ref="C32:M36" si="11">C23-C16</f>
        <v>63418.482520000078</v>
      </c>
      <c r="D32" s="100">
        <f t="shared" ref="D32" si="12">D23-D16</f>
        <v>-364.08</v>
      </c>
      <c r="E32" s="41">
        <f t="shared" si="11"/>
        <v>59390.91</v>
      </c>
      <c r="F32" s="41">
        <f t="shared" si="11"/>
        <v>29450.010000000009</v>
      </c>
      <c r="G32" s="107">
        <f t="shared" si="11"/>
        <v>-15473.559999999998</v>
      </c>
      <c r="H32" s="40">
        <f t="shared" si="11"/>
        <v>14670.690000000002</v>
      </c>
      <c r="I32" s="41">
        <f t="shared" si="11"/>
        <v>-1796.6600000000035</v>
      </c>
      <c r="J32" s="61">
        <f t="shared" si="11"/>
        <v>35513.73000000001</v>
      </c>
      <c r="K32" s="119">
        <f t="shared" si="11"/>
        <v>60266.664810000002</v>
      </c>
      <c r="L32" s="41">
        <f t="shared" si="11"/>
        <v>9150.5073299999931</v>
      </c>
      <c r="M32" s="61">
        <f t="shared" si="11"/>
        <v>-190761.79961000002</v>
      </c>
    </row>
    <row r="33" spans="1:16" x14ac:dyDescent="0.35">
      <c r="A33" s="46" t="s">
        <v>132</v>
      </c>
      <c r="C33" s="100">
        <f t="shared" si="11"/>
        <v>14489.46471</v>
      </c>
      <c r="D33" s="100">
        <f t="shared" ref="D33" si="13">D24-D17</f>
        <v>0</v>
      </c>
      <c r="E33" s="41">
        <f t="shared" si="11"/>
        <v>3586.9400000000005</v>
      </c>
      <c r="F33" s="41">
        <f t="shared" si="11"/>
        <v>1287.5699999999997</v>
      </c>
      <c r="G33" s="107">
        <f t="shared" si="11"/>
        <v>-1416.7099999999991</v>
      </c>
      <c r="H33" s="40">
        <f t="shared" si="11"/>
        <v>5711.66</v>
      </c>
      <c r="I33" s="41">
        <f t="shared" si="11"/>
        <v>2884.260000000002</v>
      </c>
      <c r="J33" s="61">
        <f t="shared" si="11"/>
        <v>4515.869999999999</v>
      </c>
      <c r="K33" s="119">
        <f t="shared" si="11"/>
        <v>7041.0199800000009</v>
      </c>
      <c r="L33" s="41">
        <f t="shared" si="11"/>
        <v>5227.3255800000006</v>
      </c>
      <c r="M33" s="61">
        <f t="shared" si="11"/>
        <v>-20900.902880000001</v>
      </c>
    </row>
    <row r="34" spans="1:16" x14ac:dyDescent="0.35">
      <c r="A34" s="46" t="s">
        <v>133</v>
      </c>
      <c r="C34" s="100">
        <f t="shared" si="11"/>
        <v>26366.098050000001</v>
      </c>
      <c r="D34" s="100">
        <f t="shared" ref="D34" si="14">D25-D18</f>
        <v>0</v>
      </c>
      <c r="E34" s="41">
        <f t="shared" si="11"/>
        <v>7473.2699999999968</v>
      </c>
      <c r="F34" s="41">
        <f t="shared" si="11"/>
        <v>4287.7599999999984</v>
      </c>
      <c r="G34" s="107">
        <f t="shared" si="11"/>
        <v>-1020.4200000000055</v>
      </c>
      <c r="H34" s="40">
        <f t="shared" si="11"/>
        <v>11132.57</v>
      </c>
      <c r="I34" s="41">
        <f t="shared" si="11"/>
        <v>3717.6900000000023</v>
      </c>
      <c r="J34" s="61">
        <f t="shared" si="11"/>
        <v>5716.6200000000026</v>
      </c>
      <c r="K34" s="119">
        <f t="shared" si="11"/>
        <v>9313.1637600000031</v>
      </c>
      <c r="L34" s="41">
        <f t="shared" si="11"/>
        <v>5594.1486799999984</v>
      </c>
      <c r="M34" s="61">
        <f t="shared" si="11"/>
        <v>-42857.702799999999</v>
      </c>
    </row>
    <row r="35" spans="1:16" x14ac:dyDescent="0.35">
      <c r="A35" s="46" t="s">
        <v>134</v>
      </c>
      <c r="C35" s="100">
        <f t="shared" si="11"/>
        <v>26085.442400000029</v>
      </c>
      <c r="D35" s="100">
        <f t="shared" ref="D35" si="15">D26-D19</f>
        <v>0</v>
      </c>
      <c r="E35" s="41">
        <f t="shared" si="11"/>
        <v>20759.059999999998</v>
      </c>
      <c r="F35" s="41">
        <f t="shared" si="11"/>
        <v>19581.409999999996</v>
      </c>
      <c r="G35" s="107">
        <f t="shared" si="11"/>
        <v>12254.989999999991</v>
      </c>
      <c r="H35" s="40">
        <f t="shared" si="11"/>
        <v>8188.0200000000041</v>
      </c>
      <c r="I35" s="41">
        <f t="shared" si="11"/>
        <v>-781.05999999999767</v>
      </c>
      <c r="J35" s="61">
        <f t="shared" si="11"/>
        <v>3162.8300000000017</v>
      </c>
      <c r="K35" s="119">
        <f t="shared" si="11"/>
        <v>9435.7657400000026</v>
      </c>
      <c r="L35" s="41">
        <f t="shared" si="11"/>
        <v>3133.0504400000063</v>
      </c>
      <c r="M35" s="61">
        <f t="shared" si="11"/>
        <v>-72632.098819999999</v>
      </c>
    </row>
    <row r="36" spans="1:16" x14ac:dyDescent="0.35">
      <c r="A36" s="46" t="s">
        <v>135</v>
      </c>
      <c r="C36" s="100">
        <f t="shared" si="11"/>
        <v>5633.2479900000035</v>
      </c>
      <c r="D36" s="100">
        <f t="shared" ref="D36" si="16">D27-D20</f>
        <v>0</v>
      </c>
      <c r="E36" s="41">
        <f t="shared" si="11"/>
        <v>2264.33</v>
      </c>
      <c r="F36" s="41">
        <f t="shared" si="11"/>
        <v>3742.6000000000004</v>
      </c>
      <c r="G36" s="107">
        <f t="shared" si="11"/>
        <v>-584.90999999999985</v>
      </c>
      <c r="H36" s="40">
        <f t="shared" si="11"/>
        <v>6066.3900000000012</v>
      </c>
      <c r="I36" s="41">
        <f t="shared" si="11"/>
        <v>4687.75</v>
      </c>
      <c r="J36" s="61">
        <f t="shared" si="11"/>
        <v>510.53000000000247</v>
      </c>
      <c r="K36" s="119">
        <f t="shared" si="11"/>
        <v>3851.17958</v>
      </c>
      <c r="L36" s="41">
        <f t="shared" si="11"/>
        <v>2541.8127199999999</v>
      </c>
      <c r="M36" s="61">
        <f t="shared" si="11"/>
        <v>-15089.062980000001</v>
      </c>
    </row>
    <row r="37" spans="1:16" x14ac:dyDescent="0.35">
      <c r="C37" s="99"/>
      <c r="D37" s="99"/>
      <c r="E37" s="17"/>
      <c r="F37" s="17"/>
      <c r="G37" s="17"/>
      <c r="H37" s="10"/>
      <c r="I37" s="17"/>
      <c r="J37" s="29"/>
      <c r="K37" s="17"/>
      <c r="L37" s="17"/>
      <c r="M37" s="11"/>
    </row>
    <row r="38" spans="1:16" x14ac:dyDescent="0.35">
      <c r="A38" s="46" t="s">
        <v>52</v>
      </c>
      <c r="C38" s="99"/>
      <c r="D38" s="99"/>
      <c r="E38" s="17"/>
      <c r="F38" s="17"/>
      <c r="G38" s="17"/>
      <c r="H38" s="10"/>
      <c r="I38" s="17"/>
      <c r="J38" s="11"/>
      <c r="K38" s="17"/>
      <c r="L38" s="17"/>
      <c r="M38" s="11"/>
    </row>
    <row r="39" spans="1:16" x14ac:dyDescent="0.35">
      <c r="A39" s="46" t="s">
        <v>24</v>
      </c>
      <c r="B39" s="300">
        <v>253013.88747999989</v>
      </c>
      <c r="C39" s="100">
        <f t="shared" ref="C39:M43" si="17">B39+C32+B47</f>
        <v>316432.37</v>
      </c>
      <c r="D39" s="100"/>
      <c r="E39" s="41">
        <f>C39+E32+C47+D47+D32</f>
        <v>371479.14</v>
      </c>
      <c r="F39" s="41">
        <f t="shared" si="17"/>
        <v>402796.07</v>
      </c>
      <c r="G39" s="107">
        <f t="shared" si="17"/>
        <v>389444.01</v>
      </c>
      <c r="H39" s="40">
        <f t="shared" si="17"/>
        <v>406286.81</v>
      </c>
      <c r="I39" s="41">
        <f t="shared" si="17"/>
        <v>406660.69</v>
      </c>
      <c r="J39" s="61">
        <f t="shared" si="17"/>
        <v>444289.19000000006</v>
      </c>
      <c r="K39" s="119">
        <f t="shared" si="17"/>
        <v>506686.87481000007</v>
      </c>
      <c r="L39" s="41">
        <f t="shared" si="17"/>
        <v>518218.31214000005</v>
      </c>
      <c r="M39" s="61">
        <f t="shared" si="17"/>
        <v>330022.75253000006</v>
      </c>
      <c r="P39" s="185"/>
    </row>
    <row r="40" spans="1:16" x14ac:dyDescent="0.35">
      <c r="A40" s="46" t="s">
        <v>132</v>
      </c>
      <c r="B40" s="300">
        <v>11285.225289999998</v>
      </c>
      <c r="C40" s="100">
        <f t="shared" si="17"/>
        <v>25774.69</v>
      </c>
      <c r="D40" s="100"/>
      <c r="E40" s="41">
        <f t="shared" ref="E40:E43" si="18">C40+E33+C48+D48+D33</f>
        <v>29055.979999999996</v>
      </c>
      <c r="F40" s="41">
        <f t="shared" si="17"/>
        <v>30492.309999999994</v>
      </c>
      <c r="G40" s="107">
        <f t="shared" si="17"/>
        <v>29238.779999999995</v>
      </c>
      <c r="H40" s="40">
        <f t="shared" si="17"/>
        <v>35114.219999999994</v>
      </c>
      <c r="I40" s="41">
        <f t="shared" si="17"/>
        <v>38173.979999999996</v>
      </c>
      <c r="J40" s="61">
        <f t="shared" si="17"/>
        <v>42880.44999999999</v>
      </c>
      <c r="K40" s="119">
        <f t="shared" si="17"/>
        <v>50124.429979999994</v>
      </c>
      <c r="L40" s="41">
        <f t="shared" si="17"/>
        <v>55584.595559999987</v>
      </c>
      <c r="M40" s="61">
        <f t="shared" si="17"/>
        <v>34948.342679999987</v>
      </c>
      <c r="P40" s="185"/>
    </row>
    <row r="41" spans="1:16" x14ac:dyDescent="0.35">
      <c r="A41" s="46" t="s">
        <v>133</v>
      </c>
      <c r="B41" s="300">
        <v>54291.521950000002</v>
      </c>
      <c r="C41" s="100">
        <f t="shared" si="17"/>
        <v>80657.62</v>
      </c>
      <c r="D41" s="100"/>
      <c r="E41" s="41">
        <f t="shared" si="18"/>
        <v>87204.089999999982</v>
      </c>
      <c r="F41" s="41">
        <f t="shared" si="17"/>
        <v>91947.289999999979</v>
      </c>
      <c r="G41" s="107">
        <f t="shared" si="17"/>
        <v>91417.799999999959</v>
      </c>
      <c r="H41" s="40">
        <f t="shared" si="17"/>
        <v>103053.10999999997</v>
      </c>
      <c r="I41" s="41">
        <f t="shared" si="17"/>
        <v>107301.18999999997</v>
      </c>
      <c r="J41" s="61">
        <f t="shared" si="17"/>
        <v>113564.93999999997</v>
      </c>
      <c r="K41" s="119">
        <f t="shared" si="17"/>
        <v>123431.21375999997</v>
      </c>
      <c r="L41" s="41">
        <f t="shared" si="17"/>
        <v>129618.78243999997</v>
      </c>
      <c r="M41" s="61">
        <f t="shared" si="17"/>
        <v>87394.699639999963</v>
      </c>
      <c r="P41" s="185"/>
    </row>
    <row r="42" spans="1:16" x14ac:dyDescent="0.35">
      <c r="A42" s="46" t="s">
        <v>134</v>
      </c>
      <c r="B42" s="300">
        <v>132211.78760000004</v>
      </c>
      <c r="C42" s="100">
        <f t="shared" si="17"/>
        <v>158297.23000000007</v>
      </c>
      <c r="D42" s="100"/>
      <c r="E42" s="41">
        <f t="shared" si="18"/>
        <v>177105.79000000007</v>
      </c>
      <c r="F42" s="41">
        <f t="shared" si="17"/>
        <v>197596.94000000006</v>
      </c>
      <c r="G42" s="107">
        <f t="shared" si="17"/>
        <v>210878.62000000005</v>
      </c>
      <c r="H42" s="40">
        <f t="shared" si="17"/>
        <v>220186.39000000007</v>
      </c>
      <c r="I42" s="41">
        <f t="shared" si="17"/>
        <v>220581.00000000009</v>
      </c>
      <c r="J42" s="61">
        <f t="shared" si="17"/>
        <v>224890.42000000007</v>
      </c>
      <c r="K42" s="119">
        <f t="shared" si="17"/>
        <v>235441.87574000008</v>
      </c>
      <c r="L42" s="41">
        <f t="shared" si="17"/>
        <v>239727.65618000008</v>
      </c>
      <c r="M42" s="61">
        <f t="shared" si="17"/>
        <v>168285.44736000011</v>
      </c>
      <c r="P42" s="185"/>
    </row>
    <row r="43" spans="1:16" x14ac:dyDescent="0.35">
      <c r="A43" s="46" t="s">
        <v>135</v>
      </c>
      <c r="B43" s="300">
        <v>11147.572010000005</v>
      </c>
      <c r="C43" s="100">
        <f>B43+C36+B51</f>
        <v>16780.820000000007</v>
      </c>
      <c r="D43" s="100"/>
      <c r="E43" s="41">
        <f t="shared" si="18"/>
        <v>18836.14000000001</v>
      </c>
      <c r="F43" s="41">
        <f t="shared" si="17"/>
        <v>22675.340000000011</v>
      </c>
      <c r="G43" s="107">
        <f t="shared" si="17"/>
        <v>22204.160000000011</v>
      </c>
      <c r="H43" s="40">
        <f t="shared" si="17"/>
        <v>28393.580000000009</v>
      </c>
      <c r="I43" s="41">
        <f t="shared" si="17"/>
        <v>33219.310000000012</v>
      </c>
      <c r="J43" s="61">
        <f t="shared" si="17"/>
        <v>33890.05000000001</v>
      </c>
      <c r="K43" s="119">
        <f t="shared" si="17"/>
        <v>37909.269580000015</v>
      </c>
      <c r="L43" s="41">
        <f t="shared" si="17"/>
        <v>40630.862300000015</v>
      </c>
      <c r="M43" s="61">
        <f t="shared" si="17"/>
        <v>25738.449320000014</v>
      </c>
      <c r="P43" s="185"/>
    </row>
    <row r="44" spans="1:16" x14ac:dyDescent="0.35">
      <c r="C44" s="99"/>
      <c r="D44" s="99"/>
      <c r="E44" s="17"/>
      <c r="F44" s="17"/>
      <c r="G44" s="17"/>
      <c r="H44" s="10"/>
      <c r="I44" s="17"/>
      <c r="J44" s="11"/>
      <c r="K44" s="17"/>
      <c r="L44" s="17"/>
      <c r="M44" s="11"/>
    </row>
    <row r="45" spans="1:16" x14ac:dyDescent="0.35">
      <c r="A45" s="39" t="s">
        <v>48</v>
      </c>
      <c r="B45" s="39"/>
      <c r="C45" s="103"/>
      <c r="D45" s="103"/>
      <c r="E45" s="83">
        <f>+'PCR Cycle 2'!E50</f>
        <v>5.4564799999999997E-3</v>
      </c>
      <c r="F45" s="83">
        <f>+'PCR Cycle 2'!F50</f>
        <v>5.4667700000000001E-3</v>
      </c>
      <c r="G45" s="83">
        <f>+'PCR Cycle 2'!G50</f>
        <v>5.46883E-3</v>
      </c>
      <c r="H45" s="84">
        <f>+'PCR Cycle 2'!H50</f>
        <v>5.4406000000000003E-3</v>
      </c>
      <c r="I45" s="83">
        <f>+'PCR Cycle 2'!I50</f>
        <v>5.1888699999999999E-3</v>
      </c>
      <c r="J45" s="92">
        <f>+'PCR Cycle 2'!J50</f>
        <v>4.9961500000000004E-3</v>
      </c>
      <c r="K45" s="83">
        <f>+'PCR Cycle 2'!K50</f>
        <v>4.9961500000000004E-3</v>
      </c>
      <c r="L45" s="83">
        <f>+'PCR Cycle 2'!L50</f>
        <v>4.9961500000000004E-3</v>
      </c>
      <c r="M45" s="85"/>
    </row>
    <row r="46" spans="1:16" x14ac:dyDescent="0.35">
      <c r="A46" s="39" t="s">
        <v>36</v>
      </c>
      <c r="B46" s="39"/>
      <c r="C46" s="105"/>
      <c r="D46" s="105"/>
      <c r="E46" s="83"/>
      <c r="F46" s="83"/>
      <c r="G46" s="83"/>
      <c r="H46" s="84"/>
      <c r="I46" s="83"/>
      <c r="J46" s="85"/>
      <c r="K46" s="83"/>
      <c r="L46" s="83"/>
      <c r="M46" s="85"/>
    </row>
    <row r="47" spans="1:16" x14ac:dyDescent="0.35">
      <c r="A47" s="46" t="s">
        <v>24</v>
      </c>
      <c r="C47" s="301">
        <v>-3980.06</v>
      </c>
      <c r="D47" s="100"/>
      <c r="E47" s="41">
        <f>ROUND((C39+C47+D47+E32/2)*E$45,2)</f>
        <v>1866.92</v>
      </c>
      <c r="F47" s="41">
        <f t="shared" ref="F47:M51" si="19">ROUND((E39+E47+F32/2)*F$45,2)</f>
        <v>2121.5</v>
      </c>
      <c r="G47" s="107">
        <f t="shared" si="19"/>
        <v>2172.11</v>
      </c>
      <c r="H47" s="40">
        <f t="shared" si="19"/>
        <v>2170.54</v>
      </c>
      <c r="I47" s="119">
        <f t="shared" si="19"/>
        <v>2114.77</v>
      </c>
      <c r="J47" s="49">
        <f t="shared" si="19"/>
        <v>2131.02</v>
      </c>
      <c r="K47" s="158">
        <f t="shared" si="19"/>
        <v>2380.9299999999998</v>
      </c>
      <c r="L47" s="107">
        <f t="shared" si="19"/>
        <v>2566.2399999999998</v>
      </c>
      <c r="M47" s="61">
        <f t="shared" si="19"/>
        <v>0</v>
      </c>
      <c r="P47" s="185">
        <f t="shared" ref="P47:P51" si="20">-SUM(K47:M47)</f>
        <v>-4947.17</v>
      </c>
    </row>
    <row r="48" spans="1:16" x14ac:dyDescent="0.35">
      <c r="A48" s="46" t="s">
        <v>132</v>
      </c>
      <c r="C48" s="301">
        <v>-305.64999999999998</v>
      </c>
      <c r="D48" s="100"/>
      <c r="E48" s="41">
        <f t="shared" ref="E48:E51" si="21">ROUND((C40+C48+D48+E33/2)*E$45,2)</f>
        <v>148.76</v>
      </c>
      <c r="F48" s="41">
        <f t="shared" si="19"/>
        <v>163.18</v>
      </c>
      <c r="G48" s="107">
        <f t="shared" si="19"/>
        <v>163.78</v>
      </c>
      <c r="H48" s="40">
        <f t="shared" si="19"/>
        <v>175.5</v>
      </c>
      <c r="I48" s="119">
        <f t="shared" si="19"/>
        <v>190.6</v>
      </c>
      <c r="J48" s="49">
        <f t="shared" si="19"/>
        <v>202.96</v>
      </c>
      <c r="K48" s="158">
        <f t="shared" si="19"/>
        <v>232.84</v>
      </c>
      <c r="L48" s="107">
        <f t="shared" si="19"/>
        <v>264.64999999999998</v>
      </c>
      <c r="M48" s="61">
        <f t="shared" si="19"/>
        <v>0</v>
      </c>
      <c r="P48" s="185">
        <f t="shared" si="20"/>
        <v>-497.49</v>
      </c>
    </row>
    <row r="49" spans="1:18" x14ac:dyDescent="0.35">
      <c r="A49" s="46" t="s">
        <v>133</v>
      </c>
      <c r="C49" s="301">
        <v>-926.8</v>
      </c>
      <c r="D49" s="100"/>
      <c r="E49" s="41">
        <f t="shared" si="21"/>
        <v>455.44</v>
      </c>
      <c r="F49" s="41">
        <f t="shared" si="19"/>
        <v>490.93</v>
      </c>
      <c r="G49" s="107">
        <f t="shared" si="19"/>
        <v>502.74</v>
      </c>
      <c r="H49" s="40">
        <f t="shared" si="19"/>
        <v>530.39</v>
      </c>
      <c r="I49" s="119">
        <f t="shared" si="19"/>
        <v>547.13</v>
      </c>
      <c r="J49" s="49">
        <f t="shared" si="19"/>
        <v>553.11</v>
      </c>
      <c r="K49" s="158">
        <f t="shared" si="19"/>
        <v>593.41999999999996</v>
      </c>
      <c r="L49" s="107">
        <f t="shared" si="19"/>
        <v>633.62</v>
      </c>
      <c r="M49" s="61">
        <f t="shared" si="19"/>
        <v>0</v>
      </c>
      <c r="P49" s="185">
        <f t="shared" si="20"/>
        <v>-1227.04</v>
      </c>
    </row>
    <row r="50" spans="1:18" x14ac:dyDescent="0.35">
      <c r="A50" s="46" t="s">
        <v>134</v>
      </c>
      <c r="C50" s="301">
        <v>-1950.5</v>
      </c>
      <c r="D50" s="100"/>
      <c r="E50" s="41">
        <f t="shared" si="21"/>
        <v>909.74</v>
      </c>
      <c r="F50" s="41">
        <f t="shared" si="19"/>
        <v>1026.69</v>
      </c>
      <c r="G50" s="107">
        <f t="shared" si="19"/>
        <v>1119.75</v>
      </c>
      <c r="H50" s="40">
        <f t="shared" si="19"/>
        <v>1175.67</v>
      </c>
      <c r="I50" s="119">
        <f t="shared" si="19"/>
        <v>1146.5899999999999</v>
      </c>
      <c r="J50" s="49">
        <f t="shared" si="19"/>
        <v>1115.69</v>
      </c>
      <c r="K50" s="158">
        <f t="shared" si="19"/>
        <v>1152.73</v>
      </c>
      <c r="L50" s="107">
        <f t="shared" si="19"/>
        <v>1189.8900000000001</v>
      </c>
      <c r="M50" s="61">
        <f t="shared" si="19"/>
        <v>0</v>
      </c>
      <c r="P50" s="185">
        <f t="shared" si="20"/>
        <v>-2342.62</v>
      </c>
    </row>
    <row r="51" spans="1:18" ht="15" thickBot="1" x14ac:dyDescent="0.4">
      <c r="A51" s="46" t="s">
        <v>135</v>
      </c>
      <c r="C51" s="301">
        <v>-209.01</v>
      </c>
      <c r="D51" s="100"/>
      <c r="E51" s="41">
        <f t="shared" si="21"/>
        <v>96.6</v>
      </c>
      <c r="F51" s="41">
        <f t="shared" si="19"/>
        <v>113.73</v>
      </c>
      <c r="G51" s="107">
        <f t="shared" si="19"/>
        <v>123.03</v>
      </c>
      <c r="H51" s="40">
        <f t="shared" si="19"/>
        <v>137.97999999999999</v>
      </c>
      <c r="I51" s="119">
        <f t="shared" si="19"/>
        <v>160.21</v>
      </c>
      <c r="J51" s="49">
        <f t="shared" si="19"/>
        <v>168.04</v>
      </c>
      <c r="K51" s="158">
        <f t="shared" si="19"/>
        <v>179.78</v>
      </c>
      <c r="L51" s="107">
        <f t="shared" si="19"/>
        <v>196.65</v>
      </c>
      <c r="M51" s="61">
        <f t="shared" si="19"/>
        <v>0</v>
      </c>
      <c r="P51" s="185">
        <f t="shared" si="20"/>
        <v>-376.43</v>
      </c>
    </row>
    <row r="52" spans="1:18" ht="15.5" thickTop="1" thickBot="1" x14ac:dyDescent="0.4">
      <c r="A52" s="54" t="s">
        <v>22</v>
      </c>
      <c r="B52" s="54"/>
      <c r="C52" s="106">
        <v>0</v>
      </c>
      <c r="D52" s="106"/>
      <c r="E52" s="42">
        <f t="shared" ref="E52:J52" si="22">SUM(E47:E51)+SUM(E39:E43)-E55</f>
        <v>0</v>
      </c>
      <c r="F52" s="42">
        <f t="shared" si="22"/>
        <v>0</v>
      </c>
      <c r="G52" s="50">
        <f t="shared" ref="G52:I52" si="23">SUM(G47:G51)+SUM(G39:G43)-G55</f>
        <v>0</v>
      </c>
      <c r="H52" s="142">
        <f t="shared" si="23"/>
        <v>0</v>
      </c>
      <c r="I52" s="50">
        <f t="shared" si="23"/>
        <v>0</v>
      </c>
      <c r="J52" s="62">
        <f t="shared" si="22"/>
        <v>0</v>
      </c>
      <c r="K52" s="159">
        <f t="shared" ref="K52:M52" si="24">SUM(K47:K51)+SUM(K39:K43)-K55</f>
        <v>0</v>
      </c>
      <c r="L52" s="50">
        <f t="shared" si="24"/>
        <v>0</v>
      </c>
      <c r="M52" s="62">
        <f t="shared" si="24"/>
        <v>0</v>
      </c>
    </row>
    <row r="53" spans="1:18" ht="15.5" thickTop="1" thickBot="1" x14ac:dyDescent="0.4">
      <c r="A53" s="54" t="s">
        <v>23</v>
      </c>
      <c r="B53" s="54"/>
      <c r="C53" s="106">
        <v>0</v>
      </c>
      <c r="D53" s="106"/>
      <c r="E53" s="42">
        <f t="shared" ref="E53:J53" si="25">SUM(E47:E51)-E29</f>
        <v>0</v>
      </c>
      <c r="F53" s="42">
        <f t="shared" si="25"/>
        <v>0</v>
      </c>
      <c r="G53" s="50">
        <f t="shared" ref="G53:I53" si="26">SUM(G47:G51)-G29</f>
        <v>0</v>
      </c>
      <c r="H53" s="142">
        <f t="shared" si="26"/>
        <v>0</v>
      </c>
      <c r="I53" s="50">
        <f t="shared" si="26"/>
        <v>0</v>
      </c>
      <c r="J53" s="62">
        <f t="shared" si="25"/>
        <v>0</v>
      </c>
      <c r="K53" s="160">
        <f t="shared" ref="K53:M53" si="27">SUM(K47:K51)-K29</f>
        <v>0</v>
      </c>
      <c r="L53" s="42">
        <f t="shared" si="27"/>
        <v>0</v>
      </c>
      <c r="M53" s="42">
        <f t="shared" si="27"/>
        <v>0</v>
      </c>
    </row>
    <row r="54" spans="1:18" ht="15.5" thickTop="1" thickBot="1" x14ac:dyDescent="0.4">
      <c r="C54" s="99"/>
      <c r="D54" s="99"/>
      <c r="E54" s="17"/>
      <c r="F54" s="17"/>
      <c r="G54" s="17"/>
      <c r="H54" s="10"/>
      <c r="I54" s="17"/>
      <c r="J54" s="11"/>
      <c r="K54" s="17"/>
      <c r="L54" s="17"/>
      <c r="M54" s="11"/>
    </row>
    <row r="55" spans="1:18" ht="15" thickBot="1" x14ac:dyDescent="0.4">
      <c r="A55" s="46" t="s">
        <v>35</v>
      </c>
      <c r="B55" s="115">
        <f>SUM(B39:B43)</f>
        <v>461949.99432999996</v>
      </c>
      <c r="C55" s="100">
        <f t="shared" ref="C55:M55" si="28">(C13-SUM(C16:C20))+SUM(C47:C51)+B55</f>
        <v>590570.7100000002</v>
      </c>
      <c r="D55" s="100"/>
      <c r="E55" s="41">
        <f>(E13-SUM(E16:E20))+SUM(D47:E51)+C55+SUM(D32:D36)</f>
        <v>687158.60000000021</v>
      </c>
      <c r="F55" s="41">
        <f t="shared" si="28"/>
        <v>749423.98000000021</v>
      </c>
      <c r="G55" s="107">
        <f t="shared" si="28"/>
        <v>747264.78000000014</v>
      </c>
      <c r="H55" s="40">
        <f t="shared" si="28"/>
        <v>797224.19000000018</v>
      </c>
      <c r="I55" s="41">
        <f t="shared" si="28"/>
        <v>810095.4700000002</v>
      </c>
      <c r="J55" s="61">
        <f t="shared" si="28"/>
        <v>863685.87000000023</v>
      </c>
      <c r="K55" s="158">
        <f t="shared" si="28"/>
        <v>958133.36387000023</v>
      </c>
      <c r="L55" s="107">
        <f t="shared" si="28"/>
        <v>988631.25862000021</v>
      </c>
      <c r="M55" s="61">
        <f t="shared" si="28"/>
        <v>646389.69153000019</v>
      </c>
      <c r="R55" s="332"/>
    </row>
    <row r="56" spans="1:18" x14ac:dyDescent="0.35">
      <c r="A56" s="46" t="s">
        <v>12</v>
      </c>
      <c r="C56" s="116"/>
      <c r="D56" s="17"/>
      <c r="E56" s="17"/>
      <c r="F56" s="17"/>
      <c r="G56" s="17"/>
      <c r="H56" s="10"/>
      <c r="I56" s="17"/>
      <c r="J56" s="29"/>
      <c r="K56" s="17"/>
      <c r="L56" s="17"/>
      <c r="M56" s="11"/>
      <c r="R56" s="332"/>
    </row>
    <row r="57" spans="1:18" ht="15" thickBot="1" x14ac:dyDescent="0.4">
      <c r="A57" s="37"/>
      <c r="B57" s="37"/>
      <c r="C57" s="143"/>
      <c r="D57" s="263"/>
      <c r="E57" s="44"/>
      <c r="F57" s="44"/>
      <c r="G57" s="44"/>
      <c r="H57" s="43"/>
      <c r="I57" s="44"/>
      <c r="J57" s="45"/>
      <c r="K57" s="44"/>
      <c r="L57" s="44"/>
      <c r="M57" s="45"/>
    </row>
    <row r="58" spans="1:18" x14ac:dyDescent="0.35">
      <c r="E58"/>
      <c r="F58"/>
      <c r="G58"/>
      <c r="H58"/>
      <c r="I58"/>
      <c r="J58"/>
      <c r="K58"/>
      <c r="L58"/>
      <c r="M58"/>
    </row>
    <row r="59" spans="1:18" x14ac:dyDescent="0.35">
      <c r="A59" s="69" t="s">
        <v>11</v>
      </c>
      <c r="B59" s="69"/>
      <c r="C59" s="69"/>
      <c r="D59" s="69"/>
      <c r="E59"/>
      <c r="F59"/>
      <c r="G59"/>
      <c r="H59"/>
      <c r="I59"/>
      <c r="J59"/>
      <c r="K59"/>
      <c r="L59"/>
      <c r="M59"/>
    </row>
    <row r="60" spans="1:18" ht="31.5" customHeight="1" x14ac:dyDescent="0.35">
      <c r="A60" s="381" t="s">
        <v>157</v>
      </c>
      <c r="B60" s="381"/>
      <c r="C60" s="381"/>
      <c r="D60" s="381"/>
      <c r="E60" s="381"/>
      <c r="F60" s="381"/>
      <c r="G60" s="381"/>
      <c r="H60" s="381"/>
      <c r="I60" s="381"/>
      <c r="J60" s="381"/>
      <c r="K60" s="273"/>
      <c r="L60" s="273"/>
      <c r="M60" s="273"/>
    </row>
    <row r="61" spans="1:18" ht="57.75" customHeight="1" x14ac:dyDescent="0.35">
      <c r="A61" s="381" t="s">
        <v>287</v>
      </c>
      <c r="B61" s="381"/>
      <c r="C61" s="381"/>
      <c r="D61" s="381"/>
      <c r="E61" s="381"/>
      <c r="F61" s="381"/>
      <c r="G61" s="381"/>
      <c r="H61" s="381"/>
      <c r="I61" s="381"/>
      <c r="J61" s="381"/>
      <c r="K61" s="381"/>
      <c r="L61" s="273"/>
    </row>
    <row r="62" spans="1:18" x14ac:dyDescent="0.35">
      <c r="A62" s="381" t="s">
        <v>184</v>
      </c>
      <c r="B62" s="381"/>
      <c r="C62" s="381"/>
      <c r="D62" s="381"/>
      <c r="E62" s="381"/>
      <c r="F62" s="381"/>
      <c r="G62" s="381"/>
      <c r="H62" s="381"/>
      <c r="I62" s="381"/>
      <c r="J62" s="381"/>
      <c r="K62" s="319"/>
      <c r="L62" s="273"/>
      <c r="M62" s="273"/>
    </row>
    <row r="63" spans="1:18" x14ac:dyDescent="0.35">
      <c r="A63" s="381" t="s">
        <v>258</v>
      </c>
      <c r="B63" s="381"/>
      <c r="C63" s="381"/>
      <c r="D63" s="381"/>
      <c r="E63" s="381"/>
      <c r="F63" s="381"/>
      <c r="G63" s="381"/>
      <c r="H63" s="381"/>
      <c r="I63" s="381"/>
      <c r="J63" s="381"/>
      <c r="K63" s="381"/>
    </row>
    <row r="64" spans="1:18" x14ac:dyDescent="0.35">
      <c r="A64" s="63" t="s">
        <v>285</v>
      </c>
      <c r="B64" s="63"/>
      <c r="C64" s="63"/>
      <c r="D64" s="63"/>
      <c r="E64" s="39"/>
      <c r="F64" s="39"/>
      <c r="G64" s="39"/>
      <c r="H64" s="39"/>
      <c r="I64" s="39"/>
      <c r="J64" s="39"/>
      <c r="K64" s="39"/>
    </row>
    <row r="65" spans="1:7" s="39" customFormat="1" x14ac:dyDescent="0.35">
      <c r="A65" s="63" t="s">
        <v>92</v>
      </c>
      <c r="B65" s="63"/>
      <c r="C65" s="63"/>
      <c r="D65" s="63"/>
    </row>
    <row r="66" spans="1:7" x14ac:dyDescent="0.35">
      <c r="A66" s="335" t="s">
        <v>321</v>
      </c>
      <c r="B66" s="3"/>
      <c r="C66" s="3"/>
      <c r="D66" s="3"/>
    </row>
    <row r="68" spans="1:7" ht="36" customHeight="1" x14ac:dyDescent="0.35">
      <c r="A68" s="377"/>
      <c r="B68" s="377"/>
      <c r="C68" s="377"/>
      <c r="D68" s="377"/>
      <c r="E68" s="377"/>
      <c r="F68" s="377"/>
      <c r="G68" s="377"/>
    </row>
  </sheetData>
  <mergeCells count="8">
    <mergeCell ref="A68:G68"/>
    <mergeCell ref="E11:G11"/>
    <mergeCell ref="H11:J11"/>
    <mergeCell ref="K11:M11"/>
    <mergeCell ref="A60:J60"/>
    <mergeCell ref="A62:J62"/>
    <mergeCell ref="A61:K61"/>
    <mergeCell ref="A63:K63"/>
  </mergeCells>
  <pageMargins left="0.2" right="0.2" top="0.75" bottom="0.25" header="0.3" footer="0.3"/>
  <pageSetup scale="45" orientation="landscape" r:id="rId1"/>
  <headerFooter>
    <oddHeader>&amp;C&amp;F &amp;A&amp;R&amp;"Arial"&amp;10&amp;K000000CONFIDENTIAL</oddHeader>
    <oddFooter>&amp;R&amp;1#&amp;"Calibri"&amp;10&amp;KA80000Internal Use Only</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34"/>
  <sheetViews>
    <sheetView workbookViewId="0">
      <selection activeCell="F2" sqref="F2"/>
    </sheetView>
  </sheetViews>
  <sheetFormatPr defaultColWidth="9.1796875" defaultRowHeight="14.5" x14ac:dyDescent="0.35"/>
  <cols>
    <col min="1" max="1" width="43.1796875" style="46" customWidth="1"/>
    <col min="2" max="2" width="14.26953125" style="46" bestFit="1" customWidth="1"/>
    <col min="3" max="3" width="14.26953125" style="46" customWidth="1"/>
    <col min="4" max="4" width="13.54296875" style="46" bestFit="1" customWidth="1"/>
    <col min="5" max="5" width="12.453125" style="46" bestFit="1" customWidth="1"/>
    <col min="6" max="6" width="13.54296875" style="46" bestFit="1" customWidth="1"/>
    <col min="7" max="16384" width="9.1796875" style="46"/>
  </cols>
  <sheetData>
    <row r="1" spans="1:6" x14ac:dyDescent="0.35">
      <c r="A1" s="63" t="str">
        <f>+'PPC Cycle 3'!A1</f>
        <v>Evergy Metro, Inc. - DSIM Rider Update Filed 12/01/2024</v>
      </c>
    </row>
    <row r="2" spans="1:6" x14ac:dyDescent="0.35">
      <c r="A2" s="9" t="str">
        <f>SUBSTITUTE(+'PPC Cycle 3'!A2,"Cycle 3","Cycle 2")</f>
        <v>Projections for Cycle 2 January 2025 - December 2025 DSIM</v>
      </c>
      <c r="F2" s="39"/>
    </row>
    <row r="3" spans="1:6" ht="45.75" customHeight="1" x14ac:dyDescent="0.35">
      <c r="B3" s="374" t="s">
        <v>94</v>
      </c>
      <c r="C3" s="374"/>
      <c r="D3" s="374"/>
    </row>
    <row r="4" spans="1:6" x14ac:dyDescent="0.35">
      <c r="B4" s="48" t="s">
        <v>17</v>
      </c>
    </row>
    <row r="5" spans="1:6" x14ac:dyDescent="0.35">
      <c r="A5" s="20" t="s">
        <v>82</v>
      </c>
      <c r="B5" s="276">
        <f>+B8</f>
        <v>0</v>
      </c>
    </row>
    <row r="6" spans="1:6" x14ac:dyDescent="0.35">
      <c r="A6" s="20" t="s">
        <v>83</v>
      </c>
      <c r="B6" s="276">
        <f>+C8</f>
        <v>0</v>
      </c>
    </row>
    <row r="7" spans="1:6" ht="29" x14ac:dyDescent="0.35">
      <c r="A7" s="20"/>
      <c r="B7" s="265" t="s">
        <v>82</v>
      </c>
      <c r="C7" s="266" t="s">
        <v>83</v>
      </c>
      <c r="D7" s="3" t="s">
        <v>5</v>
      </c>
    </row>
    <row r="8" spans="1:6" x14ac:dyDescent="0.35">
      <c r="A8" s="20" t="s">
        <v>24</v>
      </c>
      <c r="B8" s="210">
        <v>0</v>
      </c>
      <c r="C8" s="210">
        <v>0</v>
      </c>
      <c r="D8" s="210">
        <f>SUM(B8:C8)</f>
        <v>0</v>
      </c>
    </row>
    <row r="9" spans="1:6" x14ac:dyDescent="0.35">
      <c r="A9" s="20" t="s">
        <v>25</v>
      </c>
      <c r="B9" s="210">
        <v>0</v>
      </c>
      <c r="C9" s="210">
        <v>0</v>
      </c>
      <c r="D9" s="210">
        <f>SUM(B9:C9)</f>
        <v>0</v>
      </c>
    </row>
    <row r="10" spans="1:6" ht="15" thickBot="1" x14ac:dyDescent="0.4">
      <c r="A10" s="20" t="s">
        <v>5</v>
      </c>
      <c r="B10" s="211">
        <f>SUM(B8:B9)</f>
        <v>0</v>
      </c>
      <c r="C10" s="211">
        <f>SUM(C8:C9)</f>
        <v>0</v>
      </c>
      <c r="D10" s="211">
        <f>SUM(D8:D9)</f>
        <v>0</v>
      </c>
    </row>
    <row r="11" spans="1:6" ht="15.5" thickTop="1" thickBot="1" x14ac:dyDescent="0.4">
      <c r="B11" s="212">
        <f>+B10-B5</f>
        <v>0</v>
      </c>
      <c r="C11" s="212">
        <f>+C10-B6</f>
        <v>0</v>
      </c>
      <c r="D11" s="212">
        <f>ROUND(B5+B6,2)-D10</f>
        <v>0</v>
      </c>
    </row>
    <row r="12" spans="1:6" ht="29.5" thickTop="1" x14ac:dyDescent="0.35">
      <c r="B12" s="222"/>
      <c r="C12" s="221" t="s">
        <v>108</v>
      </c>
    </row>
    <row r="13" spans="1:6" x14ac:dyDescent="0.35">
      <c r="A13" s="20" t="s">
        <v>104</v>
      </c>
      <c r="B13" s="210">
        <v>0</v>
      </c>
      <c r="C13" s="219">
        <f>+'PCR Cycle 2'!L8</f>
        <v>0.13576441564001979</v>
      </c>
    </row>
    <row r="14" spans="1:6" x14ac:dyDescent="0.35">
      <c r="A14" s="20" t="s">
        <v>105</v>
      </c>
      <c r="B14" s="210">
        <v>0</v>
      </c>
      <c r="C14" s="219">
        <f>+'PCR Cycle 2'!L9</f>
        <v>0.35611574316442379</v>
      </c>
    </row>
    <row r="15" spans="1:6" x14ac:dyDescent="0.35">
      <c r="A15" s="20" t="s">
        <v>106</v>
      </c>
      <c r="B15" s="267">
        <v>0</v>
      </c>
      <c r="C15" s="219">
        <f>+'PCR Cycle 2'!L10</f>
        <v>0.4183185730547726</v>
      </c>
    </row>
    <row r="16" spans="1:6" ht="15" thickBot="1" x14ac:dyDescent="0.4">
      <c r="A16" s="20" t="s">
        <v>107</v>
      </c>
      <c r="B16" s="210">
        <v>0</v>
      </c>
      <c r="C16" s="219">
        <f>+'PCR Cycle 2'!L11</f>
        <v>8.9801268140783777E-2</v>
      </c>
    </row>
    <row r="17" spans="1:4" ht="15.5" thickTop="1" thickBot="1" x14ac:dyDescent="0.4">
      <c r="A17" s="20" t="s">
        <v>109</v>
      </c>
      <c r="B17" s="32">
        <f>SUM(B13:B16)</f>
        <v>0</v>
      </c>
      <c r="C17" s="220">
        <f>SUM(C13:C16)</f>
        <v>1</v>
      </c>
    </row>
    <row r="18" spans="1:4" ht="15" thickTop="1" x14ac:dyDescent="0.35"/>
    <row r="19" spans="1:4" x14ac:dyDescent="0.35">
      <c r="A19" s="53" t="s">
        <v>11</v>
      </c>
    </row>
    <row r="20" spans="1:4" s="39" customFormat="1" x14ac:dyDescent="0.35">
      <c r="A20" s="3" t="s">
        <v>214</v>
      </c>
      <c r="B20" s="46"/>
      <c r="C20" s="46"/>
      <c r="D20" s="46"/>
    </row>
    <row r="21" spans="1:4" s="39" customFormat="1" x14ac:dyDescent="0.35">
      <c r="A21" s="3" t="s">
        <v>215</v>
      </c>
      <c r="B21" s="46"/>
      <c r="C21" s="46"/>
      <c r="D21" s="46"/>
    </row>
    <row r="22" spans="1:4" s="39" customFormat="1" x14ac:dyDescent="0.35">
      <c r="A22" s="3"/>
      <c r="B22" s="46"/>
      <c r="C22" s="46"/>
      <c r="D22" s="46"/>
    </row>
    <row r="24" spans="1:4" x14ac:dyDescent="0.35">
      <c r="A24" s="3"/>
      <c r="D24" s="185"/>
    </row>
    <row r="25" spans="1:4" x14ac:dyDescent="0.35">
      <c r="D25" s="185"/>
    </row>
    <row r="26" spans="1:4" x14ac:dyDescent="0.35">
      <c r="B26" s="70"/>
      <c r="D26" s="185"/>
    </row>
    <row r="27" spans="1:4" x14ac:dyDescent="0.35">
      <c r="A27" s="207"/>
      <c r="B27" s="208"/>
      <c r="D27" s="185"/>
    </row>
    <row r="28" spans="1:4" x14ac:dyDescent="0.35">
      <c r="A28" s="207"/>
      <c r="B28" s="208"/>
      <c r="D28" s="185"/>
    </row>
    <row r="29" spans="1:4" x14ac:dyDescent="0.35">
      <c r="A29" s="207"/>
      <c r="B29" s="208"/>
      <c r="D29" s="185"/>
    </row>
    <row r="30" spans="1:4" x14ac:dyDescent="0.35">
      <c r="A30" s="207"/>
      <c r="B30" s="208"/>
      <c r="D30" s="185"/>
    </row>
    <row r="31" spans="1:4" x14ac:dyDescent="0.35">
      <c r="A31" s="207"/>
      <c r="B31" s="186"/>
      <c r="D31" s="185"/>
    </row>
    <row r="32" spans="1:4" x14ac:dyDescent="0.35">
      <c r="A32" s="207"/>
      <c r="B32" s="186"/>
      <c r="D32" s="185"/>
    </row>
    <row r="33" spans="1:4" ht="16" x14ac:dyDescent="0.5">
      <c r="A33" s="207"/>
      <c r="B33" s="186"/>
      <c r="D33" s="209"/>
    </row>
    <row r="34" spans="1:4" x14ac:dyDescent="0.35">
      <c r="A34" s="207"/>
      <c r="D34" s="185"/>
    </row>
  </sheetData>
  <mergeCells count="1">
    <mergeCell ref="B3:D3"/>
  </mergeCells>
  <pageMargins left="0.2" right="0.2" top="0.75" bottom="0.25" header="0.3" footer="0.3"/>
  <pageSetup orientation="landscape" r:id="rId1"/>
  <headerFooter>
    <oddHeader>&amp;C&amp;F &amp;A&amp;R&amp;"Arial"&amp;10&amp;K000000CONFIDENTIAL</oddHeader>
    <oddFooter>&amp;R&amp;1#&amp;"Calibri"&amp;10&amp;KA80000Internal Use Only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AG57"/>
  <sheetViews>
    <sheetView tabSelected="1" zoomScale="90" zoomScaleNormal="90" workbookViewId="0">
      <pane xSplit="2" ySplit="3" topLeftCell="C4" activePane="bottomRight" state="frozen"/>
      <selection activeCell="I17" sqref="I17"/>
      <selection pane="topRight" activeCell="I17" sqref="I17"/>
      <selection pane="bottomLeft" activeCell="I17" sqref="I17"/>
      <selection pane="bottomRight" activeCell="H11" sqref="H11"/>
    </sheetView>
  </sheetViews>
  <sheetFormatPr defaultRowHeight="14.5" outlineLevelCol="1" x14ac:dyDescent="0.35"/>
  <cols>
    <col min="2" max="2" width="25.1796875" customWidth="1"/>
    <col min="3" max="3" width="16" bestFit="1" customWidth="1"/>
    <col min="4" max="4" width="15.54296875" customWidth="1"/>
    <col min="5" max="5" width="14.81640625" bestFit="1" customWidth="1"/>
    <col min="6" max="6" width="13.7265625" bestFit="1" customWidth="1"/>
    <col min="7" max="7" width="18.453125" bestFit="1" customWidth="1"/>
    <col min="8" max="8" width="13.453125" customWidth="1"/>
    <col min="9" max="9" width="3.54296875" customWidth="1"/>
    <col min="10" max="10" width="13.7265625" bestFit="1" customWidth="1"/>
    <col min="11" max="11" width="12.453125" bestFit="1" customWidth="1"/>
    <col min="12" max="13" width="13.7265625" bestFit="1" customWidth="1"/>
    <col min="14" max="14" width="11.453125" bestFit="1" customWidth="1"/>
    <col min="15" max="15" width="16" bestFit="1" customWidth="1" outlineLevel="1"/>
    <col min="16" max="16" width="19.26953125" customWidth="1" outlineLevel="1"/>
    <col min="17" max="17" width="16" style="46" customWidth="1" outlineLevel="1"/>
    <col min="18" max="18" width="11.81640625" bestFit="1" customWidth="1" outlineLevel="1"/>
    <col min="19" max="20" width="16" customWidth="1" outlineLevel="1"/>
    <col min="21" max="21" width="16" style="46" customWidth="1" outlineLevel="1"/>
    <col min="22" max="22" width="16" customWidth="1" outlineLevel="1"/>
    <col min="23" max="23" width="9.1796875" customWidth="1" outlineLevel="1"/>
    <col min="24" max="27" width="16" bestFit="1" customWidth="1" outlineLevel="1"/>
    <col min="28" max="28" width="13" bestFit="1" customWidth="1"/>
    <col min="29" max="32" width="16" bestFit="1" customWidth="1"/>
    <col min="33" max="33" width="12.81640625" bestFit="1" customWidth="1"/>
  </cols>
  <sheetData>
    <row r="1" spans="1:33" x14ac:dyDescent="0.35">
      <c r="A1" s="3" t="str">
        <f>+'PPC Cycle 3'!A1</f>
        <v>Evergy Metro, Inc. - DSIM Rider Update Filed 12/01/2024</v>
      </c>
    </row>
    <row r="2" spans="1:33" ht="15" thickBot="1" x14ac:dyDescent="0.4">
      <c r="H2" s="46"/>
      <c r="I2" s="46"/>
      <c r="J2" s="48"/>
      <c r="K2" s="48"/>
    </row>
    <row r="3" spans="1:33" ht="27.5" thickBot="1" x14ac:dyDescent="0.4">
      <c r="B3" s="87" t="s">
        <v>7</v>
      </c>
      <c r="C3" s="126" t="s">
        <v>19</v>
      </c>
      <c r="D3" s="126" t="s">
        <v>20</v>
      </c>
      <c r="E3" s="126" t="s">
        <v>56</v>
      </c>
      <c r="F3" s="126" t="s">
        <v>21</v>
      </c>
      <c r="G3" s="126" t="s">
        <v>37</v>
      </c>
      <c r="H3" s="89" t="s">
        <v>28</v>
      </c>
      <c r="I3" s="39"/>
      <c r="J3" s="88" t="s">
        <v>13</v>
      </c>
      <c r="K3" s="89" t="s">
        <v>55</v>
      </c>
      <c r="L3" s="89" t="s">
        <v>70</v>
      </c>
      <c r="M3" s="89" t="s">
        <v>71</v>
      </c>
    </row>
    <row r="4" spans="1:33" ht="15" thickBot="1" x14ac:dyDescent="0.4">
      <c r="B4" s="90" t="s">
        <v>24</v>
      </c>
      <c r="C4" s="124">
        <f t="shared" ref="C4:F8" si="0">C13+C22</f>
        <v>9600597.2699999996</v>
      </c>
      <c r="D4" s="125">
        <f t="shared" ca="1" si="0"/>
        <v>2867736.5135599999</v>
      </c>
      <c r="E4" s="125">
        <f t="shared" si="0"/>
        <v>956914.75767000008</v>
      </c>
      <c r="F4" s="125">
        <f t="shared" si="0"/>
        <v>-38336.117290000046</v>
      </c>
      <c r="G4" s="303">
        <f>+'PPC Cycle 3'!B5</f>
        <v>2713402269</v>
      </c>
      <c r="H4" s="128">
        <f ca="1">ROUND(SUM(C4:F4)/G4,5)</f>
        <v>4.9300000000000004E-3</v>
      </c>
      <c r="I4" s="129"/>
      <c r="J4" s="325">
        <f>ROUND((C13+C22)/G4,5)-0.00001</f>
        <v>3.5300000000000002E-3</v>
      </c>
      <c r="K4" s="252">
        <f ca="1">ROUND((D13+D22)/G4,5)</f>
        <v>1.06E-3</v>
      </c>
      <c r="L4" s="252">
        <f>ROUND((E13+E22)/G4,5)</f>
        <v>3.5E-4</v>
      </c>
      <c r="M4" s="130">
        <f>ROUND((F13+F22)/G4,5)</f>
        <v>-1.0000000000000001E-5</v>
      </c>
      <c r="N4" s="218">
        <f ca="1">+H4-SUM(J4:M4)</f>
        <v>0</v>
      </c>
    </row>
    <row r="5" spans="1:33" ht="15" thickBot="1" x14ac:dyDescent="0.4">
      <c r="B5" s="90" t="s">
        <v>104</v>
      </c>
      <c r="C5" s="124">
        <f t="shared" si="0"/>
        <v>1499263.4778397977</v>
      </c>
      <c r="D5" s="125">
        <f t="shared" ca="1" si="0"/>
        <v>1035867.96606</v>
      </c>
      <c r="E5" s="125">
        <f t="shared" si="0"/>
        <v>128709.92267999999</v>
      </c>
      <c r="F5" s="125">
        <f t="shared" si="0"/>
        <v>-336.70000000000061</v>
      </c>
      <c r="G5" s="303">
        <f>+'PPC Cycle 3'!B6</f>
        <v>655228650</v>
      </c>
      <c r="H5" s="128">
        <f ca="1">ROUND(SUM(C5:F5)/G5,5)</f>
        <v>4.0699999999999998E-3</v>
      </c>
      <c r="I5" s="129"/>
      <c r="J5" s="311">
        <f>ROUND((C14+C23)/G5,5)</f>
        <v>2.2899999999999999E-3</v>
      </c>
      <c r="K5" s="252">
        <f ca="1">ROUND((D14+D23)/G5,5)</f>
        <v>1.58E-3</v>
      </c>
      <c r="L5" s="252">
        <f>ROUND((E14+E23)/G5,5)</f>
        <v>2.0000000000000001E-4</v>
      </c>
      <c r="M5" s="130">
        <f>ROUND((F14+F23)/G5,5)</f>
        <v>0</v>
      </c>
      <c r="N5" s="218">
        <f t="shared" ref="N5:N8" ca="1" si="1">+H5-SUM(J5:M5)</f>
        <v>0</v>
      </c>
      <c r="O5" s="251"/>
      <c r="P5" s="251"/>
      <c r="Q5" s="251"/>
      <c r="R5" s="251"/>
      <c r="S5" s="251"/>
      <c r="T5" s="251"/>
    </row>
    <row r="6" spans="1:33" s="46" customFormat="1" ht="15" thickBot="1" x14ac:dyDescent="0.4">
      <c r="B6" s="90" t="s">
        <v>105</v>
      </c>
      <c r="C6" s="124">
        <f t="shared" si="0"/>
        <v>4484611.99</v>
      </c>
      <c r="D6" s="125">
        <f t="shared" ca="1" si="0"/>
        <v>1679051.8561600002</v>
      </c>
      <c r="E6" s="125">
        <f t="shared" si="0"/>
        <v>269660.81964000006</v>
      </c>
      <c r="F6" s="125">
        <f t="shared" si="0"/>
        <v>-258.02000000000055</v>
      </c>
      <c r="G6" s="303">
        <f>+'PPC Cycle 3'!B7</f>
        <v>1160346343</v>
      </c>
      <c r="H6" s="128">
        <f ca="1">ROUND(SUM(C6:F6)/G6,5)</f>
        <v>5.5399999999999998E-3</v>
      </c>
      <c r="I6" s="129"/>
      <c r="J6" s="311">
        <f>ROUND((C15+C24)/G6,5)</f>
        <v>3.8600000000000001E-3</v>
      </c>
      <c r="K6" s="252">
        <f ca="1">ROUND((D15+D24)/G6,5)</f>
        <v>1.4499999999999999E-3</v>
      </c>
      <c r="L6" s="252">
        <f>ROUND((E15+E24)/G6,5)</f>
        <v>2.3000000000000001E-4</v>
      </c>
      <c r="M6" s="130">
        <f>ROUND((F15+F24)/G6,5)</f>
        <v>0</v>
      </c>
      <c r="N6" s="218">
        <f t="shared" ca="1" si="1"/>
        <v>0</v>
      </c>
      <c r="O6" s="251"/>
      <c r="P6" s="251"/>
      <c r="Q6" s="251"/>
      <c r="R6" s="251"/>
      <c r="S6" s="251"/>
      <c r="T6" s="251"/>
    </row>
    <row r="7" spans="1:33" s="46" customFormat="1" ht="15" thickBot="1" x14ac:dyDescent="0.4">
      <c r="B7" s="90" t="s">
        <v>106</v>
      </c>
      <c r="C7" s="124">
        <f t="shared" si="0"/>
        <v>2737624.92</v>
      </c>
      <c r="D7" s="125">
        <f t="shared" ca="1" si="0"/>
        <v>1172029.7541200002</v>
      </c>
      <c r="E7" s="125">
        <f t="shared" si="0"/>
        <v>480986.77736000007</v>
      </c>
      <c r="F7" s="125">
        <f t="shared" si="0"/>
        <v>988.17000000000019</v>
      </c>
      <c r="G7" s="303">
        <f>+'PPC Cycle 3'!B8</f>
        <v>1880971381</v>
      </c>
      <c r="H7" s="128">
        <f ca="1">ROUND(SUM(C7:F7)/G7,5)</f>
        <v>2.33E-3</v>
      </c>
      <c r="I7" s="129"/>
      <c r="J7" s="325">
        <f>ROUND((C16+C25)/G7,5)-0.00001</f>
        <v>1.4499999999999999E-3</v>
      </c>
      <c r="K7" s="252">
        <f ca="1">ROUND((D16+D25)/G7,5)</f>
        <v>6.2E-4</v>
      </c>
      <c r="L7" s="252">
        <f>ROUND((E16+E25)/G7,5)</f>
        <v>2.5999999999999998E-4</v>
      </c>
      <c r="M7" s="130">
        <f>ROUND((F16+F25)/G7,5)</f>
        <v>0</v>
      </c>
      <c r="N7" s="218">
        <f t="shared" ca="1" si="1"/>
        <v>0</v>
      </c>
      <c r="O7" s="251"/>
      <c r="P7" s="251"/>
      <c r="Q7" s="251"/>
      <c r="R7" s="251"/>
      <c r="S7" s="251"/>
      <c r="T7" s="251"/>
    </row>
    <row r="8" spans="1:33" s="46" customFormat="1" ht="15" thickBot="1" x14ac:dyDescent="0.4">
      <c r="B8" s="90" t="s">
        <v>107</v>
      </c>
      <c r="C8" s="124">
        <f t="shared" si="0"/>
        <v>633421.30216020287</v>
      </c>
      <c r="D8" s="125">
        <f t="shared" ca="1" si="0"/>
        <v>82679.884740000023</v>
      </c>
      <c r="E8" s="125">
        <f t="shared" si="0"/>
        <v>110634.19932000001</v>
      </c>
      <c r="F8" s="125">
        <f t="shared" si="0"/>
        <v>-393.46000000000026</v>
      </c>
      <c r="G8" s="303">
        <f>+'PPC Cycle 3'!B9</f>
        <v>528682306</v>
      </c>
      <c r="H8" s="128">
        <f ca="1">ROUND(SUM(C8:F8)/G8,5)</f>
        <v>1.56E-3</v>
      </c>
      <c r="I8" s="129"/>
      <c r="J8" s="325">
        <f>ROUND((C17+C26)/G8,5)-0.00001</f>
        <v>1.1899999999999999E-3</v>
      </c>
      <c r="K8" s="252">
        <f ca="1">ROUND((D17+D26)/G8,5)</f>
        <v>1.6000000000000001E-4</v>
      </c>
      <c r="L8" s="252">
        <f>ROUND((E17+E26)/G8,5)</f>
        <v>2.1000000000000001E-4</v>
      </c>
      <c r="M8" s="130">
        <f>ROUND((F17+F26)/G8,5)</f>
        <v>0</v>
      </c>
      <c r="N8" s="218">
        <f t="shared" ca="1" si="1"/>
        <v>0</v>
      </c>
      <c r="O8" s="251"/>
      <c r="P8" s="251"/>
      <c r="Q8" s="251"/>
      <c r="R8" s="251"/>
      <c r="S8" s="251"/>
      <c r="T8" s="251"/>
    </row>
    <row r="9" spans="1:33" x14ac:dyDescent="0.35">
      <c r="C9" s="123"/>
      <c r="D9" s="123"/>
      <c r="E9" s="123"/>
      <c r="F9" s="123"/>
      <c r="G9" s="122"/>
    </row>
    <row r="10" spans="1:33" x14ac:dyDescent="0.35">
      <c r="C10" s="123"/>
      <c r="D10" s="123"/>
      <c r="E10" s="123"/>
      <c r="F10" s="123"/>
      <c r="G10" s="122"/>
      <c r="H10" s="268"/>
      <c r="I10" s="146"/>
      <c r="J10" s="348"/>
      <c r="K10" s="348"/>
      <c r="L10" s="348"/>
      <c r="M10" s="268"/>
    </row>
    <row r="11" spans="1:33" ht="15" thickBot="1" x14ac:dyDescent="0.4">
      <c r="C11" s="123"/>
      <c r="D11" s="123"/>
      <c r="E11" s="123"/>
      <c r="F11" s="123"/>
      <c r="G11" s="122"/>
      <c r="H11" s="269"/>
      <c r="I11" s="270"/>
      <c r="J11" s="269"/>
      <c r="K11" s="269"/>
      <c r="L11" s="269"/>
      <c r="M11" s="269"/>
    </row>
    <row r="12" spans="1:33" ht="15" thickBot="1" x14ac:dyDescent="0.4">
      <c r="B12" s="87" t="s">
        <v>7</v>
      </c>
      <c r="C12" s="127" t="s">
        <v>6</v>
      </c>
      <c r="D12" s="127" t="s">
        <v>16</v>
      </c>
      <c r="E12" s="127" t="s">
        <v>57</v>
      </c>
      <c r="F12" s="127" t="s">
        <v>17</v>
      </c>
      <c r="G12" s="122"/>
      <c r="H12" s="269"/>
      <c r="I12" s="270"/>
      <c r="J12" s="269"/>
      <c r="K12" s="269"/>
      <c r="L12" s="269"/>
      <c r="M12" s="269"/>
      <c r="O12" s="127" t="s">
        <v>72</v>
      </c>
      <c r="P12" s="127" t="s">
        <v>73</v>
      </c>
      <c r="Q12" s="127" t="s">
        <v>80</v>
      </c>
      <c r="R12" s="46"/>
      <c r="S12" s="127" t="s">
        <v>74</v>
      </c>
      <c r="T12" s="127" t="s">
        <v>75</v>
      </c>
      <c r="U12" s="127" t="s">
        <v>100</v>
      </c>
      <c r="V12" s="127" t="s">
        <v>90</v>
      </c>
      <c r="X12" s="127" t="s">
        <v>112</v>
      </c>
      <c r="Y12" s="127" t="s">
        <v>113</v>
      </c>
      <c r="Z12" s="127" t="s">
        <v>114</v>
      </c>
      <c r="AA12" s="127" t="s">
        <v>115</v>
      </c>
      <c r="AC12" s="127" t="s">
        <v>237</v>
      </c>
      <c r="AD12" s="127" t="s">
        <v>238</v>
      </c>
      <c r="AE12" s="127" t="s">
        <v>239</v>
      </c>
      <c r="AF12" s="127" t="s">
        <v>240</v>
      </c>
      <c r="AG12" s="46"/>
    </row>
    <row r="13" spans="1:33" ht="15" thickBot="1" x14ac:dyDescent="0.4">
      <c r="B13" s="90" t="s">
        <v>24</v>
      </c>
      <c r="C13" s="302">
        <f>+'PPC Cycle 3'!C5+'PPC Cycle 4'!C5</f>
        <v>7117090.8699999992</v>
      </c>
      <c r="D13" s="302">
        <f ca="1">'PTD Cycle 2'!C6+'PTD Cycle 3'!C6+'PTD Cycle 4'!C6</f>
        <v>2763917.16</v>
      </c>
      <c r="E13" s="302">
        <f>+'EO Cycle 2'!G7+'EO Cycle 3'!G7+'EO Cycle 4'!G7</f>
        <v>651498.41999999993</v>
      </c>
      <c r="F13" s="302">
        <f>+'OA Cycle 3'!F9</f>
        <v>0</v>
      </c>
      <c r="G13" s="122"/>
      <c r="H13" s="269"/>
      <c r="I13" s="270"/>
      <c r="J13" s="269"/>
      <c r="K13" s="269"/>
      <c r="L13" s="269"/>
      <c r="M13" s="269"/>
      <c r="O13" s="178">
        <v>0</v>
      </c>
      <c r="P13" s="178">
        <v>0</v>
      </c>
      <c r="Q13" s="217">
        <v>0</v>
      </c>
      <c r="R13" s="153"/>
      <c r="S13" s="304">
        <v>0</v>
      </c>
      <c r="T13" s="304">
        <f>ROUND(+'PTD Cycle 2'!C6/'Tariff Tables'!G4,5)</f>
        <v>0</v>
      </c>
      <c r="U13" s="306">
        <f>ROUND('EO Cycle 2'!G7/'Tariff Tables'!G4,5)</f>
        <v>0</v>
      </c>
      <c r="V13" s="304">
        <f>ROUND(0/'Tariff Tables'!G4,5)</f>
        <v>0</v>
      </c>
      <c r="W13" s="274"/>
      <c r="X13" s="304">
        <f>ROUND('PPC Cycle 3'!C5/'Tariff Tables'!$G4,5)</f>
        <v>8.0000000000000007E-5</v>
      </c>
      <c r="Y13" s="304">
        <f ca="1">ROUND('PTD Cycle 3'!C6/'Tariff Tables'!G4,5)</f>
        <v>9.1E-4</v>
      </c>
      <c r="Z13" s="304">
        <f>ROUND('EO Cycle 3'!G7/'Tariff Tables'!G4,5)</f>
        <v>2.4000000000000001E-4</v>
      </c>
      <c r="AA13" s="304">
        <f>ROUND('OA Cycle 3'!E9/'Tariff Tables'!G4,5)</f>
        <v>0</v>
      </c>
      <c r="AB13" s="153"/>
      <c r="AC13" s="304">
        <f>ROUND('PPC Cycle 4'!C5/'Tariff Tables'!$G4,5)</f>
        <v>2.5400000000000002E-3</v>
      </c>
      <c r="AD13" s="304">
        <f ca="1">ROUND('PTD Cycle 4'!C6/'Tariff Tables'!G4,5)</f>
        <v>1.1E-4</v>
      </c>
      <c r="AE13" s="304">
        <f>ROUND('EO Cycle 4'!G7/'Tariff Tables'!G4,5)</f>
        <v>0</v>
      </c>
      <c r="AF13" s="304"/>
      <c r="AG13" s="153">
        <f ca="1">SUM($O13:OFFSET(AG13,0,-1),$O22:OFFSET(AG22,0,-1))</f>
        <v>4.9300000000000004E-3</v>
      </c>
    </row>
    <row r="14" spans="1:33" ht="15" thickBot="1" x14ac:dyDescent="0.4">
      <c r="B14" s="90" t="s">
        <v>104</v>
      </c>
      <c r="C14" s="302">
        <f>+'PPC Cycle 3'!C6+'PPC Cycle 4'!C6</f>
        <v>538328.00999999989</v>
      </c>
      <c r="D14" s="302">
        <f ca="1">'PTD Cycle 2'!C7+'PTD Cycle 3'!C7+'PTD Cycle 4'!C7</f>
        <v>882611.3</v>
      </c>
      <c r="E14" s="302">
        <f>+'EO Cycle 2'!G11+'EO Cycle 3'!G11+'EO Cycle 4'!G11</f>
        <v>92482.27</v>
      </c>
      <c r="F14" s="302">
        <f>+'OA Cycle 3'!F14</f>
        <v>0</v>
      </c>
      <c r="G14" s="122"/>
      <c r="H14" s="269"/>
      <c r="I14" s="270"/>
      <c r="J14" s="271"/>
      <c r="K14" s="269"/>
      <c r="L14" s="269"/>
      <c r="M14" s="269"/>
      <c r="O14" s="178">
        <v>0</v>
      </c>
      <c r="P14" s="178">
        <v>0</v>
      </c>
      <c r="Q14" s="217">
        <v>0</v>
      </c>
      <c r="R14" s="153"/>
      <c r="S14" s="304">
        <v>0</v>
      </c>
      <c r="T14" s="305">
        <f>ROUND(+'PTD Cycle 2'!C10/'Tariff Tables'!G5,5)</f>
        <v>0</v>
      </c>
      <c r="U14" s="306">
        <f>ROUND('EO Cycle 2'!G11/'Tariff Tables'!G5,5)</f>
        <v>-1.0000000000000001E-5</v>
      </c>
      <c r="V14" s="305">
        <f>ROUND('OA Cycle 2'!B13/'Tariff Tables'!G5,5)</f>
        <v>0</v>
      </c>
      <c r="W14" s="274"/>
      <c r="X14" s="304">
        <f>ROUND('PPC Cycle 3'!C6/'Tariff Tables'!$G5,5)</f>
        <v>3.0000000000000001E-5</v>
      </c>
      <c r="Y14" s="304">
        <f ca="1">ROUND('PTD Cycle 3'!C7/'Tariff Tables'!G5,5)</f>
        <v>1.32E-3</v>
      </c>
      <c r="Z14" s="304">
        <f>ROUND('EO Cycle 3'!G11/'Tariff Tables'!G5,5)</f>
        <v>1.4999999999999999E-4</v>
      </c>
      <c r="AA14" s="304">
        <f>ROUND('OA Cycle 3'!B14/'Tariff Tables'!G5,5)</f>
        <v>0</v>
      </c>
      <c r="AB14" s="153"/>
      <c r="AC14" s="304">
        <f>ROUND('PPC Cycle 4'!C6/'Tariff Tables'!$G5,5)</f>
        <v>7.9000000000000001E-4</v>
      </c>
      <c r="AD14" s="304">
        <f ca="1">ROUND('PTD Cycle 4'!C7/'Tariff Tables'!G5,5)</f>
        <v>2.0000000000000002E-5</v>
      </c>
      <c r="AE14" s="304">
        <f>ROUND('EO Cycle 4'!G8/'Tariff Tables'!G5,5)</f>
        <v>0</v>
      </c>
      <c r="AF14" s="304"/>
      <c r="AG14" s="153">
        <f ca="1">SUM($O14:OFFSET(AG14,0,-1),$O23:OFFSET(AG23,0,-1))</f>
        <v>4.0699999999999998E-3</v>
      </c>
    </row>
    <row r="15" spans="1:33" s="46" customFormat="1" ht="15" thickBot="1" x14ac:dyDescent="0.4">
      <c r="B15" s="90" t="s">
        <v>105</v>
      </c>
      <c r="C15" s="302">
        <f>+'PPC Cycle 3'!C7+'PPC Cycle 4'!C7</f>
        <v>2982293.09</v>
      </c>
      <c r="D15" s="302">
        <f ca="1">'PTD Cycle 2'!C8+'PTD Cycle 3'!C8+'PTD Cycle 4'!C8</f>
        <v>1453835.9600000002</v>
      </c>
      <c r="E15" s="302">
        <f>+'EO Cycle 2'!G12+'EO Cycle 3'!G12+'EO Cycle 4'!G12</f>
        <v>178910.43000000002</v>
      </c>
      <c r="F15" s="302">
        <f>+'OA Cycle 3'!F15</f>
        <v>0</v>
      </c>
      <c r="G15" s="122"/>
      <c r="H15" s="269"/>
      <c r="I15" s="270"/>
      <c r="J15" s="269"/>
      <c r="K15" s="269"/>
      <c r="L15" s="272"/>
      <c r="M15" s="269"/>
      <c r="O15" s="178">
        <v>0</v>
      </c>
      <c r="P15" s="178">
        <v>0</v>
      </c>
      <c r="Q15" s="217">
        <v>0</v>
      </c>
      <c r="R15" s="153"/>
      <c r="S15" s="304">
        <v>0</v>
      </c>
      <c r="T15" s="305">
        <f>ROUND(+'PTD Cycle 2'!C11/'Tariff Tables'!G6,5)</f>
        <v>0</v>
      </c>
      <c r="U15" s="306">
        <f>ROUND('EO Cycle 2'!G12/'Tariff Tables'!G6,5)</f>
        <v>0</v>
      </c>
      <c r="V15" s="305">
        <f>ROUND('OA Cycle 2'!B14/'Tariff Tables'!G6,5)</f>
        <v>0</v>
      </c>
      <c r="W15" s="274"/>
      <c r="X15" s="304">
        <f>ROUND('PPC Cycle 3'!C7/'Tariff Tables'!$G6,5)</f>
        <v>4.0000000000000003E-5</v>
      </c>
      <c r="Y15" s="304">
        <f ca="1">ROUND('PTD Cycle 3'!C8/'Tariff Tables'!G6,5)</f>
        <v>1.23E-3</v>
      </c>
      <c r="Z15" s="304">
        <f>ROUND('EO Cycle 3'!G12/'Tariff Tables'!G6,5)</f>
        <v>1.4999999999999999E-4</v>
      </c>
      <c r="AA15" s="304">
        <f>ROUND('OA Cycle 3'!B15/'Tariff Tables'!G6,5)</f>
        <v>0</v>
      </c>
      <c r="AB15" s="153"/>
      <c r="AC15" s="304">
        <f>ROUND('PPC Cycle 4'!C7/'Tariff Tables'!$G6,5)</f>
        <v>2.5300000000000001E-3</v>
      </c>
      <c r="AD15" s="304">
        <f ca="1">ROUND('PTD Cycle 4'!C8/'Tariff Tables'!G6,5)</f>
        <v>2.0000000000000002E-5</v>
      </c>
      <c r="AE15" s="304">
        <f>ROUND('EO Cycle 4'!G9/'Tariff Tables'!G6,5)</f>
        <v>0</v>
      </c>
      <c r="AF15" s="304"/>
      <c r="AG15" s="153">
        <f ca="1">SUM($O15:OFFSET(AG15,0,-1),$O24:OFFSET(AG24,0,-1))</f>
        <v>5.5399999999999998E-3</v>
      </c>
    </row>
    <row r="16" spans="1:33" s="46" customFormat="1" ht="15" thickBot="1" x14ac:dyDescent="0.4">
      <c r="B16" s="90" t="s">
        <v>106</v>
      </c>
      <c r="C16" s="302">
        <f>+'PPC Cycle 3'!C8+'PPC Cycle 4'!C8</f>
        <v>2023922.81</v>
      </c>
      <c r="D16" s="302">
        <f ca="1">'PTD Cycle 2'!C9+'PTD Cycle 3'!C9+'PTD Cycle 4'!C9</f>
        <v>1099921.9500000002</v>
      </c>
      <c r="E16" s="302">
        <f>+'EO Cycle 2'!G13+'EO Cycle 3'!G13+'EO Cycle 4'!G13</f>
        <v>308759.5</v>
      </c>
      <c r="F16" s="302">
        <f>+'OA Cycle 3'!F16</f>
        <v>0</v>
      </c>
      <c r="G16" s="122"/>
      <c r="H16" s="17"/>
      <c r="I16" s="17"/>
      <c r="J16" s="151"/>
      <c r="K16" s="17"/>
      <c r="L16" s="17"/>
      <c r="M16" s="17"/>
      <c r="O16" s="178">
        <v>0</v>
      </c>
      <c r="P16" s="178">
        <v>0</v>
      </c>
      <c r="Q16" s="234">
        <v>0</v>
      </c>
      <c r="R16" s="235"/>
      <c r="S16" s="304">
        <v>0</v>
      </c>
      <c r="T16" s="305">
        <f>ROUND(+'PTD Cycle 2'!C12/'Tariff Tables'!G7,5)</f>
        <v>0</v>
      </c>
      <c r="U16" s="306">
        <f>ROUND('EO Cycle 2'!G13/'Tariff Tables'!G7,5)</f>
        <v>0</v>
      </c>
      <c r="V16" s="305">
        <f>ROUND('OA Cycle 2'!B15/'Tariff Tables'!G7,5)</f>
        <v>0</v>
      </c>
      <c r="W16" s="274"/>
      <c r="X16" s="304">
        <f>ROUND('PPC Cycle 3'!C8/'Tariff Tables'!$G7,5)</f>
        <v>4.0000000000000003E-5</v>
      </c>
      <c r="Y16" s="304">
        <f ca="1">ROUND('PTD Cycle 3'!C9/'Tariff Tables'!G7,5)</f>
        <v>5.5999999999999995E-4</v>
      </c>
      <c r="Z16" s="304">
        <f>ROUND('EO Cycle 3'!G13/'Tariff Tables'!G7,5)</f>
        <v>1.7000000000000001E-4</v>
      </c>
      <c r="AA16" s="304">
        <f>ROUND('OA Cycle 3'!B16/'Tariff Tables'!G7,5)</f>
        <v>0</v>
      </c>
      <c r="AB16" s="153"/>
      <c r="AC16" s="304">
        <f>ROUND('PPC Cycle 4'!C8/'Tariff Tables'!$G7,5)</f>
        <v>1.0399999999999999E-3</v>
      </c>
      <c r="AD16" s="304">
        <f ca="1">ROUND('PTD Cycle 4'!C9/'Tariff Tables'!G7,5)</f>
        <v>2.0000000000000002E-5</v>
      </c>
      <c r="AE16" s="304">
        <f>ROUND('EO Cycle 4'!G10/'Tariff Tables'!G7,5)</f>
        <v>0</v>
      </c>
      <c r="AF16" s="304"/>
      <c r="AG16" s="153">
        <f ca="1">SUM($O16:OFFSET(AG16,0,-1),$O25:OFFSET(AG25,0,-1))</f>
        <v>2.33E-3</v>
      </c>
    </row>
    <row r="17" spans="2:33" s="46" customFormat="1" ht="15" thickBot="1" x14ac:dyDescent="0.4">
      <c r="B17" s="90" t="s">
        <v>107</v>
      </c>
      <c r="C17" s="302">
        <f>+'PPC Cycle 3'!C9+'PPC Cycle 4'!C9</f>
        <v>714582.21</v>
      </c>
      <c r="D17" s="302">
        <f ca="1">'PTD Cycle 2'!C10+'PTD Cycle 3'!C10+'PTD Cycle 4'!C10</f>
        <v>87945.16</v>
      </c>
      <c r="E17" s="302">
        <f>+'EO Cycle 2'!G14+'EO Cycle 3'!G14+'EO Cycle 4'!G14</f>
        <v>84049.55</v>
      </c>
      <c r="F17" s="302">
        <f>+'OA Cycle 3'!F17</f>
        <v>0</v>
      </c>
      <c r="G17" s="122"/>
      <c r="J17" s="151"/>
      <c r="K17" s="17"/>
      <c r="O17" s="178">
        <v>0</v>
      </c>
      <c r="P17" s="178">
        <v>0</v>
      </c>
      <c r="Q17" s="234">
        <v>0</v>
      </c>
      <c r="R17" s="235"/>
      <c r="S17" s="304">
        <v>0</v>
      </c>
      <c r="T17" s="305">
        <f>ROUND(+'PTD Cycle 2'!C13/'Tariff Tables'!G8,5)</f>
        <v>0</v>
      </c>
      <c r="U17" s="305">
        <f>ROUND('EO Cycle 2'!G14/'Tariff Tables'!G8,5)</f>
        <v>0</v>
      </c>
      <c r="V17" s="305">
        <f>ROUND('OA Cycle 2'!B16/'Tariff Tables'!G8,5)</f>
        <v>0</v>
      </c>
      <c r="W17" s="274"/>
      <c r="X17" s="304">
        <f>ROUND('PPC Cycle 3'!C9/'Tariff Tables'!$G8,5)</f>
        <v>3.0000000000000001E-5</v>
      </c>
      <c r="Y17" s="304">
        <f ca="1">ROUND('PTD Cycle 3'!C10/'Tariff Tables'!G8,5)</f>
        <v>1.3999999999999999E-4</v>
      </c>
      <c r="Z17" s="304">
        <f>ROUND('EO Cycle 3'!G14/'Tariff Tables'!G8,5)</f>
        <v>1.6000000000000001E-4</v>
      </c>
      <c r="AA17" s="304">
        <f>ROUND('OA Cycle 3'!B17/'Tariff Tables'!G8,5)</f>
        <v>0</v>
      </c>
      <c r="AB17" s="153"/>
      <c r="AC17" s="304">
        <f>ROUND('PPC Cycle 4'!C9/'Tariff Tables'!$G8,5)</f>
        <v>1.32E-3</v>
      </c>
      <c r="AD17" s="304">
        <f ca="1">ROUND('PTD Cycle 4'!C10/'Tariff Tables'!G8,5)</f>
        <v>2.0000000000000002E-5</v>
      </c>
      <c r="AE17" s="304">
        <f>ROUND('EO Cycle 4'!G11/'Tariff Tables'!G8,5)</f>
        <v>0</v>
      </c>
      <c r="AF17" s="304"/>
      <c r="AG17" s="153">
        <f ca="1">SUM($O17:OFFSET(AG17,0,-1),$O26:OFFSET(AG26,0,-1))</f>
        <v>1.56E-3</v>
      </c>
    </row>
    <row r="18" spans="2:33" x14ac:dyDescent="0.35">
      <c r="C18" s="123"/>
      <c r="D18" s="123"/>
      <c r="E18" s="123"/>
      <c r="F18" s="123"/>
      <c r="G18" s="122"/>
      <c r="J18" s="17"/>
      <c r="K18" s="17"/>
      <c r="O18" s="179"/>
      <c r="P18" s="179"/>
      <c r="Q18" s="237"/>
      <c r="R18" s="235"/>
      <c r="S18" s="235"/>
      <c r="T18" s="235"/>
      <c r="U18" s="235"/>
      <c r="V18" s="235"/>
      <c r="W18" s="274"/>
      <c r="X18" s="235"/>
      <c r="Y18" s="235"/>
      <c r="Z18" s="235"/>
      <c r="AA18" s="235"/>
      <c r="AC18" s="235"/>
      <c r="AD18" s="235"/>
      <c r="AE18" s="235"/>
      <c r="AF18" s="235"/>
      <c r="AG18" s="46"/>
    </row>
    <row r="19" spans="2:33" x14ac:dyDescent="0.35">
      <c r="C19" s="123"/>
      <c r="D19" s="123"/>
      <c r="E19" s="123"/>
      <c r="F19" s="123"/>
      <c r="G19" s="122"/>
      <c r="J19" s="17"/>
      <c r="K19" s="17"/>
      <c r="O19" s="179"/>
      <c r="P19" s="179"/>
      <c r="Q19" s="237"/>
      <c r="R19" s="235"/>
      <c r="S19" s="235"/>
      <c r="T19" s="235"/>
      <c r="U19" s="235"/>
      <c r="V19" s="235"/>
      <c r="W19" s="274"/>
      <c r="X19" s="235"/>
      <c r="Y19" s="235"/>
      <c r="Z19" s="235"/>
      <c r="AA19" s="235"/>
      <c r="AC19" s="235"/>
      <c r="AD19" s="235"/>
      <c r="AE19" s="235"/>
      <c r="AF19" s="235"/>
      <c r="AG19" s="46"/>
    </row>
    <row r="20" spans="2:33" ht="15" thickBot="1" x14ac:dyDescent="0.4">
      <c r="C20" s="123"/>
      <c r="D20" s="123"/>
      <c r="E20" s="123"/>
      <c r="F20" s="123"/>
      <c r="G20" s="122"/>
      <c r="J20" s="17"/>
      <c r="K20" s="17"/>
      <c r="O20" s="179"/>
      <c r="P20" s="179"/>
      <c r="Q20" s="237"/>
      <c r="R20" s="235"/>
      <c r="S20" s="235"/>
      <c r="T20" s="235"/>
      <c r="U20" s="235"/>
      <c r="V20" s="235"/>
      <c r="W20" s="274"/>
      <c r="X20" s="235"/>
      <c r="Y20" s="235"/>
      <c r="Z20" s="235"/>
      <c r="AA20" s="235"/>
      <c r="AC20" s="235"/>
      <c r="AD20" s="235"/>
      <c r="AE20" s="235"/>
      <c r="AF20" s="235"/>
      <c r="AG20" s="46"/>
    </row>
    <row r="21" spans="2:33" ht="15" thickBot="1" x14ac:dyDescent="0.4">
      <c r="B21" s="87" t="s">
        <v>7</v>
      </c>
      <c r="C21" s="127" t="s">
        <v>4</v>
      </c>
      <c r="D21" s="127" t="s">
        <v>9</v>
      </c>
      <c r="E21" s="127" t="s">
        <v>58</v>
      </c>
      <c r="F21" s="127" t="s">
        <v>18</v>
      </c>
      <c r="G21" s="122"/>
      <c r="O21" s="180" t="s">
        <v>76</v>
      </c>
      <c r="P21" s="180" t="s">
        <v>77</v>
      </c>
      <c r="Q21" s="238" t="s">
        <v>81</v>
      </c>
      <c r="R21" s="235"/>
      <c r="S21" s="239" t="s">
        <v>78</v>
      </c>
      <c r="T21" s="239" t="s">
        <v>79</v>
      </c>
      <c r="U21" s="238" t="s">
        <v>103</v>
      </c>
      <c r="V21" s="239" t="s">
        <v>91</v>
      </c>
      <c r="W21" s="274"/>
      <c r="X21" s="239" t="s">
        <v>116</v>
      </c>
      <c r="Y21" s="239" t="s">
        <v>117</v>
      </c>
      <c r="Z21" s="238" t="s">
        <v>118</v>
      </c>
      <c r="AA21" s="239" t="s">
        <v>119</v>
      </c>
      <c r="AC21" s="239" t="s">
        <v>242</v>
      </c>
      <c r="AD21" s="239" t="s">
        <v>243</v>
      </c>
      <c r="AE21" s="238" t="s">
        <v>244</v>
      </c>
      <c r="AF21" s="239" t="s">
        <v>245</v>
      </c>
      <c r="AG21" s="46"/>
    </row>
    <row r="22" spans="2:33" ht="15" thickBot="1" x14ac:dyDescent="0.4">
      <c r="B22" s="90" t="s">
        <v>24</v>
      </c>
      <c r="C22" s="302">
        <f>'PCR Cycle 4'!K4+'PCR Cycle 3'!K4+'PCR Cycle 2'!K4</f>
        <v>2483506.4000000004</v>
      </c>
      <c r="D22" s="302">
        <f>'TDR Cycle 3'!K4+'TDR Cycle 2'!K4</f>
        <v>103819.35355999981</v>
      </c>
      <c r="E22" s="302">
        <f>+'EOR Cycle 2'!J4+'EOR Cycle 3'!J4</f>
        <v>305416.33767000015</v>
      </c>
      <c r="F22" s="302">
        <f>+'OAR Cycle 2'!I4+'OAR Cycle 3'!I4</f>
        <v>-38336.117290000046</v>
      </c>
      <c r="G22" s="122"/>
      <c r="O22" s="178">
        <v>0</v>
      </c>
      <c r="P22" s="178">
        <v>0</v>
      </c>
      <c r="Q22" s="236">
        <v>0</v>
      </c>
      <c r="R22" s="235"/>
      <c r="S22" s="304">
        <f>ROUND(+'PCR Cycle 2'!K4/'Tariff Tables'!G4,5)</f>
        <v>0</v>
      </c>
      <c r="T22" s="304">
        <f>ROUND(+'TDR Cycle 2'!K4/'Tariff Tables'!G4,5)</f>
        <v>2.0000000000000002E-5</v>
      </c>
      <c r="U22" s="304">
        <f>ROUND('EOR Cycle 2'!J4/'Tariff Tables'!G4,5)</f>
        <v>-1.0000000000000001E-5</v>
      </c>
      <c r="V22" s="304">
        <f>ROUND('OAR Cycle 2'!I4/'Tariff Tables'!G4,5)</f>
        <v>0</v>
      </c>
      <c r="W22" s="274"/>
      <c r="X22" s="324">
        <f>ROUND('PCR Cycle 3'!K4/'Tariff Tables'!G4,5)-0.00001</f>
        <v>8.9999999999999998E-4</v>
      </c>
      <c r="Y22" s="324">
        <f>ROUND('TDR Cycle 3'!K4/'Tariff Tables'!G4,5)+0.00001</f>
        <v>2.0000000000000002E-5</v>
      </c>
      <c r="Z22" s="304">
        <f>ROUND(+'EOR Cycle 3'!J4/'Tariff Tables'!G4,5)</f>
        <v>1.2E-4</v>
      </c>
      <c r="AA22" s="304">
        <f>ROUND(('OAR Cycle 3'!I4)/'Tariff Tables'!G4,5)</f>
        <v>-1.0000000000000001E-5</v>
      </c>
      <c r="AC22" s="304">
        <f>ROUND('PCR Cycle 4'!K4/'Tariff Tables'!$G4,5)</f>
        <v>1.0000000000000001E-5</v>
      </c>
      <c r="AD22" s="304"/>
      <c r="AE22" s="304"/>
      <c r="AF22" s="304"/>
      <c r="AG22" s="46"/>
    </row>
    <row r="23" spans="2:33" ht="15" thickBot="1" x14ac:dyDescent="0.4">
      <c r="B23" s="90" t="s">
        <v>104</v>
      </c>
      <c r="C23" s="302">
        <f>'PCR Cycle 4'!K5+'PCR Cycle 3'!K5+'PCR Cycle 2'!K8</f>
        <v>960935.46783979796</v>
      </c>
      <c r="D23" s="302">
        <f>'TDR Cycle 3'!K5+'TDR Cycle 2'!K8</f>
        <v>153256.66606000002</v>
      </c>
      <c r="E23" s="302">
        <f>+'EOR Cycle 2'!J8+'EOR Cycle 3'!J5</f>
        <v>36227.652679999977</v>
      </c>
      <c r="F23" s="302">
        <f>+'OAR Cycle 2'!I9+'OAR Cycle 3'!I5</f>
        <v>-336.70000000000061</v>
      </c>
      <c r="G23" s="122"/>
      <c r="O23" s="178">
        <v>0</v>
      </c>
      <c r="P23" s="178">
        <v>0</v>
      </c>
      <c r="Q23" s="236">
        <v>0</v>
      </c>
      <c r="R23" s="235"/>
      <c r="S23" s="304">
        <f>ROUND(+'PCR Cycle 2'!K8/'Tariff Tables'!G5,5)</f>
        <v>0</v>
      </c>
      <c r="T23" s="304">
        <f>ROUND(+'TDR Cycle 2'!K8/'Tariff Tables'!G5,5)</f>
        <v>1.0000000000000001E-5</v>
      </c>
      <c r="U23" s="304">
        <f>ROUND('EOR Cycle 2'!J8/'Tariff Tables'!G5,5)</f>
        <v>0</v>
      </c>
      <c r="V23" s="304">
        <f>ROUND('OAR Cycle 2'!I8/'Tariff Tables'!G5,5)</f>
        <v>0</v>
      </c>
      <c r="W23" s="274"/>
      <c r="X23" s="324">
        <f>ROUND('PCR Cycle 3'!K5/'Tariff Tables'!G5,5)+0.00001</f>
        <v>1.47E-3</v>
      </c>
      <c r="Y23" s="324">
        <f>ROUND('TDR Cycle 3'!K5/'Tariff Tables'!G5,5)+0.00001</f>
        <v>2.3000000000000001E-4</v>
      </c>
      <c r="Z23" s="324">
        <f>ROUND(+'EOR Cycle 3'!J5/'Tariff Tables'!G5,5)+0.00001</f>
        <v>6.0000000000000002E-5</v>
      </c>
      <c r="AA23" s="304">
        <f>ROUND(('OAR Cycle 3'!I5-'OAR Cycle 3'!G5)/'Tariff Tables'!G5,5)</f>
        <v>0</v>
      </c>
      <c r="AC23" s="304">
        <f>ROUND('PCR Cycle 4'!K5/'Tariff Tables'!$G5,5)</f>
        <v>0</v>
      </c>
      <c r="AD23" s="304"/>
      <c r="AE23" s="304"/>
      <c r="AF23" s="304"/>
      <c r="AG23" s="46"/>
    </row>
    <row r="24" spans="2:33" s="46" customFormat="1" ht="15" thickBot="1" x14ac:dyDescent="0.4">
      <c r="B24" s="90" t="s">
        <v>105</v>
      </c>
      <c r="C24" s="302">
        <f>'PCR Cycle 4'!K6+'PCR Cycle 3'!K6+'PCR Cycle 2'!K9</f>
        <v>1502318.9000000004</v>
      </c>
      <c r="D24" s="302">
        <f>'TDR Cycle 3'!K6+'TDR Cycle 2'!K9</f>
        <v>225215.89616</v>
      </c>
      <c r="E24" s="302">
        <f>+'EOR Cycle 2'!J9+'EOR Cycle 3'!J6</f>
        <v>90750.389640000023</v>
      </c>
      <c r="F24" s="302">
        <f>+'OAR Cycle 2'!I10+'OAR Cycle 3'!I6</f>
        <v>-258.02000000000055</v>
      </c>
      <c r="G24" s="122"/>
      <c r="O24" s="178">
        <v>0</v>
      </c>
      <c r="P24" s="178">
        <v>0</v>
      </c>
      <c r="Q24" s="236">
        <v>0</v>
      </c>
      <c r="R24" s="235"/>
      <c r="S24" s="304">
        <f>ROUND(+'PCR Cycle 2'!K9/'Tariff Tables'!G6,5)</f>
        <v>0</v>
      </c>
      <c r="T24" s="304">
        <f>ROUND(+'TDR Cycle 2'!K9/'Tariff Tables'!G6,5)</f>
        <v>2.0000000000000002E-5</v>
      </c>
      <c r="U24" s="304">
        <f>ROUND('EOR Cycle 2'!J9/'Tariff Tables'!G6,5)</f>
        <v>0</v>
      </c>
      <c r="V24" s="304">
        <f>ROUND('OAR Cycle 2'!I9/'Tariff Tables'!G6,5)</f>
        <v>0</v>
      </c>
      <c r="W24" s="274"/>
      <c r="X24" s="304">
        <f>ROUND('PCR Cycle 3'!K6/'Tariff Tables'!G6,5)</f>
        <v>1.2899999999999999E-3</v>
      </c>
      <c r="Y24" s="304">
        <f>ROUND('TDR Cycle 3'!K6/'Tariff Tables'!G6,5)</f>
        <v>1.8000000000000001E-4</v>
      </c>
      <c r="Z24" s="304">
        <f>ROUND(+'EOR Cycle 3'!J6/'Tariff Tables'!G6,5)</f>
        <v>8.0000000000000007E-5</v>
      </c>
      <c r="AA24" s="304">
        <f>ROUND(('OAR Cycle 3'!I6-'OAR Cycle 3'!G6)/'Tariff Tables'!G6,5)</f>
        <v>0</v>
      </c>
      <c r="AC24" s="304">
        <f>ROUND('PCR Cycle 4'!K6/'Tariff Tables'!$G6,5)</f>
        <v>0</v>
      </c>
      <c r="AD24" s="304"/>
      <c r="AE24" s="304"/>
      <c r="AF24" s="304"/>
    </row>
    <row r="25" spans="2:33" s="46" customFormat="1" ht="15" thickBot="1" x14ac:dyDescent="0.4">
      <c r="B25" s="90" t="s">
        <v>106</v>
      </c>
      <c r="C25" s="302">
        <f>'PCR Cycle 4'!K7+'PCR Cycle 3'!K7+'PCR Cycle 2'!K10</f>
        <v>713702.1100000001</v>
      </c>
      <c r="D25" s="302">
        <f>'TDR Cycle 3'!K7+'TDR Cycle 2'!K10</f>
        <v>72107.804120000001</v>
      </c>
      <c r="E25" s="302">
        <f>+'EOR Cycle 2'!J10+'EOR Cycle 3'!J7</f>
        <v>172227.27736000004</v>
      </c>
      <c r="F25" s="302">
        <f>+'OAR Cycle 2'!I11+'OAR Cycle 3'!I7</f>
        <v>988.17000000000019</v>
      </c>
      <c r="G25" s="122"/>
      <c r="O25" s="178">
        <v>0</v>
      </c>
      <c r="P25" s="178">
        <v>0</v>
      </c>
      <c r="Q25" s="236">
        <v>0</v>
      </c>
      <c r="R25" s="235"/>
      <c r="S25" s="304">
        <f>ROUND(+'PCR Cycle 2'!K10/'Tariff Tables'!G7,5)</f>
        <v>0</v>
      </c>
      <c r="T25" s="304">
        <f>ROUND(+'TDR Cycle 2'!K10/'Tariff Tables'!G7,5)</f>
        <v>1.0000000000000001E-5</v>
      </c>
      <c r="U25" s="304">
        <f>ROUND('EOR Cycle 2'!J10/'Tariff Tables'!G7,5)</f>
        <v>0</v>
      </c>
      <c r="V25" s="304">
        <f>ROUND('OAR Cycle 2'!I10/'Tariff Tables'!G7,5)</f>
        <v>0</v>
      </c>
      <c r="W25" s="274"/>
      <c r="X25" s="324">
        <f>ROUND('PCR Cycle 3'!K7/'Tariff Tables'!G7,5)-0.00001</f>
        <v>3.6999999999999999E-4</v>
      </c>
      <c r="Y25" s="304">
        <f>ROUND('TDR Cycle 3'!K7/'Tariff Tables'!G7,5)</f>
        <v>3.0000000000000001E-5</v>
      </c>
      <c r="Z25" s="304">
        <f>ROUND(+'EOR Cycle 3'!J7/'Tariff Tables'!G7,5)</f>
        <v>9.0000000000000006E-5</v>
      </c>
      <c r="AA25" s="304">
        <f>ROUND(('OAR Cycle 3'!I7-'OAR Cycle 3'!G7)/'Tariff Tables'!G7,5)</f>
        <v>0</v>
      </c>
      <c r="AC25" s="304">
        <f>ROUND('PCR Cycle 4'!K7/'Tariff Tables'!$G7,5)</f>
        <v>0</v>
      </c>
      <c r="AD25" s="304"/>
      <c r="AE25" s="304"/>
      <c r="AF25" s="304"/>
    </row>
    <row r="26" spans="2:33" s="46" customFormat="1" ht="15" thickBot="1" x14ac:dyDescent="0.4">
      <c r="B26" s="90" t="s">
        <v>107</v>
      </c>
      <c r="C26" s="302">
        <f>'PCR Cycle 4'!K8+'PCR Cycle 3'!K8+'PCR Cycle 2'!K11</f>
        <v>-81160.907839797073</v>
      </c>
      <c r="D26" s="302">
        <f>'TDR Cycle 3'!K8+'TDR Cycle 2'!K11</f>
        <v>-5265.2752599999867</v>
      </c>
      <c r="E26" s="302">
        <f>+'EOR Cycle 2'!J11+'EOR Cycle 3'!J8</f>
        <v>26584.649320000004</v>
      </c>
      <c r="F26" s="302">
        <f>+'OAR Cycle 2'!I12+'OAR Cycle 3'!I8</f>
        <v>-393.46000000000026</v>
      </c>
      <c r="G26" s="122"/>
      <c r="H26" s="122"/>
      <c r="O26" s="178">
        <v>0</v>
      </c>
      <c r="P26" s="178">
        <v>0</v>
      </c>
      <c r="Q26" s="236">
        <v>0</v>
      </c>
      <c r="R26" s="235"/>
      <c r="S26" s="304">
        <f>ROUND(+'PCR Cycle 2'!K11/'Tariff Tables'!G8,5)</f>
        <v>0</v>
      </c>
      <c r="T26" s="304">
        <f>ROUND(+'TDR Cycle 2'!K11/'Tariff Tables'!G8,5)</f>
        <v>1.0000000000000001E-5</v>
      </c>
      <c r="U26" s="304">
        <f>ROUND('EOR Cycle 2'!J11/'Tariff Tables'!G8,5)</f>
        <v>0</v>
      </c>
      <c r="V26" s="304">
        <f>ROUND('OAR Cycle 2'!I11/'Tariff Tables'!G8,5)</f>
        <v>0</v>
      </c>
      <c r="W26" s="274"/>
      <c r="X26" s="324">
        <f>ROUND('PCR Cycle 3'!K8/'Tariff Tables'!G8,5)-0.00001</f>
        <v>-1.8000000000000001E-4</v>
      </c>
      <c r="Y26" s="324">
        <f>ROUND('TDR Cycle 3'!K8/'Tariff Tables'!G8,5)+0.00001</f>
        <v>-1.0000000000000001E-5</v>
      </c>
      <c r="Z26" s="304">
        <f>ROUND(+'EOR Cycle 3'!J8/'Tariff Tables'!G8,5)</f>
        <v>5.0000000000000002E-5</v>
      </c>
      <c r="AA26" s="304">
        <f>ROUND(('OAR Cycle 3'!I8-'OAR Cycle 3'!G8)/'Tariff Tables'!G8,5)</f>
        <v>0</v>
      </c>
      <c r="AC26" s="304">
        <f>ROUND('PCR Cycle 4'!K8/'Tariff Tables'!$G8,5)</f>
        <v>2.0000000000000002E-5</v>
      </c>
      <c r="AD26" s="304"/>
      <c r="AE26" s="304"/>
      <c r="AF26" s="304"/>
    </row>
    <row r="27" spans="2:33" x14ac:dyDescent="0.35">
      <c r="F27" s="122"/>
      <c r="O27" s="46"/>
      <c r="P27" s="46"/>
      <c r="R27" s="46"/>
      <c r="S27" s="46"/>
      <c r="T27" s="46"/>
    </row>
    <row r="28" spans="2:33" x14ac:dyDescent="0.35">
      <c r="B28" s="93" t="s">
        <v>38</v>
      </c>
      <c r="R28" t="s">
        <v>148</v>
      </c>
      <c r="S28" s="152">
        <f>+J4-O13-O22-S13-S22-X13-X22-AC13-AC22</f>
        <v>2.541098841762901E-20</v>
      </c>
      <c r="T28" s="152">
        <f t="shared" ref="T28:V28" ca="1" si="2">+K4-P13-P22-T13-T22-Y13-Y22-AD13-AD22</f>
        <v>-9.4867690092481638E-20</v>
      </c>
      <c r="U28" s="152">
        <f t="shared" si="2"/>
        <v>1.3552527156068805E-20</v>
      </c>
      <c r="V28" s="152">
        <f t="shared" si="2"/>
        <v>0</v>
      </c>
    </row>
    <row r="29" spans="2:33" x14ac:dyDescent="0.35">
      <c r="B29" s="94" t="s">
        <v>39</v>
      </c>
      <c r="R29" t="s">
        <v>149</v>
      </c>
      <c r="S29" s="152">
        <f t="shared" ref="S29:V29" si="3">+J5-O14-O23-S14-S23-X14-X23-AC14-AC23</f>
        <v>-1.0842021724855044E-19</v>
      </c>
      <c r="T29" s="152">
        <f t="shared" ca="1" si="3"/>
        <v>-3.3881317890172014E-21</v>
      </c>
      <c r="U29" s="152">
        <f t="shared" si="3"/>
        <v>2.0328790734103208E-20</v>
      </c>
      <c r="V29" s="152">
        <f t="shared" si="3"/>
        <v>0</v>
      </c>
    </row>
    <row r="30" spans="2:33" x14ac:dyDescent="0.35">
      <c r="B30" s="94" t="s">
        <v>42</v>
      </c>
      <c r="R30" t="s">
        <v>150</v>
      </c>
      <c r="S30" s="152">
        <f t="shared" ref="S30:V30" si="4">+J6-O15-O24-S15-S24-X15-X24-AC15-AC24</f>
        <v>0</v>
      </c>
      <c r="T30" s="152">
        <f t="shared" ca="1" si="4"/>
        <v>-1.3891340334970526E-19</v>
      </c>
      <c r="U30" s="152">
        <f t="shared" si="4"/>
        <v>1.3552527156068805E-20</v>
      </c>
      <c r="V30" s="152">
        <f t="shared" si="4"/>
        <v>0</v>
      </c>
    </row>
    <row r="31" spans="2:33" x14ac:dyDescent="0.35">
      <c r="B31" s="94" t="s">
        <v>141</v>
      </c>
      <c r="R31" t="s">
        <v>151</v>
      </c>
      <c r="S31" s="152">
        <f t="shared" ref="S31:V31" si="5">+J7-O16-O25-S16-S25-X16-X25-AC16-AC25</f>
        <v>-2.1684043449710089E-19</v>
      </c>
      <c r="T31" s="152">
        <f t="shared" ca="1" si="5"/>
        <v>2.0328790734103208E-20</v>
      </c>
      <c r="U31" s="152">
        <f t="shared" si="5"/>
        <v>-4.0657581468206416E-20</v>
      </c>
      <c r="V31" s="152">
        <f t="shared" si="5"/>
        <v>0</v>
      </c>
    </row>
    <row r="32" spans="2:33" x14ac:dyDescent="0.35">
      <c r="B32" s="94" t="s">
        <v>40</v>
      </c>
      <c r="R32" t="s">
        <v>152</v>
      </c>
      <c r="S32" s="152">
        <f t="shared" ref="S32:V32" si="6">+J8-O17-O26-S17-S26-X17-X26-AC17-AC26</f>
        <v>-1.6601845766184287E-19</v>
      </c>
      <c r="T32" s="152">
        <f t="shared" ca="1" si="6"/>
        <v>2.3716922523120409E-20</v>
      </c>
      <c r="U32" s="152">
        <f t="shared" si="6"/>
        <v>-6.7762635780344027E-21</v>
      </c>
      <c r="V32" s="152">
        <f t="shared" si="6"/>
        <v>0</v>
      </c>
    </row>
    <row r="33" spans="2:20" x14ac:dyDescent="0.35">
      <c r="B33" s="94" t="s">
        <v>146</v>
      </c>
      <c r="O33" s="244"/>
      <c r="P33" s="244"/>
      <c r="Q33" s="244"/>
      <c r="R33" s="146"/>
      <c r="S33" s="46"/>
      <c r="T33" s="46"/>
    </row>
    <row r="34" spans="2:20" x14ac:dyDescent="0.35">
      <c r="B34" s="94" t="s">
        <v>140</v>
      </c>
      <c r="O34" s="146"/>
      <c r="P34" s="146"/>
      <c r="Q34" s="245"/>
      <c r="R34" s="146"/>
      <c r="S34" s="46"/>
      <c r="T34" s="46"/>
    </row>
    <row r="35" spans="2:20" x14ac:dyDescent="0.35">
      <c r="B35" s="94" t="s">
        <v>47</v>
      </c>
      <c r="O35" s="246"/>
      <c r="P35" s="146"/>
      <c r="Q35" s="245"/>
      <c r="R35" s="146"/>
      <c r="S35" s="46"/>
      <c r="T35" s="46"/>
    </row>
    <row r="36" spans="2:20" x14ac:dyDescent="0.35">
      <c r="B36" s="94" t="s">
        <v>145</v>
      </c>
      <c r="O36" s="247"/>
      <c r="P36" s="248"/>
      <c r="Q36" s="245"/>
      <c r="R36" s="245"/>
      <c r="S36" s="46"/>
      <c r="T36" s="46"/>
    </row>
    <row r="37" spans="2:20" x14ac:dyDescent="0.35">
      <c r="B37" s="94" t="s">
        <v>142</v>
      </c>
      <c r="O37" s="247"/>
      <c r="P37" s="248"/>
      <c r="Q37" s="245"/>
      <c r="R37" s="245"/>
      <c r="S37" s="46"/>
      <c r="T37" s="46"/>
    </row>
    <row r="38" spans="2:20" x14ac:dyDescent="0.35">
      <c r="B38" s="94" t="s">
        <v>143</v>
      </c>
      <c r="O38" s="247"/>
      <c r="P38" s="248"/>
      <c r="Q38" s="245"/>
      <c r="R38" s="245"/>
      <c r="S38" s="46"/>
      <c r="T38" s="46"/>
    </row>
    <row r="39" spans="2:20" x14ac:dyDescent="0.35">
      <c r="B39" s="94" t="s">
        <v>147</v>
      </c>
      <c r="O39" s="247"/>
      <c r="P39" s="248"/>
      <c r="Q39" s="245"/>
      <c r="R39" s="245"/>
      <c r="S39" s="46"/>
      <c r="T39" s="46"/>
    </row>
    <row r="40" spans="2:20" x14ac:dyDescent="0.35">
      <c r="B40" s="94" t="s">
        <v>41</v>
      </c>
      <c r="O40" s="247"/>
      <c r="P40" s="248"/>
      <c r="Q40" s="245"/>
      <c r="R40" s="245"/>
      <c r="S40" s="46"/>
      <c r="T40" s="46"/>
    </row>
    <row r="41" spans="2:20" x14ac:dyDescent="0.35">
      <c r="B41" s="94" t="s">
        <v>144</v>
      </c>
      <c r="O41" s="247"/>
      <c r="P41" s="248"/>
      <c r="Q41" s="245"/>
      <c r="R41" s="245"/>
      <c r="S41" s="46"/>
      <c r="T41" s="46"/>
    </row>
    <row r="42" spans="2:20" x14ac:dyDescent="0.35">
      <c r="B42" s="94" t="s">
        <v>185</v>
      </c>
      <c r="O42" s="249"/>
      <c r="P42" s="248"/>
      <c r="Q42" s="245"/>
      <c r="R42" s="245"/>
      <c r="S42" s="46"/>
      <c r="T42" s="46"/>
    </row>
    <row r="43" spans="2:20" x14ac:dyDescent="0.35">
      <c r="B43" s="94" t="s">
        <v>186</v>
      </c>
      <c r="O43" s="146"/>
      <c r="P43" s="250"/>
      <c r="Q43" s="245"/>
      <c r="R43" s="245"/>
      <c r="S43" s="46"/>
      <c r="T43" s="46"/>
    </row>
    <row r="44" spans="2:20" x14ac:dyDescent="0.35">
      <c r="O44" s="246"/>
      <c r="P44" s="146"/>
      <c r="Q44" s="245"/>
      <c r="R44" s="245"/>
      <c r="S44" s="46"/>
      <c r="T44" s="46"/>
    </row>
    <row r="45" spans="2:20" x14ac:dyDescent="0.35">
      <c r="O45" s="247"/>
      <c r="P45" s="248"/>
      <c r="Q45" s="245"/>
      <c r="R45" s="245"/>
      <c r="S45" s="46"/>
      <c r="T45" s="46"/>
    </row>
    <row r="46" spans="2:20" x14ac:dyDescent="0.35">
      <c r="O46" s="247"/>
      <c r="P46" s="248"/>
      <c r="Q46" s="245"/>
      <c r="R46" s="245"/>
      <c r="S46" s="46"/>
      <c r="T46" s="46"/>
    </row>
    <row r="47" spans="2:20" x14ac:dyDescent="0.35">
      <c r="O47" s="247"/>
      <c r="P47" s="248"/>
      <c r="Q47" s="245"/>
      <c r="R47" s="245"/>
      <c r="S47" s="46"/>
      <c r="T47" s="46"/>
    </row>
    <row r="48" spans="2:20" x14ac:dyDescent="0.35">
      <c r="O48" s="247"/>
      <c r="P48" s="248"/>
      <c r="Q48" s="245"/>
      <c r="R48" s="245"/>
      <c r="S48" s="46"/>
      <c r="T48" s="46"/>
    </row>
    <row r="49" spans="15:20" x14ac:dyDescent="0.35">
      <c r="O49" s="247"/>
      <c r="P49" s="248"/>
      <c r="Q49" s="245"/>
      <c r="R49" s="245"/>
      <c r="S49" s="46"/>
      <c r="T49" s="46"/>
    </row>
    <row r="50" spans="15:20" x14ac:dyDescent="0.35">
      <c r="O50" s="247"/>
      <c r="P50" s="248"/>
      <c r="Q50" s="245"/>
      <c r="R50" s="245"/>
      <c r="S50" s="46"/>
      <c r="T50" s="46"/>
    </row>
    <row r="51" spans="15:20" x14ac:dyDescent="0.35">
      <c r="O51" s="249"/>
      <c r="P51" s="248"/>
      <c r="Q51" s="245"/>
      <c r="R51" s="245"/>
    </row>
    <row r="52" spans="15:20" x14ac:dyDescent="0.35">
      <c r="O52" s="146"/>
      <c r="P52" s="250"/>
      <c r="Q52" s="245"/>
      <c r="R52" s="245"/>
    </row>
    <row r="53" spans="15:20" x14ac:dyDescent="0.35">
      <c r="O53" s="146"/>
      <c r="P53" s="146"/>
      <c r="Q53" s="245"/>
      <c r="R53" s="245"/>
    </row>
    <row r="54" spans="15:20" x14ac:dyDescent="0.35">
      <c r="O54" s="146"/>
      <c r="P54" s="146"/>
      <c r="Q54" s="146"/>
      <c r="R54" s="146"/>
    </row>
    <row r="55" spans="15:20" x14ac:dyDescent="0.35">
      <c r="O55" s="146"/>
      <c r="P55" s="146"/>
      <c r="Q55" s="146"/>
      <c r="R55" s="146"/>
    </row>
    <row r="56" spans="15:20" x14ac:dyDescent="0.35">
      <c r="O56" s="146"/>
      <c r="P56" s="146"/>
      <c r="Q56" s="146"/>
      <c r="R56" s="146"/>
    </row>
    <row r="57" spans="15:20" x14ac:dyDescent="0.35">
      <c r="O57" s="146"/>
      <c r="P57" s="146"/>
      <c r="Q57" s="146"/>
      <c r="R57" s="146"/>
    </row>
  </sheetData>
  <pageMargins left="0.2" right="0.2" top="0.75" bottom="0.25" header="0.3" footer="0.3"/>
  <pageSetup scale="33" orientation="landscape" r:id="rId1"/>
  <headerFooter>
    <oddHeader>&amp;C&amp;F &amp;A&amp;R&amp;"Arial"&amp;10&amp;K000000CONFIDENTIAL</oddHeader>
    <oddFooter>&amp;R&amp;1#&amp;"Calibri"&amp;10&amp;KA80000Internal Use Only</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B4A8E-DEE2-477C-9A01-477ED574AD62}">
  <sheetPr>
    <pageSetUpPr fitToPage="1"/>
  </sheetPr>
  <dimension ref="A1:E35"/>
  <sheetViews>
    <sheetView workbookViewId="0"/>
  </sheetViews>
  <sheetFormatPr defaultColWidth="9.1796875" defaultRowHeight="14.5" x14ac:dyDescent="0.35"/>
  <cols>
    <col min="1" max="1" width="43.1796875" style="46" customWidth="1"/>
    <col min="2" max="2" width="14.26953125" style="46" bestFit="1" customWidth="1"/>
    <col min="3" max="3" width="14.26953125" style="46" customWidth="1"/>
    <col min="4" max="4" width="13.54296875" style="46" bestFit="1" customWidth="1"/>
    <col min="5" max="5" width="13.453125" style="46" bestFit="1" customWidth="1"/>
    <col min="6" max="6" width="13.54296875" style="46" bestFit="1" customWidth="1"/>
    <col min="7" max="16384" width="9.1796875" style="46"/>
  </cols>
  <sheetData>
    <row r="1" spans="1:5" x14ac:dyDescent="0.35">
      <c r="A1" s="63" t="str">
        <f>+'PPC Cycle 3'!A1</f>
        <v>Evergy Metro, Inc. - DSIM Rider Update Filed 12/01/2024</v>
      </c>
    </row>
    <row r="2" spans="1:5" x14ac:dyDescent="0.35">
      <c r="A2" s="9" t="str">
        <f>+'PPC Cycle 3'!A2</f>
        <v>Projections for Cycle 3 January 2025 - December 2025 DSIM</v>
      </c>
    </row>
    <row r="3" spans="1:5" ht="45.75" customHeight="1" x14ac:dyDescent="0.35">
      <c r="B3" s="374" t="s">
        <v>170</v>
      </c>
      <c r="C3" s="374"/>
      <c r="D3" s="374"/>
    </row>
    <row r="4" spans="1:5" x14ac:dyDescent="0.35">
      <c r="B4" s="48" t="s">
        <v>17</v>
      </c>
    </row>
    <row r="5" spans="1:5" x14ac:dyDescent="0.35">
      <c r="A5" s="20" t="s">
        <v>173</v>
      </c>
      <c r="B5" s="276">
        <f>+B11</f>
        <v>0</v>
      </c>
    </row>
    <row r="6" spans="1:5" x14ac:dyDescent="0.35">
      <c r="A6" s="20" t="s">
        <v>174</v>
      </c>
      <c r="B6" s="276">
        <f>+C11</f>
        <v>0</v>
      </c>
    </row>
    <row r="7" spans="1:5" x14ac:dyDescent="0.35">
      <c r="A7" s="20" t="s">
        <v>175</v>
      </c>
      <c r="B7" s="276">
        <f>+D11</f>
        <v>0</v>
      </c>
    </row>
    <row r="8" spans="1:5" ht="58" x14ac:dyDescent="0.35">
      <c r="A8" s="20"/>
      <c r="B8" s="265" t="s">
        <v>173</v>
      </c>
      <c r="C8" s="265" t="s">
        <v>174</v>
      </c>
      <c r="D8" s="266" t="s">
        <v>83</v>
      </c>
      <c r="E8" s="3" t="s">
        <v>5</v>
      </c>
    </row>
    <row r="9" spans="1:5" x14ac:dyDescent="0.35">
      <c r="A9" s="20" t="s">
        <v>24</v>
      </c>
      <c r="B9" s="210">
        <v>0</v>
      </c>
      <c r="C9" s="210">
        <v>0</v>
      </c>
      <c r="D9" s="210">
        <v>0</v>
      </c>
      <c r="E9" s="210">
        <f>SUM(B9:D9)</f>
        <v>0</v>
      </c>
    </row>
    <row r="10" spans="1:5" x14ac:dyDescent="0.35">
      <c r="A10" s="20" t="s">
        <v>25</v>
      </c>
      <c r="B10" s="210">
        <v>0</v>
      </c>
      <c r="C10" s="210">
        <v>0</v>
      </c>
      <c r="D10" s="210">
        <v>0</v>
      </c>
      <c r="E10" s="210">
        <f>SUM(B10:D10)</f>
        <v>0</v>
      </c>
    </row>
    <row r="11" spans="1:5" ht="15" thickBot="1" x14ac:dyDescent="0.4">
      <c r="A11" s="20" t="s">
        <v>5</v>
      </c>
      <c r="B11" s="211">
        <f>SUM(B9:B10)</f>
        <v>0</v>
      </c>
      <c r="C11" s="211">
        <f>SUM(C9:C10)</f>
        <v>0</v>
      </c>
      <c r="D11" s="211">
        <f>SUM(D9:D10)</f>
        <v>0</v>
      </c>
      <c r="E11" s="211">
        <f>SUM(E9:E10)</f>
        <v>0</v>
      </c>
    </row>
    <row r="12" spans="1:5" ht="15.5" thickTop="1" thickBot="1" x14ac:dyDescent="0.4">
      <c r="B12" s="212">
        <f>+B11-B5</f>
        <v>0</v>
      </c>
      <c r="C12" s="212">
        <f>+C11-B6</f>
        <v>0</v>
      </c>
      <c r="D12" s="212">
        <f>+D11-B7</f>
        <v>0</v>
      </c>
      <c r="E12" s="212">
        <f>ROUND(B5+B6+B7,2)-E11</f>
        <v>0</v>
      </c>
    </row>
    <row r="13" spans="1:5" ht="15" thickTop="1" x14ac:dyDescent="0.35">
      <c r="B13" s="222"/>
      <c r="C13" s="222"/>
      <c r="D13" s="283" t="s">
        <v>178</v>
      </c>
    </row>
    <row r="14" spans="1:5" x14ac:dyDescent="0.35">
      <c r="A14" s="20" t="s">
        <v>104</v>
      </c>
      <c r="B14" s="210">
        <f>ROUND($E$10*D14,2)</f>
        <v>0</v>
      </c>
      <c r="C14" s="210"/>
      <c r="D14" s="219">
        <f>+'PCR Cycle 2'!L8</f>
        <v>0.13576441564001979</v>
      </c>
    </row>
    <row r="15" spans="1:5" x14ac:dyDescent="0.35">
      <c r="A15" s="20" t="s">
        <v>105</v>
      </c>
      <c r="B15" s="210">
        <f t="shared" ref="B15:B17" si="0">ROUND($E$10*D15,2)</f>
        <v>0</v>
      </c>
      <c r="C15" s="210"/>
      <c r="D15" s="219">
        <f>+'PCR Cycle 2'!L9</f>
        <v>0.35611574316442379</v>
      </c>
    </row>
    <row r="16" spans="1:5" x14ac:dyDescent="0.35">
      <c r="A16" s="20" t="s">
        <v>106</v>
      </c>
      <c r="B16" s="210">
        <f t="shared" si="0"/>
        <v>0</v>
      </c>
      <c r="C16" s="267"/>
      <c r="D16" s="219">
        <f>+'PCR Cycle 2'!L10</f>
        <v>0.4183185730547726</v>
      </c>
    </row>
    <row r="17" spans="1:4" ht="15" thickBot="1" x14ac:dyDescent="0.4">
      <c r="A17" s="20" t="s">
        <v>107</v>
      </c>
      <c r="B17" s="210">
        <f t="shared" si="0"/>
        <v>0</v>
      </c>
      <c r="C17" s="210"/>
      <c r="D17" s="219">
        <f>+'PCR Cycle 2'!L11</f>
        <v>8.9801268140783777E-2</v>
      </c>
    </row>
    <row r="18" spans="1:4" ht="15.5" thickTop="1" thickBot="1" x14ac:dyDescent="0.4">
      <c r="A18" s="20" t="s">
        <v>109</v>
      </c>
      <c r="B18" s="32">
        <f>SUM(B14:B17)</f>
        <v>0</v>
      </c>
      <c r="C18" s="32"/>
      <c r="D18" s="220">
        <f>SUM(D14:D17)</f>
        <v>1</v>
      </c>
    </row>
    <row r="19" spans="1:4" ht="15" thickTop="1" x14ac:dyDescent="0.35"/>
    <row r="20" spans="1:4" x14ac:dyDescent="0.35">
      <c r="A20" s="53" t="s">
        <v>11</v>
      </c>
    </row>
    <row r="21" spans="1:4" s="39" customFormat="1" x14ac:dyDescent="0.35">
      <c r="A21" s="3" t="s">
        <v>221</v>
      </c>
      <c r="B21" s="46"/>
      <c r="C21" s="46"/>
      <c r="D21" s="46"/>
    </row>
    <row r="22" spans="1:4" s="39" customFormat="1" x14ac:dyDescent="0.35">
      <c r="A22" s="3" t="s">
        <v>222</v>
      </c>
      <c r="B22" s="46"/>
      <c r="C22" s="46"/>
      <c r="D22" s="46"/>
    </row>
    <row r="23" spans="1:4" s="39" customFormat="1" x14ac:dyDescent="0.35">
      <c r="A23" s="3" t="s">
        <v>223</v>
      </c>
      <c r="B23" s="46"/>
      <c r="C23" s="46"/>
      <c r="D23" s="46"/>
    </row>
    <row r="25" spans="1:4" x14ac:dyDescent="0.35">
      <c r="A25" s="3"/>
      <c r="D25" s="185"/>
    </row>
    <row r="26" spans="1:4" x14ac:dyDescent="0.35">
      <c r="D26" s="185"/>
    </row>
    <row r="27" spans="1:4" x14ac:dyDescent="0.35">
      <c r="B27" s="70"/>
      <c r="D27" s="185"/>
    </row>
    <row r="28" spans="1:4" x14ac:dyDescent="0.35">
      <c r="A28" s="207"/>
      <c r="B28" s="208"/>
      <c r="D28" s="185"/>
    </row>
    <row r="29" spans="1:4" x14ac:dyDescent="0.35">
      <c r="A29" s="207"/>
      <c r="B29" s="208"/>
      <c r="D29" s="185"/>
    </row>
    <row r="30" spans="1:4" x14ac:dyDescent="0.35">
      <c r="A30" s="207"/>
      <c r="B30" s="208"/>
      <c r="D30" s="185"/>
    </row>
    <row r="31" spans="1:4" x14ac:dyDescent="0.35">
      <c r="A31" s="207"/>
      <c r="B31" s="208"/>
      <c r="D31" s="185"/>
    </row>
    <row r="32" spans="1:4" x14ac:dyDescent="0.35">
      <c r="A32" s="207"/>
      <c r="B32" s="186"/>
      <c r="D32" s="185"/>
    </row>
    <row r="33" spans="1:4" x14ac:dyDescent="0.35">
      <c r="A33" s="207"/>
      <c r="B33" s="186"/>
      <c r="D33" s="185"/>
    </row>
    <row r="34" spans="1:4" ht="16" x14ac:dyDescent="0.5">
      <c r="A34" s="207"/>
      <c r="B34" s="186"/>
      <c r="D34" s="209"/>
    </row>
    <row r="35" spans="1:4" x14ac:dyDescent="0.35">
      <c r="A35" s="207"/>
      <c r="D35" s="185"/>
    </row>
  </sheetData>
  <mergeCells count="1">
    <mergeCell ref="B3:D3"/>
  </mergeCells>
  <pageMargins left="0.2" right="0.2" top="0.75" bottom="0.25" header="0.3" footer="0.3"/>
  <pageSetup orientation="landscape" r:id="rId1"/>
  <headerFooter>
    <oddHeader>&amp;C&amp;F &amp;A&amp;R&amp;"Arial"&amp;10&amp;K000000CONFIDENTIAL</oddHeader>
    <oddFooter>&amp;R&amp;1#&amp;"Calibri"&amp;10&amp;KA80000Internal Use Only</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H54"/>
  <sheetViews>
    <sheetView zoomScale="85" zoomScaleNormal="85" workbookViewId="0"/>
  </sheetViews>
  <sheetFormatPr defaultColWidth="9.1796875" defaultRowHeight="14.5" outlineLevelCol="1" x14ac:dyDescent="0.35"/>
  <cols>
    <col min="1" max="1" width="37.7265625" style="46" customWidth="1"/>
    <col min="2" max="2" width="12.26953125" style="46" bestFit="1" customWidth="1"/>
    <col min="3" max="3" width="12.453125" style="46" bestFit="1" customWidth="1"/>
    <col min="4" max="4" width="15.453125" style="46" customWidth="1"/>
    <col min="5" max="5" width="15.81640625" style="46" bestFit="1" customWidth="1"/>
    <col min="6" max="6" width="12.26953125" style="46" bestFit="1" customWidth="1"/>
    <col min="7" max="8" width="13.26953125" style="46" bestFit="1" customWidth="1"/>
    <col min="9" max="9" width="12.26953125" style="46" bestFit="1" customWidth="1"/>
    <col min="10" max="10" width="12.453125" style="46" customWidth="1"/>
    <col min="11" max="11" width="12.81640625" style="46" customWidth="1"/>
    <col min="12" max="12" width="16" style="46" customWidth="1"/>
    <col min="13" max="13" width="15" style="46" bestFit="1" customWidth="1"/>
    <col min="14" max="14" width="16" style="46" bestFit="1" customWidth="1"/>
    <col min="15" max="15" width="15.26953125" style="46" hidden="1" customWidth="1" outlineLevel="1"/>
    <col min="16" max="16" width="17.453125" style="46" bestFit="1" customWidth="1" collapsed="1"/>
    <col min="17" max="17" width="16.26953125" style="46" bestFit="1" customWidth="1"/>
    <col min="18" max="18" width="15.26953125" style="46" bestFit="1" customWidth="1"/>
    <col min="19" max="19" width="12.453125" style="46" customWidth="1"/>
    <col min="20" max="21" width="14.26953125" style="46" bestFit="1" customWidth="1"/>
    <col min="22" max="16384" width="9.1796875" style="46"/>
  </cols>
  <sheetData>
    <row r="1" spans="1:34" x14ac:dyDescent="0.35">
      <c r="A1" s="3" t="str">
        <f>+'PPC Cycle 3'!A1</f>
        <v>Evergy Metro, Inc. - DSIM Rider Update Filed 12/01/2024</v>
      </c>
      <c r="B1" s="3"/>
      <c r="C1" s="3"/>
    </row>
    <row r="2" spans="1:34" x14ac:dyDescent="0.35">
      <c r="D2" s="3" t="s">
        <v>93</v>
      </c>
    </row>
    <row r="3" spans="1:34" ht="29" x14ac:dyDescent="0.35">
      <c r="D3" s="48" t="s">
        <v>45</v>
      </c>
      <c r="E3" s="70" t="s">
        <v>17</v>
      </c>
      <c r="F3" s="48" t="s">
        <v>3</v>
      </c>
      <c r="G3" s="70" t="s">
        <v>54</v>
      </c>
      <c r="H3" s="48" t="s">
        <v>10</v>
      </c>
      <c r="I3" s="48" t="s">
        <v>18</v>
      </c>
      <c r="R3" s="48"/>
    </row>
    <row r="4" spans="1:34" x14ac:dyDescent="0.35">
      <c r="A4" s="20" t="s">
        <v>24</v>
      </c>
      <c r="B4" s="20"/>
      <c r="C4" s="20"/>
      <c r="D4" s="22">
        <f>SUM(C19:L19)</f>
        <v>-6467.6957200000106</v>
      </c>
      <c r="E4" s="22">
        <f>SUM(C23:K23)</f>
        <v>0</v>
      </c>
      <c r="F4" s="22">
        <f>E4-D4</f>
        <v>6467.6957200000106</v>
      </c>
      <c r="G4" s="22">
        <f>+B33</f>
        <v>-6373.0257200000133</v>
      </c>
      <c r="H4" s="22">
        <f>SUM(C38:K38)</f>
        <v>-94.67</v>
      </c>
      <c r="I4" s="25">
        <f>SUM(F4:H4)</f>
        <v>-2.6574298317427747E-12</v>
      </c>
      <c r="J4" s="47">
        <f>+I4-L33</f>
        <v>-2.8741453661496053E-12</v>
      </c>
      <c r="M4" s="47"/>
    </row>
    <row r="5" spans="1:34" ht="15" thickBot="1" x14ac:dyDescent="0.4">
      <c r="A5" s="20" t="s">
        <v>25</v>
      </c>
      <c r="B5" s="20"/>
      <c r="C5" s="20"/>
      <c r="D5" s="22">
        <f>SUM(C20:L20)</f>
        <v>0</v>
      </c>
      <c r="E5" s="22">
        <f>SUM(C24:K24)</f>
        <v>0</v>
      </c>
      <c r="F5" s="22">
        <f>E5-D5</f>
        <v>0</v>
      </c>
      <c r="G5" s="22">
        <f>+B34</f>
        <v>0</v>
      </c>
      <c r="H5" s="22">
        <f>SUM(C39:K39)</f>
        <v>0</v>
      </c>
      <c r="I5" s="25">
        <f>SUM(F5:H5)</f>
        <v>0</v>
      </c>
      <c r="J5" s="47">
        <f>+I5-L34</f>
        <v>0</v>
      </c>
      <c r="M5" s="47"/>
    </row>
    <row r="6" spans="1:34" ht="15.5" thickTop="1" thickBot="1" x14ac:dyDescent="0.4">
      <c r="D6" s="27">
        <f t="shared" ref="D6" si="0">SUM(D4:D5)</f>
        <v>-6467.6957200000106</v>
      </c>
      <c r="E6" s="27">
        <f>SUM(E4:E5)</f>
        <v>0</v>
      </c>
      <c r="F6" s="27">
        <f>SUM(F4:F5)</f>
        <v>6467.6957200000106</v>
      </c>
      <c r="G6" s="27">
        <f>SUM(G4:G5)</f>
        <v>-6373.0257200000133</v>
      </c>
      <c r="H6" s="27">
        <f>SUM(H4:H5)</f>
        <v>-94.67</v>
      </c>
      <c r="I6" s="27">
        <f>SUM(I4:I5)</f>
        <v>-2.6574298317427747E-12</v>
      </c>
      <c r="S6" s="5"/>
    </row>
    <row r="7" spans="1:34" ht="44" thickTop="1" x14ac:dyDescent="0.35">
      <c r="I7" s="222"/>
      <c r="J7" s="221" t="s">
        <v>120</v>
      </c>
    </row>
    <row r="8" spans="1:34" x14ac:dyDescent="0.35">
      <c r="A8" s="20" t="s">
        <v>104</v>
      </c>
      <c r="I8" s="25">
        <f>ROUND($I$5*J8,2)</f>
        <v>0</v>
      </c>
      <c r="J8" s="219">
        <f>+'PCR Cycle 2'!L8</f>
        <v>0.13576441564001979</v>
      </c>
    </row>
    <row r="9" spans="1:34" x14ac:dyDescent="0.35">
      <c r="A9" s="20" t="s">
        <v>105</v>
      </c>
      <c r="I9" s="25">
        <f t="shared" ref="I9:I11" si="1">ROUND($I$5*J9,2)</f>
        <v>0</v>
      </c>
      <c r="J9" s="219">
        <f>+'PCR Cycle 2'!L9</f>
        <v>0.35611574316442379</v>
      </c>
    </row>
    <row r="10" spans="1:34" x14ac:dyDescent="0.35">
      <c r="A10" s="20" t="s">
        <v>106</v>
      </c>
      <c r="I10" s="25">
        <f t="shared" si="1"/>
        <v>0</v>
      </c>
      <c r="J10" s="219">
        <f>+'PCR Cycle 2'!L10</f>
        <v>0.4183185730547726</v>
      </c>
    </row>
    <row r="11" spans="1:34" ht="15" thickBot="1" x14ac:dyDescent="0.4">
      <c r="A11" s="20" t="s">
        <v>107</v>
      </c>
      <c r="I11" s="25">
        <f t="shared" si="1"/>
        <v>0</v>
      </c>
      <c r="J11" s="219">
        <f>+'PCR Cycle 2'!L11</f>
        <v>8.9801268140783777E-2</v>
      </c>
    </row>
    <row r="12" spans="1:34" ht="15.5" thickTop="1" thickBot="1" x14ac:dyDescent="0.4">
      <c r="A12" s="20" t="s">
        <v>109</v>
      </c>
      <c r="I12" s="27">
        <f>SUM(I8:I11)</f>
        <v>0</v>
      </c>
      <c r="J12" s="220">
        <f>SUM(J8:J11)</f>
        <v>1</v>
      </c>
      <c r="U12" s="4"/>
    </row>
    <row r="13" spans="1:34" ht="15.5" thickTop="1" thickBot="1" x14ac:dyDescent="0.4">
      <c r="D13" s="312"/>
      <c r="E13" s="312"/>
      <c r="F13" s="312"/>
      <c r="G13" s="312"/>
      <c r="H13" s="312"/>
      <c r="I13" s="312"/>
      <c r="J13" s="312"/>
      <c r="K13" s="312"/>
      <c r="L13" s="312"/>
      <c r="U13" s="4"/>
      <c r="V13" s="5"/>
    </row>
    <row r="14" spans="1:34" ht="87.5" thickBot="1" x14ac:dyDescent="0.4">
      <c r="B14" s="114" t="str">
        <f>+'PCR Cycle 2'!B14</f>
        <v>Cumulative Over/Under Carryover From 06/01/2024 Filing</v>
      </c>
      <c r="C14" s="148" t="str">
        <f>+'PCR Cycle 2'!C14</f>
        <v>Reverse May 2024 - July 2024 Forecast From 06/01/2024 Filing</v>
      </c>
      <c r="D14" s="382" t="s">
        <v>32</v>
      </c>
      <c r="E14" s="382"/>
      <c r="F14" s="383"/>
      <c r="G14" s="389" t="s">
        <v>32</v>
      </c>
      <c r="H14" s="390"/>
      <c r="I14" s="391"/>
      <c r="J14" s="378" t="s">
        <v>8</v>
      </c>
      <c r="K14" s="379"/>
      <c r="L14" s="380"/>
      <c r="O14" s="287" t="s">
        <v>236</v>
      </c>
    </row>
    <row r="15" spans="1:34" x14ac:dyDescent="0.35">
      <c r="A15" s="46" t="s">
        <v>88</v>
      </c>
      <c r="C15" s="104"/>
      <c r="D15" s="19">
        <f>+'PCR Cycle 2'!E15</f>
        <v>45443</v>
      </c>
      <c r="E15" s="19">
        <f t="shared" ref="E15:L15" si="2">EOMONTH(D15,1)</f>
        <v>45473</v>
      </c>
      <c r="F15" s="19">
        <f t="shared" si="2"/>
        <v>45504</v>
      </c>
      <c r="G15" s="14">
        <f t="shared" si="2"/>
        <v>45535</v>
      </c>
      <c r="H15" s="19">
        <f t="shared" si="2"/>
        <v>45565</v>
      </c>
      <c r="I15" s="15">
        <f t="shared" si="2"/>
        <v>45596</v>
      </c>
      <c r="J15" s="19">
        <f t="shared" si="2"/>
        <v>45626</v>
      </c>
      <c r="K15" s="19">
        <f t="shared" si="2"/>
        <v>45657</v>
      </c>
      <c r="L15" s="15">
        <f t="shared" si="2"/>
        <v>45688</v>
      </c>
      <c r="Y15" s="1"/>
      <c r="Z15" s="1"/>
      <c r="AA15" s="1"/>
      <c r="AB15" s="1"/>
      <c r="AC15" s="1"/>
      <c r="AD15" s="1"/>
      <c r="AE15" s="1"/>
      <c r="AF15" s="1"/>
      <c r="AG15" s="1"/>
      <c r="AH15" s="1"/>
    </row>
    <row r="16" spans="1:34" x14ac:dyDescent="0.35">
      <c r="A16" s="46" t="s">
        <v>5</v>
      </c>
      <c r="C16" s="97">
        <v>0</v>
      </c>
      <c r="D16" s="108">
        <f>SUM(D23:D24)</f>
        <v>0</v>
      </c>
      <c r="E16" s="108">
        <f t="shared" ref="E16:H16" si="3">SUM(E23:E24)</f>
        <v>0</v>
      </c>
      <c r="F16" s="109">
        <f t="shared" si="3"/>
        <v>0</v>
      </c>
      <c r="G16" s="16">
        <f t="shared" si="3"/>
        <v>0</v>
      </c>
      <c r="H16" s="55">
        <f t="shared" si="3"/>
        <v>0</v>
      </c>
      <c r="I16" s="161">
        <f>+I23+I24</f>
        <v>0</v>
      </c>
      <c r="J16" s="154">
        <f t="shared" ref="J16:K16" si="4">+J23+J24</f>
        <v>0</v>
      </c>
      <c r="K16" s="78">
        <f t="shared" si="4"/>
        <v>0</v>
      </c>
      <c r="L16" s="79"/>
      <c r="O16" s="47">
        <f>-SUM(J16:L16)</f>
        <v>0</v>
      </c>
    </row>
    <row r="17" spans="1:17" x14ac:dyDescent="0.35">
      <c r="C17" s="99"/>
      <c r="D17" s="17"/>
      <c r="E17" s="17"/>
      <c r="F17" s="17"/>
      <c r="G17" s="10"/>
      <c r="H17" s="17"/>
      <c r="I17" s="11"/>
      <c r="J17" s="31"/>
      <c r="K17" s="31"/>
      <c r="L17" s="29"/>
    </row>
    <row r="18" spans="1:17" x14ac:dyDescent="0.35">
      <c r="A18" s="46" t="s">
        <v>87</v>
      </c>
      <c r="C18" s="99"/>
      <c r="D18" s="18"/>
      <c r="E18" s="18"/>
      <c r="F18" s="18"/>
      <c r="G18" s="91"/>
      <c r="H18" s="18"/>
      <c r="I18" s="162"/>
      <c r="J18" s="31"/>
      <c r="K18" s="31"/>
      <c r="L18" s="29"/>
      <c r="M18" s="63" t="s">
        <v>49</v>
      </c>
      <c r="N18" s="39"/>
    </row>
    <row r="19" spans="1:17" x14ac:dyDescent="0.35">
      <c r="A19" s="46" t="s">
        <v>24</v>
      </c>
      <c r="C19" s="97">
        <v>6573.5835100000004</v>
      </c>
      <c r="D19" s="131">
        <f>'[5]May 2024'!$G$79</f>
        <v>-1532.4</v>
      </c>
      <c r="E19" s="131">
        <f>'[5]June 2024'!$G$79</f>
        <v>-2108.59</v>
      </c>
      <c r="F19" s="183">
        <f>'[5]July 2024'!$G$79</f>
        <v>-2971.84</v>
      </c>
      <c r="G19" s="16">
        <f>'[5]August 2024'!$G$79</f>
        <v>-2054.02</v>
      </c>
      <c r="H19" s="117">
        <f>'[5]September 2024'!$G$79</f>
        <v>-29.37</v>
      </c>
      <c r="I19" s="163">
        <f>'[5]October 2024'!$G$79+1.08076999998888</f>
        <v>-4345.0592300000117</v>
      </c>
      <c r="J19" s="119">
        <f>'PCR Cycle 2'!K27*$M19</f>
        <v>0</v>
      </c>
      <c r="K19" s="41">
        <f>'PCR Cycle 2'!L27*$M19</f>
        <v>0</v>
      </c>
      <c r="L19" s="61">
        <f>'PCR Cycle 2'!M27*$M19</f>
        <v>0</v>
      </c>
      <c r="M19" s="72">
        <v>0</v>
      </c>
      <c r="N19" s="4"/>
      <c r="O19" s="47">
        <f t="shared" ref="O19:O20" si="5">-SUM(J19:L19)</f>
        <v>0</v>
      </c>
      <c r="Q19" s="332"/>
    </row>
    <row r="20" spans="1:17" x14ac:dyDescent="0.35">
      <c r="A20" s="46" t="s">
        <v>25</v>
      </c>
      <c r="C20" s="97">
        <v>0</v>
      </c>
      <c r="D20" s="131">
        <f>'[5]May 2024'!$G$84</f>
        <v>0</v>
      </c>
      <c r="E20" s="131">
        <f>'[5]June 2024'!$G$84</f>
        <v>0</v>
      </c>
      <c r="F20" s="183">
        <f>'[5]July 2024'!$G$84</f>
        <v>0</v>
      </c>
      <c r="G20" s="16">
        <f>'[5]August 2024'!$G$84</f>
        <v>0</v>
      </c>
      <c r="H20" s="117">
        <f>'[5]September 2024'!$G$84</f>
        <v>0</v>
      </c>
      <c r="I20" s="163">
        <f>'[5]October 2024'!$G$84</f>
        <v>0</v>
      </c>
      <c r="J20" s="119">
        <f>SUM('PCR Cycle 2'!K28:K31)*$M20</f>
        <v>0</v>
      </c>
      <c r="K20" s="41">
        <f>SUM('PCR Cycle 2'!L28:L31)*$M20</f>
        <v>0</v>
      </c>
      <c r="L20" s="61">
        <f>SUM('PCR Cycle 2'!M28:M31)*$M20</f>
        <v>0</v>
      </c>
      <c r="M20" s="72">
        <v>0</v>
      </c>
      <c r="N20" s="4"/>
      <c r="O20" s="47">
        <f t="shared" si="5"/>
        <v>0</v>
      </c>
    </row>
    <row r="21" spans="1:17" x14ac:dyDescent="0.35">
      <c r="C21" s="67"/>
      <c r="D21" s="68"/>
      <c r="E21" s="68"/>
      <c r="F21" s="68"/>
      <c r="G21" s="98"/>
      <c r="H21" s="68"/>
      <c r="I21" s="164"/>
      <c r="J21" s="56"/>
      <c r="K21" s="56"/>
      <c r="L21" s="13"/>
      <c r="N21" s="4"/>
    </row>
    <row r="22" spans="1:17" x14ac:dyDescent="0.35">
      <c r="A22" s="46" t="s">
        <v>89</v>
      </c>
      <c r="C22" s="36"/>
      <c r="D22" s="37"/>
      <c r="E22" s="37"/>
      <c r="F22" s="37"/>
      <c r="G22" s="36"/>
      <c r="H22" s="37"/>
      <c r="I22" s="167"/>
      <c r="J22" s="52"/>
      <c r="K22" s="52"/>
      <c r="L22" s="38"/>
    </row>
    <row r="23" spans="1:17" x14ac:dyDescent="0.35">
      <c r="A23" s="46" t="s">
        <v>24</v>
      </c>
      <c r="C23" s="97">
        <v>0</v>
      </c>
      <c r="D23" s="108">
        <v>0</v>
      </c>
      <c r="E23" s="108">
        <v>0</v>
      </c>
      <c r="F23" s="109">
        <v>0</v>
      </c>
      <c r="G23" s="16">
        <v>0</v>
      </c>
      <c r="H23" s="55">
        <v>0</v>
      </c>
      <c r="I23" s="161">
        <v>0</v>
      </c>
      <c r="J23" s="156">
        <v>0</v>
      </c>
      <c r="K23" s="138">
        <v>0</v>
      </c>
      <c r="L23" s="79"/>
      <c r="O23" s="47">
        <f t="shared" ref="O23:O26" si="6">-SUM(J23:L23)</f>
        <v>0</v>
      </c>
    </row>
    <row r="24" spans="1:17" x14ac:dyDescent="0.35">
      <c r="A24" s="46" t="s">
        <v>25</v>
      </c>
      <c r="C24" s="97">
        <v>0</v>
      </c>
      <c r="D24" s="108">
        <v>0</v>
      </c>
      <c r="E24" s="108">
        <v>0</v>
      </c>
      <c r="F24" s="109">
        <v>0</v>
      </c>
      <c r="G24" s="16">
        <v>0</v>
      </c>
      <c r="H24" s="55">
        <v>0</v>
      </c>
      <c r="I24" s="161">
        <v>0</v>
      </c>
      <c r="J24" s="156">
        <v>0</v>
      </c>
      <c r="K24" s="138">
        <v>0</v>
      </c>
      <c r="L24" s="79"/>
      <c r="N24" s="47"/>
      <c r="O24" s="47">
        <f t="shared" si="6"/>
        <v>0</v>
      </c>
    </row>
    <row r="25" spans="1:17" x14ac:dyDescent="0.35">
      <c r="C25" s="99"/>
      <c r="D25" s="18"/>
      <c r="E25" s="18"/>
      <c r="F25" s="18"/>
      <c r="G25" s="91"/>
      <c r="H25" s="18"/>
      <c r="I25" s="162"/>
      <c r="J25" s="56"/>
      <c r="K25" s="56"/>
      <c r="L25" s="13"/>
    </row>
    <row r="26" spans="1:17" ht="15" thickBot="1" x14ac:dyDescent="0.4">
      <c r="A26" s="3" t="s">
        <v>14</v>
      </c>
      <c r="B26" s="3"/>
      <c r="C26" s="102">
        <v>121.85000000000001</v>
      </c>
      <c r="D26" s="131">
        <v>-65.8</v>
      </c>
      <c r="E26" s="131">
        <f>-56.34+0.01</f>
        <v>-56.330000000000005</v>
      </c>
      <c r="F26" s="132">
        <v>-42.77</v>
      </c>
      <c r="G26" s="26">
        <v>-29.11</v>
      </c>
      <c r="H26" s="118">
        <v>-22.51</v>
      </c>
      <c r="I26" s="168">
        <v>0</v>
      </c>
      <c r="J26" s="157">
        <f>ROUND((SUM(I33:I34)+SUM(I38:I39)+SUM(J29:J30)/2)*J$36,2)</f>
        <v>0</v>
      </c>
      <c r="K26" s="140">
        <f>ROUND((SUM(J33:J34)+SUM(J38:J39)+SUM(K29:K30)/2)*K$36,2)</f>
        <v>0</v>
      </c>
      <c r="L26" s="82"/>
      <c r="O26" s="47">
        <f t="shared" si="6"/>
        <v>0</v>
      </c>
    </row>
    <row r="27" spans="1:17" x14ac:dyDescent="0.35">
      <c r="C27" s="64"/>
      <c r="D27" s="144"/>
      <c r="E27" s="144"/>
      <c r="F27" s="145"/>
      <c r="G27" s="64"/>
      <c r="H27" s="33"/>
      <c r="I27" s="169"/>
      <c r="J27" s="34"/>
      <c r="K27" s="34"/>
      <c r="L27" s="60"/>
    </row>
    <row r="28" spans="1:17" x14ac:dyDescent="0.35">
      <c r="A28" s="46" t="s">
        <v>51</v>
      </c>
      <c r="C28" s="65"/>
      <c r="D28" s="145"/>
      <c r="E28" s="145"/>
      <c r="F28" s="145"/>
      <c r="G28" s="65"/>
      <c r="H28" s="35"/>
      <c r="I28" s="170"/>
      <c r="J28" s="34"/>
      <c r="K28" s="34"/>
      <c r="L28" s="60"/>
    </row>
    <row r="29" spans="1:17" x14ac:dyDescent="0.35">
      <c r="A29" s="46" t="s">
        <v>24</v>
      </c>
      <c r="C29" s="100">
        <f t="shared" ref="C29:L29" si="7">C23-C19</f>
        <v>-6573.5835100000004</v>
      </c>
      <c r="D29" s="41">
        <f t="shared" si="7"/>
        <v>1532.4</v>
      </c>
      <c r="E29" s="41">
        <f t="shared" si="7"/>
        <v>2108.59</v>
      </c>
      <c r="F29" s="107">
        <f t="shared" si="7"/>
        <v>2971.84</v>
      </c>
      <c r="G29" s="40">
        <f t="shared" si="7"/>
        <v>2054.02</v>
      </c>
      <c r="H29" s="41">
        <f t="shared" si="7"/>
        <v>29.37</v>
      </c>
      <c r="I29" s="61">
        <f t="shared" si="7"/>
        <v>4345.0592300000117</v>
      </c>
      <c r="J29" s="119">
        <f t="shared" si="7"/>
        <v>0</v>
      </c>
      <c r="K29" s="41">
        <f t="shared" si="7"/>
        <v>0</v>
      </c>
      <c r="L29" s="61">
        <f t="shared" si="7"/>
        <v>0</v>
      </c>
    </row>
    <row r="30" spans="1:17" x14ac:dyDescent="0.35">
      <c r="A30" s="46" t="s">
        <v>25</v>
      </c>
      <c r="C30" s="100">
        <f t="shared" ref="C30:L30" si="8">C24-C20</f>
        <v>0</v>
      </c>
      <c r="D30" s="41">
        <f t="shared" si="8"/>
        <v>0</v>
      </c>
      <c r="E30" s="41">
        <f t="shared" si="8"/>
        <v>0</v>
      </c>
      <c r="F30" s="107">
        <f t="shared" si="8"/>
        <v>0</v>
      </c>
      <c r="G30" s="40">
        <f t="shared" si="8"/>
        <v>0</v>
      </c>
      <c r="H30" s="41">
        <f t="shared" si="8"/>
        <v>0</v>
      </c>
      <c r="I30" s="61">
        <f t="shared" si="8"/>
        <v>0</v>
      </c>
      <c r="J30" s="119">
        <f t="shared" si="8"/>
        <v>0</v>
      </c>
      <c r="K30" s="41">
        <f t="shared" si="8"/>
        <v>0</v>
      </c>
      <c r="L30" s="61">
        <f t="shared" si="8"/>
        <v>0</v>
      </c>
    </row>
    <row r="31" spans="1:17" x14ac:dyDescent="0.35">
      <c r="C31" s="99"/>
      <c r="D31" s="17"/>
      <c r="E31" s="17"/>
      <c r="F31" s="17"/>
      <c r="G31" s="10"/>
      <c r="H31" s="17"/>
      <c r="I31" s="11"/>
      <c r="J31" s="17"/>
      <c r="K31" s="17"/>
      <c r="L31" s="11"/>
    </row>
    <row r="32" spans="1:17" ht="15" thickBot="1" x14ac:dyDescent="0.4">
      <c r="A32" s="46" t="s">
        <v>52</v>
      </c>
      <c r="C32" s="99"/>
      <c r="D32" s="17"/>
      <c r="E32" s="17"/>
      <c r="F32" s="17"/>
      <c r="G32" s="10"/>
      <c r="H32" s="17"/>
      <c r="I32" s="11"/>
      <c r="J32" s="17"/>
      <c r="K32" s="17"/>
      <c r="L32" s="11"/>
    </row>
    <row r="33" spans="1:17" x14ac:dyDescent="0.35">
      <c r="A33" s="46" t="s">
        <v>24</v>
      </c>
      <c r="B33" s="297">
        <v>-6373.0257200000133</v>
      </c>
      <c r="C33" s="100">
        <f>B33+C29+B38</f>
        <v>-12946.609230000013</v>
      </c>
      <c r="D33" s="41">
        <f t="shared" ref="D33:L34" si="9">C33+D29+C38</f>
        <v>-11292.359230000013</v>
      </c>
      <c r="E33" s="41">
        <f t="shared" si="9"/>
        <v>-9249.5692300000119</v>
      </c>
      <c r="F33" s="107">
        <f t="shared" si="9"/>
        <v>-6334.0592300000117</v>
      </c>
      <c r="G33" s="40">
        <f t="shared" si="9"/>
        <v>-4322.8092300000117</v>
      </c>
      <c r="H33" s="41">
        <f t="shared" si="9"/>
        <v>-4322.5492300000114</v>
      </c>
      <c r="I33" s="61">
        <f t="shared" si="9"/>
        <v>2.1671553440683056E-13</v>
      </c>
      <c r="J33" s="119">
        <f t="shared" si="9"/>
        <v>2.1671553440683056E-13</v>
      </c>
      <c r="K33" s="41">
        <f t="shared" si="9"/>
        <v>2.1671553440683056E-13</v>
      </c>
      <c r="L33" s="61">
        <f t="shared" si="9"/>
        <v>2.1671553440683056E-13</v>
      </c>
    </row>
    <row r="34" spans="1:17" ht="15" thickBot="1" x14ac:dyDescent="0.4">
      <c r="A34" s="46" t="s">
        <v>25</v>
      </c>
      <c r="B34" s="298">
        <v>0</v>
      </c>
      <c r="C34" s="100">
        <f>B34+C30+B39</f>
        <v>0</v>
      </c>
      <c r="D34" s="41">
        <f t="shared" si="9"/>
        <v>0</v>
      </c>
      <c r="E34" s="41">
        <f t="shared" si="9"/>
        <v>0</v>
      </c>
      <c r="F34" s="107">
        <f t="shared" si="9"/>
        <v>0</v>
      </c>
      <c r="G34" s="40">
        <f t="shared" si="9"/>
        <v>0</v>
      </c>
      <c r="H34" s="41">
        <f t="shared" si="9"/>
        <v>0</v>
      </c>
      <c r="I34" s="61">
        <f t="shared" si="9"/>
        <v>0</v>
      </c>
      <c r="J34" s="119">
        <f t="shared" si="9"/>
        <v>0</v>
      </c>
      <c r="K34" s="41">
        <f t="shared" si="9"/>
        <v>0</v>
      </c>
      <c r="L34" s="61">
        <f t="shared" si="9"/>
        <v>0</v>
      </c>
    </row>
    <row r="35" spans="1:17" x14ac:dyDescent="0.35">
      <c r="C35" s="99"/>
      <c r="D35" s="17"/>
      <c r="E35" s="17"/>
      <c r="F35" s="17"/>
      <c r="G35" s="10"/>
      <c r="H35" s="17"/>
      <c r="I35" s="11"/>
      <c r="J35" s="17"/>
      <c r="K35" s="17"/>
      <c r="L35" s="11"/>
    </row>
    <row r="36" spans="1:17" x14ac:dyDescent="0.35">
      <c r="A36" s="39" t="s">
        <v>48</v>
      </c>
      <c r="B36" s="39"/>
      <c r="C36" s="103"/>
      <c r="D36" s="83">
        <f>+'PCR Cycle 2'!E50</f>
        <v>5.4564799999999997E-3</v>
      </c>
      <c r="E36" s="83">
        <f>+'PCR Cycle 2'!F50</f>
        <v>5.4667700000000001E-3</v>
      </c>
      <c r="F36" s="83">
        <f>+'PCR Cycle 2'!G50</f>
        <v>5.46883E-3</v>
      </c>
      <c r="G36" s="84">
        <f>+'PCR Cycle 2'!H50</f>
        <v>5.4406000000000003E-3</v>
      </c>
      <c r="H36" s="83">
        <f>+'PCR Cycle 2'!I50</f>
        <v>5.1888699999999999E-3</v>
      </c>
      <c r="I36" s="92"/>
      <c r="J36" s="83"/>
      <c r="K36" s="83"/>
      <c r="L36" s="85"/>
    </row>
    <row r="37" spans="1:17" x14ac:dyDescent="0.35">
      <c r="A37" s="39" t="s">
        <v>36</v>
      </c>
      <c r="B37" s="39"/>
      <c r="C37" s="105"/>
      <c r="D37" s="83"/>
      <c r="E37" s="83"/>
      <c r="F37" s="83"/>
      <c r="G37" s="84"/>
      <c r="H37" s="83"/>
      <c r="I37" s="85"/>
      <c r="J37" s="83"/>
      <c r="K37" s="83"/>
      <c r="L37" s="85"/>
    </row>
    <row r="38" spans="1:17" x14ac:dyDescent="0.35">
      <c r="A38" s="46" t="s">
        <v>24</v>
      </c>
      <c r="C38" s="301">
        <v>121.85000000000001</v>
      </c>
      <c r="D38" s="41">
        <f t="shared" ref="D38:L39" si="10">ROUND((C33+C38+D29/2)*D$36,2)</f>
        <v>-65.8</v>
      </c>
      <c r="E38" s="41">
        <f t="shared" si="10"/>
        <v>-56.33</v>
      </c>
      <c r="F38" s="107">
        <f t="shared" si="10"/>
        <v>-42.77</v>
      </c>
      <c r="G38" s="40">
        <f t="shared" ref="G38:G39" si="11">ROUND((F33+F38+G29/2)*G$36,2)</f>
        <v>-29.11</v>
      </c>
      <c r="H38" s="119">
        <f t="shared" ref="H38:H39" si="12">ROUND((G33+G38+H29/2)*H$36,2)</f>
        <v>-22.51</v>
      </c>
      <c r="I38" s="49">
        <f t="shared" ref="I38:I39" si="13">ROUND((H33+H38+I29/2)*I$36,2)</f>
        <v>0</v>
      </c>
      <c r="J38" s="158">
        <f t="shared" ref="J38:J39" si="14">ROUND((I33+I38+J29/2)*J$36,2)</f>
        <v>0</v>
      </c>
      <c r="K38" s="107">
        <f t="shared" ref="K38:K39" si="15">ROUND((J33+J38+K29/2)*K$36,2)</f>
        <v>0</v>
      </c>
      <c r="L38" s="61">
        <f t="shared" si="10"/>
        <v>0</v>
      </c>
      <c r="O38" s="47">
        <f t="shared" ref="O38:O39" si="16">-SUM(J38:L38)</f>
        <v>0</v>
      </c>
    </row>
    <row r="39" spans="1:17" ht="15" thickBot="1" x14ac:dyDescent="0.4">
      <c r="A39" s="46" t="s">
        <v>25</v>
      </c>
      <c r="C39" s="301">
        <v>0</v>
      </c>
      <c r="D39" s="41">
        <f t="shared" si="10"/>
        <v>0</v>
      </c>
      <c r="E39" s="41">
        <f t="shared" si="10"/>
        <v>0</v>
      </c>
      <c r="F39" s="107">
        <f t="shared" si="10"/>
        <v>0</v>
      </c>
      <c r="G39" s="40">
        <f t="shared" si="11"/>
        <v>0</v>
      </c>
      <c r="H39" s="119">
        <f t="shared" si="12"/>
        <v>0</v>
      </c>
      <c r="I39" s="49">
        <f t="shared" si="13"/>
        <v>0</v>
      </c>
      <c r="J39" s="158">
        <f t="shared" si="14"/>
        <v>0</v>
      </c>
      <c r="K39" s="107">
        <f t="shared" si="15"/>
        <v>0</v>
      </c>
      <c r="L39" s="61">
        <f t="shared" si="10"/>
        <v>0</v>
      </c>
      <c r="O39" s="47">
        <f t="shared" si="16"/>
        <v>0</v>
      </c>
    </row>
    <row r="40" spans="1:17" ht="15.5" thickTop="1" thickBot="1" x14ac:dyDescent="0.4">
      <c r="A40" s="54" t="s">
        <v>22</v>
      </c>
      <c r="B40" s="54"/>
      <c r="C40" s="106">
        <v>0</v>
      </c>
      <c r="D40" s="42">
        <f t="shared" ref="D40:I40" si="17">SUM(D38:D39)+SUM(D33:D34)-D43</f>
        <v>0</v>
      </c>
      <c r="E40" s="42">
        <f t="shared" si="17"/>
        <v>0</v>
      </c>
      <c r="F40" s="50">
        <f t="shared" ref="F40:H40" si="18">SUM(F38:F39)+SUM(F33:F34)-F43</f>
        <v>0</v>
      </c>
      <c r="G40" s="142">
        <f t="shared" si="18"/>
        <v>0</v>
      </c>
      <c r="H40" s="50">
        <f t="shared" si="18"/>
        <v>0</v>
      </c>
      <c r="I40" s="62">
        <f t="shared" si="17"/>
        <v>2.1671553440683056E-13</v>
      </c>
      <c r="J40" s="159">
        <f t="shared" ref="J40:L40" si="19">SUM(J38:J39)+SUM(J33:J34)-J43</f>
        <v>2.1671553440683056E-13</v>
      </c>
      <c r="K40" s="50">
        <f t="shared" si="19"/>
        <v>2.1671553440683056E-13</v>
      </c>
      <c r="L40" s="62">
        <f t="shared" si="19"/>
        <v>2.1671553440683056E-13</v>
      </c>
    </row>
    <row r="41" spans="1:17" ht="15.5" thickTop="1" thickBot="1" x14ac:dyDescent="0.4">
      <c r="A41" s="54" t="s">
        <v>23</v>
      </c>
      <c r="B41" s="54"/>
      <c r="C41" s="106">
        <v>0</v>
      </c>
      <c r="D41" s="42">
        <f t="shared" ref="D41:I41" si="20">SUM(D38:D39)-D26</f>
        <v>0</v>
      </c>
      <c r="E41" s="42">
        <f t="shared" si="20"/>
        <v>0</v>
      </c>
      <c r="F41" s="50">
        <f t="shared" ref="F41:H41" si="21">SUM(F38:F39)-F26</f>
        <v>0</v>
      </c>
      <c r="G41" s="142">
        <f t="shared" si="21"/>
        <v>0</v>
      </c>
      <c r="H41" s="50">
        <f t="shared" si="21"/>
        <v>0</v>
      </c>
      <c r="I41" s="62">
        <f t="shared" si="20"/>
        <v>0</v>
      </c>
      <c r="J41" s="160">
        <f t="shared" ref="J41:L41" si="22">SUM(J38:J39)-J26</f>
        <v>0</v>
      </c>
      <c r="K41" s="42">
        <f t="shared" si="22"/>
        <v>0</v>
      </c>
      <c r="L41" s="42">
        <f t="shared" si="22"/>
        <v>0</v>
      </c>
    </row>
    <row r="42" spans="1:17" ht="15.5" thickTop="1" thickBot="1" x14ac:dyDescent="0.4">
      <c r="C42" s="99"/>
      <c r="D42" s="17"/>
      <c r="E42" s="17"/>
      <c r="F42" s="17"/>
      <c r="G42" s="10"/>
      <c r="H42" s="17"/>
      <c r="I42" s="11"/>
      <c r="J42" s="17"/>
      <c r="K42" s="17"/>
      <c r="L42" s="11"/>
    </row>
    <row r="43" spans="1:17" ht="15" thickBot="1" x14ac:dyDescent="0.4">
      <c r="A43" s="46" t="s">
        <v>35</v>
      </c>
      <c r="B43" s="115">
        <f>SUM(B33:B34)</f>
        <v>-6373.0257200000133</v>
      </c>
      <c r="C43" s="100">
        <f t="shared" ref="C43:L43" si="23">(C16-SUM(C19:C20))+SUM(C38:C39)+B43</f>
        <v>-12824.759230000014</v>
      </c>
      <c r="D43" s="41">
        <f t="shared" si="23"/>
        <v>-11358.159230000014</v>
      </c>
      <c r="E43" s="41">
        <f t="shared" si="23"/>
        <v>-9305.8992300000136</v>
      </c>
      <c r="F43" s="107">
        <f t="shared" si="23"/>
        <v>-6376.8292300000139</v>
      </c>
      <c r="G43" s="40">
        <f t="shared" si="23"/>
        <v>-4351.9192300000141</v>
      </c>
      <c r="H43" s="41">
        <f t="shared" si="23"/>
        <v>-4345.0592300000144</v>
      </c>
      <c r="I43" s="61">
        <f t="shared" si="23"/>
        <v>0</v>
      </c>
      <c r="J43" s="158">
        <f t="shared" si="23"/>
        <v>0</v>
      </c>
      <c r="K43" s="107">
        <f t="shared" si="23"/>
        <v>0</v>
      </c>
      <c r="L43" s="61">
        <f t="shared" si="23"/>
        <v>0</v>
      </c>
      <c r="Q43" s="332"/>
    </row>
    <row r="44" spans="1:17" x14ac:dyDescent="0.35">
      <c r="A44" s="46" t="s">
        <v>12</v>
      </c>
      <c r="C44" s="116"/>
      <c r="D44" s="17"/>
      <c r="E44" s="17"/>
      <c r="F44" s="17"/>
      <c r="G44" s="10"/>
      <c r="H44" s="17"/>
      <c r="I44" s="11"/>
      <c r="J44" s="17"/>
      <c r="K44" s="17"/>
      <c r="L44" s="11"/>
    </row>
    <row r="45" spans="1:17" ht="15" thickBot="1" x14ac:dyDescent="0.4">
      <c r="A45" s="37"/>
      <c r="B45" s="37"/>
      <c r="C45" s="143"/>
      <c r="D45" s="44"/>
      <c r="E45" s="44"/>
      <c r="F45" s="44"/>
      <c r="G45" s="43"/>
      <c r="H45" s="44"/>
      <c r="I45" s="45"/>
      <c r="J45" s="44"/>
      <c r="K45" s="44"/>
      <c r="L45" s="45"/>
    </row>
    <row r="47" spans="1:17" x14ac:dyDescent="0.35">
      <c r="A47" s="69" t="s">
        <v>11</v>
      </c>
      <c r="B47" s="69"/>
      <c r="C47" s="69"/>
    </row>
    <row r="48" spans="1:17" x14ac:dyDescent="0.35">
      <c r="A48" s="381" t="s">
        <v>169</v>
      </c>
      <c r="B48" s="381"/>
      <c r="C48" s="381"/>
      <c r="D48" s="381"/>
      <c r="E48" s="381"/>
      <c r="F48" s="381"/>
      <c r="G48" s="381"/>
      <c r="H48" s="381"/>
      <c r="I48" s="381"/>
      <c r="J48" s="329"/>
      <c r="K48" s="329"/>
      <c r="L48" s="177"/>
    </row>
    <row r="49" spans="1:12" ht="58.5" customHeight="1" x14ac:dyDescent="0.35">
      <c r="A49" s="381" t="s">
        <v>257</v>
      </c>
      <c r="B49" s="381"/>
      <c r="C49" s="381"/>
      <c r="D49" s="381"/>
      <c r="E49" s="381"/>
      <c r="F49" s="381"/>
      <c r="G49" s="381"/>
      <c r="H49" s="381"/>
      <c r="I49" s="381"/>
      <c r="J49" s="381"/>
      <c r="K49" s="381"/>
    </row>
    <row r="50" spans="1:12" x14ac:dyDescent="0.35">
      <c r="A50" s="381" t="s">
        <v>258</v>
      </c>
      <c r="B50" s="381"/>
      <c r="C50" s="381"/>
      <c r="D50" s="381"/>
      <c r="E50" s="381"/>
      <c r="F50" s="381"/>
      <c r="G50" s="381"/>
      <c r="H50" s="381"/>
      <c r="I50" s="381"/>
      <c r="J50" s="381"/>
      <c r="K50" s="395"/>
      <c r="L50" s="177"/>
    </row>
    <row r="51" spans="1:12" x14ac:dyDescent="0.35">
      <c r="A51" s="63" t="s">
        <v>285</v>
      </c>
      <c r="B51" s="63"/>
      <c r="C51" s="63"/>
      <c r="D51" s="63"/>
      <c r="E51" s="39"/>
      <c r="F51" s="39"/>
      <c r="G51" s="39"/>
      <c r="H51" s="39"/>
      <c r="I51" s="39"/>
      <c r="J51" s="323"/>
      <c r="K51" s="39"/>
    </row>
    <row r="52" spans="1:12" x14ac:dyDescent="0.35">
      <c r="A52" s="63" t="s">
        <v>123</v>
      </c>
      <c r="B52" s="63"/>
      <c r="C52" s="63"/>
      <c r="D52" s="39"/>
      <c r="E52" s="39"/>
      <c r="F52" s="39"/>
      <c r="G52" s="39"/>
      <c r="H52" s="39"/>
      <c r="I52" s="323"/>
      <c r="J52" s="39"/>
      <c r="K52" s="39"/>
    </row>
    <row r="53" spans="1:12" x14ac:dyDescent="0.35">
      <c r="A53" s="63" t="s">
        <v>181</v>
      </c>
      <c r="B53" s="63"/>
      <c r="C53" s="63"/>
      <c r="D53" s="39"/>
      <c r="E53" s="39"/>
      <c r="F53" s="39"/>
      <c r="G53" s="39"/>
      <c r="H53" s="39"/>
      <c r="I53" s="39"/>
      <c r="J53" s="39"/>
      <c r="K53" s="39"/>
    </row>
    <row r="54" spans="1:12" x14ac:dyDescent="0.35">
      <c r="A54" s="3"/>
      <c r="B54" s="3"/>
      <c r="C54" s="3"/>
    </row>
  </sheetData>
  <mergeCells count="6">
    <mergeCell ref="A50:K50"/>
    <mergeCell ref="D14:F14"/>
    <mergeCell ref="G14:I14"/>
    <mergeCell ref="J14:L14"/>
    <mergeCell ref="A48:I48"/>
    <mergeCell ref="A49:K49"/>
  </mergeCells>
  <pageMargins left="0.2" right="0.2" top="0.75" bottom="0.25" header="0.3" footer="0.3"/>
  <pageSetup scale="55" orientation="landscape" r:id="rId1"/>
  <headerFooter>
    <oddHeader>&amp;C&amp;F &amp;A&amp;R&amp;"Arial"&amp;10&amp;K000000CONFIDENTIAL</oddHeader>
    <oddFooter>&amp;R&amp;1#&amp;"Calibri"&amp;10&amp;KA80000Internal Use Only</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2E942-78E4-4BAA-AAF3-3F92AE406A3C}">
  <sheetPr>
    <pageSetUpPr fitToPage="1"/>
  </sheetPr>
  <dimension ref="A1:AH66"/>
  <sheetViews>
    <sheetView zoomScale="85" zoomScaleNormal="85" workbookViewId="0"/>
  </sheetViews>
  <sheetFormatPr defaultColWidth="9.1796875" defaultRowHeight="14.5" outlineLevelCol="1" x14ac:dyDescent="0.35"/>
  <cols>
    <col min="1" max="1" width="37.7265625" style="46" customWidth="1"/>
    <col min="2" max="2" width="12.26953125" style="46" bestFit="1" customWidth="1"/>
    <col min="3" max="3" width="12.453125" style="46" bestFit="1" customWidth="1"/>
    <col min="4" max="4" width="15.453125" style="46" customWidth="1"/>
    <col min="5" max="5" width="15.81640625" style="46" bestFit="1" customWidth="1"/>
    <col min="6" max="6" width="12.26953125" style="46" bestFit="1" customWidth="1"/>
    <col min="7" max="8" width="13.26953125" style="46" bestFit="1" customWidth="1"/>
    <col min="9" max="9" width="12.26953125" style="46" bestFit="1" customWidth="1"/>
    <col min="10" max="10" width="12.453125" style="46" customWidth="1"/>
    <col min="11" max="11" width="12.81640625" style="46" customWidth="1"/>
    <col min="12" max="12" width="16" style="46" customWidth="1"/>
    <col min="13" max="13" width="15" style="46" bestFit="1" customWidth="1"/>
    <col min="14" max="14" width="16" style="46" bestFit="1" customWidth="1"/>
    <col min="15" max="15" width="15.26953125" style="46" hidden="1" customWidth="1" outlineLevel="1"/>
    <col min="16" max="16" width="17.453125" style="46" bestFit="1" customWidth="1" collapsed="1"/>
    <col min="17" max="17" width="16.26953125" style="46" bestFit="1" customWidth="1"/>
    <col min="18" max="18" width="15.26953125" style="46" bestFit="1" customWidth="1"/>
    <col min="19" max="19" width="12.453125" style="46" customWidth="1"/>
    <col min="20" max="21" width="14.26953125" style="46" bestFit="1" customWidth="1"/>
    <col min="22" max="16384" width="9.1796875" style="46"/>
  </cols>
  <sheetData>
    <row r="1" spans="1:34" x14ac:dyDescent="0.35">
      <c r="A1" s="3" t="str">
        <f>+'PPC Cycle 3'!A1</f>
        <v>Evergy Metro, Inc. - DSIM Rider Update Filed 12/01/2024</v>
      </c>
      <c r="B1" s="3"/>
      <c r="C1" s="3"/>
    </row>
    <row r="2" spans="1:34" x14ac:dyDescent="0.35">
      <c r="D2" s="3" t="s">
        <v>171</v>
      </c>
    </row>
    <row r="3" spans="1:34" ht="29" x14ac:dyDescent="0.35">
      <c r="D3" s="48" t="s">
        <v>45</v>
      </c>
      <c r="E3" s="70" t="s">
        <v>17</v>
      </c>
      <c r="F3" s="48" t="s">
        <v>3</v>
      </c>
      <c r="G3" s="70" t="s">
        <v>54</v>
      </c>
      <c r="H3" s="48" t="s">
        <v>10</v>
      </c>
      <c r="I3" s="48" t="s">
        <v>18</v>
      </c>
      <c r="R3" s="48"/>
    </row>
    <row r="4" spans="1:34" x14ac:dyDescent="0.35">
      <c r="A4" s="20" t="s">
        <v>24</v>
      </c>
      <c r="B4" s="20"/>
      <c r="C4" s="20"/>
      <c r="D4" s="22">
        <f>SUM(C16:L16)</f>
        <v>-40445.988669999999</v>
      </c>
      <c r="E4" s="22">
        <f>SUM(C23:K23)</f>
        <v>0</v>
      </c>
      <c r="F4" s="22">
        <f>E4-D4</f>
        <v>40445.988669999999</v>
      </c>
      <c r="G4" s="22">
        <f>+B39</f>
        <v>-76792.295960000047</v>
      </c>
      <c r="H4" s="22">
        <f>SUM(C47:K47)</f>
        <v>-1989.8100000000002</v>
      </c>
      <c r="I4" s="25">
        <f>SUM(F4:H4)</f>
        <v>-38336.117290000046</v>
      </c>
      <c r="J4" s="47">
        <f>+I4-L39</f>
        <v>0</v>
      </c>
      <c r="M4" s="47"/>
    </row>
    <row r="5" spans="1:34" x14ac:dyDescent="0.35">
      <c r="A5" s="20" t="s">
        <v>104</v>
      </c>
      <c r="B5" s="20"/>
      <c r="C5" s="20"/>
      <c r="D5" s="22">
        <f t="shared" ref="D5:D7" si="0">SUM(C17:L17)</f>
        <v>0</v>
      </c>
      <c r="E5" s="22">
        <f t="shared" ref="E5:E7" si="1">SUM(C24:K24)</f>
        <v>0</v>
      </c>
      <c r="F5" s="22">
        <f t="shared" ref="F5:F7" si="2">E5-D5</f>
        <v>0</v>
      </c>
      <c r="G5" s="22">
        <f t="shared" ref="G5:G7" si="3">+B40</f>
        <v>-328.20000000000061</v>
      </c>
      <c r="H5" s="22">
        <f t="shared" ref="H5:H7" si="4">SUM(C48:K48)</f>
        <v>-8.5</v>
      </c>
      <c r="I5" s="25">
        <f t="shared" ref="I5:I7" si="5">SUM(F5:H5)</f>
        <v>-336.70000000000061</v>
      </c>
      <c r="J5" s="47">
        <f t="shared" ref="J5:J7" si="6">+I5-L40</f>
        <v>0</v>
      </c>
      <c r="M5" s="47"/>
    </row>
    <row r="6" spans="1:34" x14ac:dyDescent="0.35">
      <c r="A6" s="20" t="s">
        <v>105</v>
      </c>
      <c r="B6" s="20"/>
      <c r="C6" s="20"/>
      <c r="D6" s="22">
        <f t="shared" si="0"/>
        <v>0</v>
      </c>
      <c r="E6" s="22">
        <f t="shared" si="1"/>
        <v>0</v>
      </c>
      <c r="F6" s="22">
        <f t="shared" si="2"/>
        <v>0</v>
      </c>
      <c r="G6" s="22">
        <f t="shared" si="3"/>
        <v>-251.49000000000055</v>
      </c>
      <c r="H6" s="22">
        <f t="shared" si="4"/>
        <v>-6.53</v>
      </c>
      <c r="I6" s="25">
        <f t="shared" si="5"/>
        <v>-258.02000000000055</v>
      </c>
      <c r="J6" s="47">
        <f t="shared" si="6"/>
        <v>0</v>
      </c>
      <c r="M6" s="47"/>
    </row>
    <row r="7" spans="1:34" x14ac:dyDescent="0.35">
      <c r="A7" s="20" t="s">
        <v>106</v>
      </c>
      <c r="B7" s="20"/>
      <c r="C7" s="20"/>
      <c r="D7" s="22">
        <f t="shared" si="0"/>
        <v>0</v>
      </c>
      <c r="E7" s="22">
        <f t="shared" si="1"/>
        <v>0</v>
      </c>
      <c r="F7" s="22">
        <f t="shared" si="2"/>
        <v>0</v>
      </c>
      <c r="G7" s="22">
        <f t="shared" si="3"/>
        <v>963.19000000000017</v>
      </c>
      <c r="H7" s="22">
        <f t="shared" si="4"/>
        <v>24.98</v>
      </c>
      <c r="I7" s="25">
        <f t="shared" si="5"/>
        <v>988.17000000000019</v>
      </c>
      <c r="J7" s="47">
        <f t="shared" si="6"/>
        <v>0</v>
      </c>
      <c r="M7" s="47"/>
    </row>
    <row r="8" spans="1:34" ht="15" thickBot="1" x14ac:dyDescent="0.4">
      <c r="A8" s="20" t="s">
        <v>107</v>
      </c>
      <c r="B8" s="20"/>
      <c r="C8" s="20"/>
      <c r="D8" s="22">
        <f>SUM(C20:L20)</f>
        <v>0</v>
      </c>
      <c r="E8" s="22">
        <f>SUM(C27:K27)</f>
        <v>0</v>
      </c>
      <c r="F8" s="22">
        <f>E8-D8</f>
        <v>0</v>
      </c>
      <c r="G8" s="22">
        <f>+B43</f>
        <v>-383.50000000000028</v>
      </c>
      <c r="H8" s="22">
        <f>SUM(C51:K51)</f>
        <v>-9.9599999999999991</v>
      </c>
      <c r="I8" s="25">
        <f>SUM(F8:H8)</f>
        <v>-393.46000000000026</v>
      </c>
      <c r="J8" s="47">
        <f>+I8-L43</f>
        <v>0</v>
      </c>
      <c r="M8" s="47"/>
    </row>
    <row r="9" spans="1:34" ht="15.5" thickTop="1" thickBot="1" x14ac:dyDescent="0.4">
      <c r="D9" s="27">
        <f t="shared" ref="D9" si="7">SUM(D4:D8)</f>
        <v>-40445.988669999999</v>
      </c>
      <c r="E9" s="27">
        <f>SUM(E4:E8)</f>
        <v>0</v>
      </c>
      <c r="F9" s="27">
        <f>SUM(F4:F8)</f>
        <v>40445.988669999999</v>
      </c>
      <c r="G9" s="27">
        <f>SUM(G4:G8)</f>
        <v>-76792.295960000047</v>
      </c>
      <c r="H9" s="27">
        <f>SUM(H4:H8)</f>
        <v>-1989.8200000000002</v>
      </c>
      <c r="I9" s="27">
        <f>SUM(I4:I8)</f>
        <v>-38336.127290000048</v>
      </c>
      <c r="S9" s="5"/>
    </row>
    <row r="10" spans="1:34" ht="15.5" thickTop="1" thickBot="1" x14ac:dyDescent="0.4">
      <c r="D10" s="312"/>
      <c r="E10" s="312"/>
      <c r="F10" s="312"/>
      <c r="G10" s="312"/>
      <c r="H10" s="312"/>
      <c r="I10" s="312"/>
      <c r="J10" s="312"/>
      <c r="K10" s="312"/>
      <c r="L10" s="312"/>
      <c r="U10" s="4"/>
      <c r="V10" s="5"/>
    </row>
    <row r="11" spans="1:34" ht="87.5" thickBot="1" x14ac:dyDescent="0.4">
      <c r="B11" s="114" t="str">
        <f>+'PCR Cycle 2'!B14</f>
        <v>Cumulative Over/Under Carryover From 06/01/2024 Filing</v>
      </c>
      <c r="C11" s="148" t="str">
        <f>+'PCR Cycle 2'!C14</f>
        <v>Reverse May 2024 - July 2024 Forecast From 06/01/2024 Filing</v>
      </c>
      <c r="D11" s="382" t="s">
        <v>32</v>
      </c>
      <c r="E11" s="382"/>
      <c r="F11" s="383"/>
      <c r="G11" s="389" t="s">
        <v>32</v>
      </c>
      <c r="H11" s="390"/>
      <c r="I11" s="391"/>
      <c r="J11" s="378" t="s">
        <v>8</v>
      </c>
      <c r="K11" s="379"/>
      <c r="L11" s="380"/>
      <c r="O11" s="287" t="s">
        <v>236</v>
      </c>
    </row>
    <row r="12" spans="1:34" x14ac:dyDescent="0.35">
      <c r="A12" s="46" t="s">
        <v>88</v>
      </c>
      <c r="C12" s="104"/>
      <c r="D12" s="19">
        <f>+'PCR Cycle 2'!E15</f>
        <v>45443</v>
      </c>
      <c r="E12" s="19">
        <f t="shared" ref="E12:L12" si="8">EOMONTH(D12,1)</f>
        <v>45473</v>
      </c>
      <c r="F12" s="19">
        <f t="shared" si="8"/>
        <v>45504</v>
      </c>
      <c r="G12" s="14">
        <f t="shared" si="8"/>
        <v>45535</v>
      </c>
      <c r="H12" s="19">
        <f t="shared" si="8"/>
        <v>45565</v>
      </c>
      <c r="I12" s="15">
        <f t="shared" si="8"/>
        <v>45596</v>
      </c>
      <c r="J12" s="19">
        <f t="shared" si="8"/>
        <v>45626</v>
      </c>
      <c r="K12" s="19">
        <f t="shared" si="8"/>
        <v>45657</v>
      </c>
      <c r="L12" s="15">
        <f t="shared" si="8"/>
        <v>45688</v>
      </c>
      <c r="Y12" s="1"/>
      <c r="Z12" s="1"/>
      <c r="AA12" s="1"/>
      <c r="AB12" s="1"/>
      <c r="AC12" s="1"/>
      <c r="AD12" s="1"/>
      <c r="AE12" s="1"/>
      <c r="AF12" s="1"/>
      <c r="AG12" s="1"/>
      <c r="AH12" s="1"/>
    </row>
    <row r="13" spans="1:34" x14ac:dyDescent="0.35">
      <c r="A13" s="46" t="s">
        <v>5</v>
      </c>
      <c r="C13" s="97">
        <v>0</v>
      </c>
      <c r="D13" s="108">
        <f>SUM(D23:D27)</f>
        <v>0</v>
      </c>
      <c r="E13" s="108">
        <f t="shared" ref="E13:H13" si="9">SUM(E23:E27)</f>
        <v>0</v>
      </c>
      <c r="F13" s="109">
        <f t="shared" si="9"/>
        <v>0</v>
      </c>
      <c r="G13" s="16">
        <f t="shared" si="9"/>
        <v>0</v>
      </c>
      <c r="H13" s="55">
        <f t="shared" si="9"/>
        <v>0</v>
      </c>
      <c r="I13" s="161">
        <f>+I23+I27</f>
        <v>0</v>
      </c>
      <c r="J13" s="154">
        <f t="shared" ref="J13:K13" si="10">+J23+J27</f>
        <v>0</v>
      </c>
      <c r="K13" s="78">
        <f t="shared" si="10"/>
        <v>0</v>
      </c>
      <c r="L13" s="79"/>
      <c r="O13" s="47">
        <f>-SUM(J13:L13)</f>
        <v>0</v>
      </c>
    </row>
    <row r="14" spans="1:34" x14ac:dyDescent="0.35">
      <c r="C14" s="99"/>
      <c r="D14" s="17"/>
      <c r="E14" s="17"/>
      <c r="F14" s="17"/>
      <c r="G14" s="10"/>
      <c r="H14" s="17"/>
      <c r="I14" s="11"/>
      <c r="J14" s="31"/>
      <c r="K14" s="31"/>
      <c r="L14" s="29"/>
    </row>
    <row r="15" spans="1:34" x14ac:dyDescent="0.35">
      <c r="A15" s="46" t="s">
        <v>87</v>
      </c>
      <c r="C15" s="99"/>
      <c r="D15" s="18"/>
      <c r="E15" s="18"/>
      <c r="F15" s="18"/>
      <c r="G15" s="91"/>
      <c r="H15" s="18"/>
      <c r="I15" s="162"/>
      <c r="J15" s="31"/>
      <c r="K15" s="31"/>
      <c r="L15" s="29"/>
      <c r="M15" s="63" t="s">
        <v>49</v>
      </c>
      <c r="N15" s="39"/>
    </row>
    <row r="16" spans="1:34" x14ac:dyDescent="0.35">
      <c r="A16" s="46" t="s">
        <v>24</v>
      </c>
      <c r="C16" s="97">
        <v>26294.334040000002</v>
      </c>
      <c r="D16" s="131">
        <f>'[5]May 2024'!$G112</f>
        <v>-6130.02</v>
      </c>
      <c r="E16" s="131">
        <f>'[5]June 2024'!$G112</f>
        <v>-8436.74</v>
      </c>
      <c r="F16" s="183">
        <f>'[5]July 2024'!$G112</f>
        <v>-11887.19</v>
      </c>
      <c r="G16" s="16">
        <f>'[5]August 2024'!$G112</f>
        <v>-10641.72</v>
      </c>
      <c r="H16" s="117">
        <f>'[5]September 2024'!$G112</f>
        <v>-7687.86</v>
      </c>
      <c r="I16" s="163">
        <f>'[5]October 2024'!$G112</f>
        <v>-1712.1400000000003</v>
      </c>
      <c r="J16" s="119">
        <f>'PCR Cycle 2'!K27*$M16</f>
        <v>-5012.2286700000004</v>
      </c>
      <c r="K16" s="41">
        <f>'PCR Cycle 2'!L27*$M16</f>
        <v>-7172.0663100000002</v>
      </c>
      <c r="L16" s="61">
        <f>'PCR Cycle 2'!M27*$M16</f>
        <v>-8060.3577300000006</v>
      </c>
      <c r="M16" s="72">
        <v>-3.0000000000000001E-5</v>
      </c>
      <c r="N16" s="4"/>
      <c r="O16" s="47">
        <f>-SUM(J16:L16)</f>
        <v>20244.652710000002</v>
      </c>
    </row>
    <row r="17" spans="1:18" x14ac:dyDescent="0.35">
      <c r="A17" s="46" t="s">
        <v>132</v>
      </c>
      <c r="C17" s="97">
        <v>0</v>
      </c>
      <c r="D17" s="131">
        <f>'[5]May 2024'!$G113</f>
        <v>0</v>
      </c>
      <c r="E17" s="131">
        <f>'[5]June 2024'!$G113</f>
        <v>0</v>
      </c>
      <c r="F17" s="183">
        <f>'[5]July 2024'!$G113</f>
        <v>0</v>
      </c>
      <c r="G17" s="16">
        <f>'[5]August 2024'!$G113</f>
        <v>0</v>
      </c>
      <c r="H17" s="117">
        <f>'[5]September 2024'!$G113</f>
        <v>0</v>
      </c>
      <c r="I17" s="163">
        <f>'[5]October 2024'!$G113</f>
        <v>0</v>
      </c>
      <c r="J17" s="119">
        <f>'PCR Cycle 2'!K28*$M17</f>
        <v>0</v>
      </c>
      <c r="K17" s="41">
        <f>'PCR Cycle 2'!L28*$M17</f>
        <v>0</v>
      </c>
      <c r="L17" s="61">
        <f>'PCR Cycle 2'!M28*$M17</f>
        <v>0</v>
      </c>
      <c r="M17" s="72">
        <v>0</v>
      </c>
      <c r="N17" s="4"/>
      <c r="O17" s="47">
        <f t="shared" ref="O17:O20" si="11">-SUM(J17:L17)</f>
        <v>0</v>
      </c>
    </row>
    <row r="18" spans="1:18" x14ac:dyDescent="0.35">
      <c r="A18" s="46" t="s">
        <v>133</v>
      </c>
      <c r="C18" s="97">
        <v>0</v>
      </c>
      <c r="D18" s="131">
        <f>'[5]May 2024'!$G114</f>
        <v>0</v>
      </c>
      <c r="E18" s="131">
        <f>'[5]June 2024'!$G114</f>
        <v>0</v>
      </c>
      <c r="F18" s="183">
        <f>'[5]July 2024'!$G114</f>
        <v>0</v>
      </c>
      <c r="G18" s="16">
        <f>'[5]August 2024'!$G114</f>
        <v>0</v>
      </c>
      <c r="H18" s="117">
        <f>'[5]September 2024'!$G114</f>
        <v>0</v>
      </c>
      <c r="I18" s="163">
        <f>'[5]October 2024'!$G114</f>
        <v>0</v>
      </c>
      <c r="J18" s="119">
        <f>'PCR Cycle 2'!K29*$M18</f>
        <v>0</v>
      </c>
      <c r="K18" s="41">
        <f>'PCR Cycle 2'!L29*$M18</f>
        <v>0</v>
      </c>
      <c r="L18" s="61">
        <f>'PCR Cycle 2'!M29*$M18</f>
        <v>0</v>
      </c>
      <c r="M18" s="72">
        <v>0</v>
      </c>
      <c r="N18" s="4"/>
      <c r="O18" s="47">
        <f t="shared" si="11"/>
        <v>0</v>
      </c>
    </row>
    <row r="19" spans="1:18" x14ac:dyDescent="0.35">
      <c r="A19" s="46" t="s">
        <v>134</v>
      </c>
      <c r="C19" s="97">
        <v>0</v>
      </c>
      <c r="D19" s="131">
        <f>'[5]May 2024'!$G115</f>
        <v>0</v>
      </c>
      <c r="E19" s="131">
        <f>'[5]June 2024'!$G115</f>
        <v>0</v>
      </c>
      <c r="F19" s="183">
        <f>'[5]July 2024'!$G115</f>
        <v>0</v>
      </c>
      <c r="G19" s="16">
        <f>'[5]August 2024'!$G115</f>
        <v>0</v>
      </c>
      <c r="H19" s="117">
        <f>'[5]September 2024'!$G115</f>
        <v>0</v>
      </c>
      <c r="I19" s="163">
        <f>'[5]October 2024'!$G115</f>
        <v>0</v>
      </c>
      <c r="J19" s="119">
        <f>'PCR Cycle 2'!K30*$M19</f>
        <v>0</v>
      </c>
      <c r="K19" s="41">
        <f>'PCR Cycle 2'!L30*$M19</f>
        <v>0</v>
      </c>
      <c r="L19" s="61">
        <f>'PCR Cycle 2'!M30*$M19</f>
        <v>0</v>
      </c>
      <c r="M19" s="72">
        <v>0</v>
      </c>
      <c r="N19" s="4"/>
      <c r="O19" s="47">
        <f t="shared" si="11"/>
        <v>0</v>
      </c>
    </row>
    <row r="20" spans="1:18" x14ac:dyDescent="0.35">
      <c r="A20" s="46" t="s">
        <v>135</v>
      </c>
      <c r="C20" s="97">
        <v>0</v>
      </c>
      <c r="D20" s="131">
        <f>'[5]May 2024'!$G116</f>
        <v>0</v>
      </c>
      <c r="E20" s="131">
        <f>'[5]June 2024'!$G116</f>
        <v>0</v>
      </c>
      <c r="F20" s="183">
        <f>'[5]July 2024'!$G116</f>
        <v>0</v>
      </c>
      <c r="G20" s="16">
        <f>'[5]August 2024'!$G116</f>
        <v>0</v>
      </c>
      <c r="H20" s="117">
        <f>'[5]September 2024'!$G116</f>
        <v>0</v>
      </c>
      <c r="I20" s="163">
        <f>'[5]October 2024'!$G116</f>
        <v>0</v>
      </c>
      <c r="J20" s="119">
        <f>SUM('PCR Cycle 2'!K28:K31)*$M20</f>
        <v>0</v>
      </c>
      <c r="K20" s="41">
        <f>SUM('PCR Cycle 2'!L28:L31)*$M20</f>
        <v>0</v>
      </c>
      <c r="L20" s="61">
        <f>SUM('PCR Cycle 2'!M28:M31)*$M20</f>
        <v>0</v>
      </c>
      <c r="M20" s="72">
        <v>0</v>
      </c>
      <c r="N20" s="4"/>
      <c r="O20" s="47">
        <f t="shared" si="11"/>
        <v>0</v>
      </c>
    </row>
    <row r="21" spans="1:18" x14ac:dyDescent="0.35">
      <c r="C21" s="67"/>
      <c r="D21" s="68"/>
      <c r="E21" s="68"/>
      <c r="F21" s="68"/>
      <c r="G21" s="98"/>
      <c r="H21" s="68"/>
      <c r="I21" s="164"/>
      <c r="J21" s="56"/>
      <c r="K21" s="56"/>
      <c r="L21" s="13"/>
      <c r="N21" s="4"/>
    </row>
    <row r="22" spans="1:18" x14ac:dyDescent="0.35">
      <c r="A22" s="46" t="s">
        <v>89</v>
      </c>
      <c r="C22" s="36"/>
      <c r="D22" s="37"/>
      <c r="E22" s="37"/>
      <c r="F22" s="37"/>
      <c r="G22" s="36"/>
      <c r="H22" s="37"/>
      <c r="I22" s="167"/>
      <c r="J22" s="52"/>
      <c r="K22" s="52"/>
      <c r="L22" s="38"/>
    </row>
    <row r="23" spans="1:18" x14ac:dyDescent="0.35">
      <c r="A23" s="46" t="s">
        <v>24</v>
      </c>
      <c r="C23" s="97">
        <v>0</v>
      </c>
      <c r="D23" s="108">
        <v>0</v>
      </c>
      <c r="E23" s="108">
        <v>0</v>
      </c>
      <c r="F23" s="109">
        <v>0</v>
      </c>
      <c r="G23" s="16">
        <v>0</v>
      </c>
      <c r="H23" s="55">
        <v>0</v>
      </c>
      <c r="I23" s="161">
        <v>0</v>
      </c>
      <c r="J23" s="156">
        <v>0</v>
      </c>
      <c r="K23" s="138">
        <v>0</v>
      </c>
      <c r="L23" s="79"/>
      <c r="O23" s="47">
        <f>-SUM(J23:L23)</f>
        <v>0</v>
      </c>
    </row>
    <row r="24" spans="1:18" x14ac:dyDescent="0.35">
      <c r="A24" s="46" t="s">
        <v>132</v>
      </c>
      <c r="C24" s="97">
        <v>0</v>
      </c>
      <c r="D24" s="108">
        <v>0</v>
      </c>
      <c r="E24" s="108">
        <v>0</v>
      </c>
      <c r="F24" s="109">
        <v>0</v>
      </c>
      <c r="G24" s="16">
        <v>0</v>
      </c>
      <c r="H24" s="55">
        <v>0</v>
      </c>
      <c r="I24" s="161">
        <v>0</v>
      </c>
      <c r="J24" s="156">
        <v>0</v>
      </c>
      <c r="K24" s="138">
        <v>0</v>
      </c>
      <c r="L24" s="79"/>
      <c r="O24" s="47">
        <f t="shared" ref="O24:O29" si="12">-SUM(J24:L24)</f>
        <v>0</v>
      </c>
    </row>
    <row r="25" spans="1:18" x14ac:dyDescent="0.35">
      <c r="A25" s="46" t="s">
        <v>133</v>
      </c>
      <c r="C25" s="97">
        <v>0</v>
      </c>
      <c r="D25" s="108">
        <v>0</v>
      </c>
      <c r="E25" s="108">
        <v>0</v>
      </c>
      <c r="F25" s="109">
        <v>0</v>
      </c>
      <c r="G25" s="16">
        <v>0</v>
      </c>
      <c r="H25" s="55">
        <v>0</v>
      </c>
      <c r="I25" s="161">
        <v>0</v>
      </c>
      <c r="J25" s="156">
        <v>0</v>
      </c>
      <c r="K25" s="138">
        <v>0</v>
      </c>
      <c r="L25" s="79"/>
      <c r="O25" s="47">
        <f t="shared" si="12"/>
        <v>0</v>
      </c>
    </row>
    <row r="26" spans="1:18" x14ac:dyDescent="0.35">
      <c r="A26" s="46" t="s">
        <v>134</v>
      </c>
      <c r="C26" s="97">
        <v>0</v>
      </c>
      <c r="D26" s="108">
        <v>0</v>
      </c>
      <c r="E26" s="108">
        <v>0</v>
      </c>
      <c r="F26" s="109">
        <v>0</v>
      </c>
      <c r="G26" s="16">
        <v>0</v>
      </c>
      <c r="H26" s="55">
        <v>0</v>
      </c>
      <c r="I26" s="161">
        <v>0</v>
      </c>
      <c r="J26" s="156">
        <v>0</v>
      </c>
      <c r="K26" s="138">
        <v>0</v>
      </c>
      <c r="L26" s="79"/>
      <c r="O26" s="47">
        <f t="shared" si="12"/>
        <v>0</v>
      </c>
    </row>
    <row r="27" spans="1:18" x14ac:dyDescent="0.35">
      <c r="A27" s="46" t="s">
        <v>135</v>
      </c>
      <c r="C27" s="97">
        <v>0</v>
      </c>
      <c r="D27" s="108">
        <v>0</v>
      </c>
      <c r="E27" s="108">
        <v>0</v>
      </c>
      <c r="F27" s="109">
        <v>0</v>
      </c>
      <c r="G27" s="16">
        <v>0</v>
      </c>
      <c r="H27" s="55">
        <v>0</v>
      </c>
      <c r="I27" s="161">
        <v>0</v>
      </c>
      <c r="J27" s="156">
        <v>0</v>
      </c>
      <c r="K27" s="138">
        <v>0</v>
      </c>
      <c r="L27" s="79"/>
      <c r="N27" s="47"/>
      <c r="O27" s="47">
        <f t="shared" si="12"/>
        <v>0</v>
      </c>
    </row>
    <row r="28" spans="1:18" x14ac:dyDescent="0.35">
      <c r="C28" s="99"/>
      <c r="D28" s="18"/>
      <c r="E28" s="18"/>
      <c r="F28" s="18"/>
      <c r="G28" s="91"/>
      <c r="H28" s="18"/>
      <c r="I28" s="162"/>
      <c r="J28" s="56"/>
      <c r="K28" s="56"/>
      <c r="L28" s="13"/>
    </row>
    <row r="29" spans="1:18" ht="15" thickBot="1" x14ac:dyDescent="0.4">
      <c r="A29" s="3" t="s">
        <v>14</v>
      </c>
      <c r="B29" s="3"/>
      <c r="C29" s="102">
        <v>1042.28</v>
      </c>
      <c r="D29" s="131">
        <v>-540.08000000000004</v>
      </c>
      <c r="E29" s="131">
        <v>-504.23</v>
      </c>
      <c r="F29" s="132">
        <v>-451.61</v>
      </c>
      <c r="G29" s="26">
        <v>-390.45</v>
      </c>
      <c r="H29" s="118">
        <f>-326.85+0.01</f>
        <v>-326.84000000000003</v>
      </c>
      <c r="I29" s="168">
        <f>-292.86-0.01</f>
        <v>-292.87</v>
      </c>
      <c r="J29" s="157">
        <f>ROUND((SUM(I39:I43)+SUM(I47:I51)+SUM(J32:J36)/2)*J$45,2)-0.01</f>
        <v>-277.53999999999996</v>
      </c>
      <c r="K29" s="140">
        <f>ROUND((SUM(J39:J43)+SUM(J47:J51)+SUM(K32:K36)/2)*K$45,2)</f>
        <v>-248.48</v>
      </c>
      <c r="L29" s="82"/>
      <c r="O29" s="47">
        <f t="shared" si="12"/>
        <v>526.02</v>
      </c>
      <c r="R29" s="333"/>
    </row>
    <row r="30" spans="1:18" x14ac:dyDescent="0.35">
      <c r="C30" s="64"/>
      <c r="D30" s="144"/>
      <c r="E30" s="144"/>
      <c r="F30" s="145"/>
      <c r="G30" s="64"/>
      <c r="H30" s="33"/>
      <c r="I30" s="169"/>
      <c r="J30" s="34"/>
      <c r="K30" s="34"/>
      <c r="L30" s="60"/>
    </row>
    <row r="31" spans="1:18" x14ac:dyDescent="0.35">
      <c r="A31" s="46" t="s">
        <v>51</v>
      </c>
      <c r="C31" s="65"/>
      <c r="D31" s="145"/>
      <c r="E31" s="145"/>
      <c r="F31" s="145"/>
      <c r="G31" s="65"/>
      <c r="H31" s="35"/>
      <c r="I31" s="170"/>
      <c r="J31" s="34"/>
      <c r="K31" s="34"/>
      <c r="L31" s="60"/>
    </row>
    <row r="32" spans="1:18" x14ac:dyDescent="0.35">
      <c r="A32" s="46" t="s">
        <v>24</v>
      </c>
      <c r="C32" s="100">
        <f t="shared" ref="C32:L32" si="13">C23-C16</f>
        <v>-26294.334040000002</v>
      </c>
      <c r="D32" s="41">
        <f t="shared" si="13"/>
        <v>6130.02</v>
      </c>
      <c r="E32" s="41">
        <f t="shared" si="13"/>
        <v>8436.74</v>
      </c>
      <c r="F32" s="107">
        <f t="shared" si="13"/>
        <v>11887.19</v>
      </c>
      <c r="G32" s="40">
        <f t="shared" si="13"/>
        <v>10641.72</v>
      </c>
      <c r="H32" s="41">
        <f t="shared" si="13"/>
        <v>7687.86</v>
      </c>
      <c r="I32" s="61">
        <f t="shared" si="13"/>
        <v>1712.1400000000003</v>
      </c>
      <c r="J32" s="119">
        <f t="shared" si="13"/>
        <v>5012.2286700000004</v>
      </c>
      <c r="K32" s="41">
        <f t="shared" si="13"/>
        <v>7172.0663100000002</v>
      </c>
      <c r="L32" s="61">
        <f t="shared" si="13"/>
        <v>8060.3577300000006</v>
      </c>
    </row>
    <row r="33" spans="1:15" x14ac:dyDescent="0.35">
      <c r="A33" s="46" t="s">
        <v>132</v>
      </c>
      <c r="C33" s="100">
        <f t="shared" ref="C33:L33" si="14">C24-C17</f>
        <v>0</v>
      </c>
      <c r="D33" s="41">
        <f t="shared" si="14"/>
        <v>0</v>
      </c>
      <c r="E33" s="41">
        <f t="shared" si="14"/>
        <v>0</v>
      </c>
      <c r="F33" s="107">
        <f t="shared" si="14"/>
        <v>0</v>
      </c>
      <c r="G33" s="40">
        <f t="shared" si="14"/>
        <v>0</v>
      </c>
      <c r="H33" s="41">
        <f t="shared" si="14"/>
        <v>0</v>
      </c>
      <c r="I33" s="61">
        <f t="shared" si="14"/>
        <v>0</v>
      </c>
      <c r="J33" s="119">
        <f t="shared" si="14"/>
        <v>0</v>
      </c>
      <c r="K33" s="41">
        <f t="shared" si="14"/>
        <v>0</v>
      </c>
      <c r="L33" s="61">
        <f t="shared" si="14"/>
        <v>0</v>
      </c>
    </row>
    <row r="34" spans="1:15" x14ac:dyDescent="0.35">
      <c r="A34" s="46" t="s">
        <v>133</v>
      </c>
      <c r="C34" s="100">
        <f t="shared" ref="C34:L34" si="15">C25-C18</f>
        <v>0</v>
      </c>
      <c r="D34" s="41">
        <f t="shared" si="15"/>
        <v>0</v>
      </c>
      <c r="E34" s="41">
        <f t="shared" si="15"/>
        <v>0</v>
      </c>
      <c r="F34" s="107">
        <f t="shared" si="15"/>
        <v>0</v>
      </c>
      <c r="G34" s="40">
        <f t="shared" si="15"/>
        <v>0</v>
      </c>
      <c r="H34" s="41">
        <f t="shared" si="15"/>
        <v>0</v>
      </c>
      <c r="I34" s="61">
        <f t="shared" si="15"/>
        <v>0</v>
      </c>
      <c r="J34" s="119">
        <f t="shared" si="15"/>
        <v>0</v>
      </c>
      <c r="K34" s="41">
        <f t="shared" si="15"/>
        <v>0</v>
      </c>
      <c r="L34" s="61">
        <f t="shared" si="15"/>
        <v>0</v>
      </c>
    </row>
    <row r="35" spans="1:15" x14ac:dyDescent="0.35">
      <c r="A35" s="46" t="s">
        <v>134</v>
      </c>
      <c r="C35" s="100">
        <f t="shared" ref="C35:L35" si="16">C26-C19</f>
        <v>0</v>
      </c>
      <c r="D35" s="41">
        <f t="shared" si="16"/>
        <v>0</v>
      </c>
      <c r="E35" s="41">
        <f t="shared" si="16"/>
        <v>0</v>
      </c>
      <c r="F35" s="107">
        <f t="shared" si="16"/>
        <v>0</v>
      </c>
      <c r="G35" s="40">
        <f t="shared" si="16"/>
        <v>0</v>
      </c>
      <c r="H35" s="41">
        <f t="shared" si="16"/>
        <v>0</v>
      </c>
      <c r="I35" s="61">
        <f t="shared" si="16"/>
        <v>0</v>
      </c>
      <c r="J35" s="119">
        <f t="shared" si="16"/>
        <v>0</v>
      </c>
      <c r="K35" s="41">
        <f t="shared" si="16"/>
        <v>0</v>
      </c>
      <c r="L35" s="61">
        <f t="shared" si="16"/>
        <v>0</v>
      </c>
    </row>
    <row r="36" spans="1:15" x14ac:dyDescent="0.35">
      <c r="A36" s="46" t="s">
        <v>135</v>
      </c>
      <c r="C36" s="100">
        <f t="shared" ref="C36:L36" si="17">C27-C20</f>
        <v>0</v>
      </c>
      <c r="D36" s="41">
        <f t="shared" si="17"/>
        <v>0</v>
      </c>
      <c r="E36" s="41">
        <f t="shared" si="17"/>
        <v>0</v>
      </c>
      <c r="F36" s="107">
        <f t="shared" si="17"/>
        <v>0</v>
      </c>
      <c r="G36" s="40">
        <f t="shared" si="17"/>
        <v>0</v>
      </c>
      <c r="H36" s="41">
        <f t="shared" si="17"/>
        <v>0</v>
      </c>
      <c r="I36" s="61">
        <f t="shared" si="17"/>
        <v>0</v>
      </c>
      <c r="J36" s="119">
        <f t="shared" si="17"/>
        <v>0</v>
      </c>
      <c r="K36" s="41">
        <f t="shared" si="17"/>
        <v>0</v>
      </c>
      <c r="L36" s="61">
        <f t="shared" si="17"/>
        <v>0</v>
      </c>
    </row>
    <row r="37" spans="1:15" x14ac:dyDescent="0.35">
      <c r="C37" s="99"/>
      <c r="D37" s="17"/>
      <c r="E37" s="17"/>
      <c r="F37" s="17"/>
      <c r="G37" s="10"/>
      <c r="H37" s="17"/>
      <c r="I37" s="11"/>
      <c r="J37" s="17"/>
      <c r="K37" s="17"/>
      <c r="L37" s="11"/>
    </row>
    <row r="38" spans="1:15" x14ac:dyDescent="0.35">
      <c r="A38" s="46" t="s">
        <v>52</v>
      </c>
      <c r="C38" s="99"/>
      <c r="D38" s="17"/>
      <c r="E38" s="17"/>
      <c r="F38" s="17"/>
      <c r="G38" s="10"/>
      <c r="H38" s="17"/>
      <c r="I38" s="11"/>
      <c r="J38" s="17"/>
      <c r="K38" s="17"/>
      <c r="L38" s="11"/>
    </row>
    <row r="39" spans="1:15" x14ac:dyDescent="0.35">
      <c r="A39" s="46" t="s">
        <v>24</v>
      </c>
      <c r="B39" s="300">
        <v>-76792.295960000047</v>
      </c>
      <c r="C39" s="100">
        <f t="shared" ref="C39:L39" si="18">B39+C32+B47</f>
        <v>-103086.63000000005</v>
      </c>
      <c r="D39" s="41">
        <f t="shared" si="18"/>
        <v>-95914.330000000045</v>
      </c>
      <c r="E39" s="41">
        <f t="shared" si="18"/>
        <v>-88017.670000000042</v>
      </c>
      <c r="F39" s="107">
        <f t="shared" si="18"/>
        <v>-76634.710000000036</v>
      </c>
      <c r="G39" s="40">
        <f t="shared" si="18"/>
        <v>-66444.600000000035</v>
      </c>
      <c r="H39" s="41">
        <f t="shared" si="18"/>
        <v>-59147.190000000031</v>
      </c>
      <c r="I39" s="61">
        <f t="shared" si="18"/>
        <v>-57761.900000000031</v>
      </c>
      <c r="J39" s="119">
        <f t="shared" si="18"/>
        <v>-53042.531330000027</v>
      </c>
      <c r="K39" s="41">
        <f t="shared" si="18"/>
        <v>-46147.995020000024</v>
      </c>
      <c r="L39" s="61">
        <f t="shared" si="18"/>
        <v>-38336.117290000024</v>
      </c>
    </row>
    <row r="40" spans="1:15" x14ac:dyDescent="0.35">
      <c r="A40" s="46" t="s">
        <v>132</v>
      </c>
      <c r="B40" s="300">
        <v>-328.20000000000061</v>
      </c>
      <c r="C40" s="100">
        <f t="shared" ref="C40:L40" si="19">B40+C33+B48</f>
        <v>-328.20000000000061</v>
      </c>
      <c r="D40" s="41">
        <f t="shared" si="19"/>
        <v>-324.6500000000006</v>
      </c>
      <c r="E40" s="41">
        <f t="shared" si="19"/>
        <v>-326.42000000000058</v>
      </c>
      <c r="F40" s="107">
        <f t="shared" si="19"/>
        <v>-328.20000000000056</v>
      </c>
      <c r="G40" s="40">
        <f t="shared" si="19"/>
        <v>-329.99000000000058</v>
      </c>
      <c r="H40" s="41">
        <f t="shared" si="19"/>
        <v>-329.99000000000058</v>
      </c>
      <c r="I40" s="61">
        <f t="shared" si="19"/>
        <v>-331.70000000000056</v>
      </c>
      <c r="J40" s="119">
        <f t="shared" si="19"/>
        <v>-333.36000000000058</v>
      </c>
      <c r="K40" s="41">
        <f t="shared" si="19"/>
        <v>-335.0300000000006</v>
      </c>
      <c r="L40" s="61">
        <f t="shared" si="19"/>
        <v>-336.70000000000061</v>
      </c>
    </row>
    <row r="41" spans="1:15" x14ac:dyDescent="0.35">
      <c r="A41" s="46" t="s">
        <v>133</v>
      </c>
      <c r="B41" s="300">
        <v>-251.49000000000055</v>
      </c>
      <c r="C41" s="100">
        <f t="shared" ref="C41:L41" si="20">B41+C34+B49</f>
        <v>-251.49000000000055</v>
      </c>
      <c r="D41" s="41">
        <f t="shared" si="20"/>
        <v>-248.77000000000055</v>
      </c>
      <c r="E41" s="41">
        <f t="shared" si="20"/>
        <v>-250.13000000000056</v>
      </c>
      <c r="F41" s="107">
        <f t="shared" si="20"/>
        <v>-251.50000000000057</v>
      </c>
      <c r="G41" s="40">
        <f t="shared" si="20"/>
        <v>-252.88000000000056</v>
      </c>
      <c r="H41" s="41">
        <f t="shared" si="20"/>
        <v>-252.88000000000056</v>
      </c>
      <c r="I41" s="61">
        <f t="shared" si="20"/>
        <v>-254.19000000000057</v>
      </c>
      <c r="J41" s="119">
        <f t="shared" si="20"/>
        <v>-255.46000000000058</v>
      </c>
      <c r="K41" s="41">
        <f t="shared" si="20"/>
        <v>-256.74000000000058</v>
      </c>
      <c r="L41" s="61">
        <f t="shared" si="20"/>
        <v>-258.02000000000055</v>
      </c>
    </row>
    <row r="42" spans="1:15" x14ac:dyDescent="0.35">
      <c r="A42" s="46" t="s">
        <v>134</v>
      </c>
      <c r="B42" s="300">
        <v>963.19000000000017</v>
      </c>
      <c r="C42" s="100">
        <f t="shared" ref="C42:L42" si="21">B42+C35+B50</f>
        <v>963.19000000000017</v>
      </c>
      <c r="D42" s="41">
        <f t="shared" si="21"/>
        <v>952.77000000000021</v>
      </c>
      <c r="E42" s="41">
        <f t="shared" si="21"/>
        <v>957.97000000000025</v>
      </c>
      <c r="F42" s="107">
        <f t="shared" si="21"/>
        <v>963.21000000000026</v>
      </c>
      <c r="G42" s="40">
        <f t="shared" si="21"/>
        <v>968.48000000000025</v>
      </c>
      <c r="H42" s="41">
        <f t="shared" si="21"/>
        <v>968.48000000000025</v>
      </c>
      <c r="I42" s="61">
        <f t="shared" si="21"/>
        <v>973.51000000000022</v>
      </c>
      <c r="J42" s="119">
        <f t="shared" si="21"/>
        <v>978.37000000000023</v>
      </c>
      <c r="K42" s="41">
        <f t="shared" si="21"/>
        <v>983.26000000000022</v>
      </c>
      <c r="L42" s="61">
        <f t="shared" si="21"/>
        <v>988.17000000000019</v>
      </c>
    </row>
    <row r="43" spans="1:15" x14ac:dyDescent="0.35">
      <c r="A43" s="46" t="s">
        <v>135</v>
      </c>
      <c r="B43" s="300">
        <v>-383.50000000000028</v>
      </c>
      <c r="C43" s="100">
        <f>B43+C36+B51</f>
        <v>-383.50000000000028</v>
      </c>
      <c r="D43" s="41">
        <f t="shared" ref="D43:L43" si="22">C43+D36+C51</f>
        <v>-379.35000000000031</v>
      </c>
      <c r="E43" s="41">
        <f t="shared" si="22"/>
        <v>-381.4200000000003</v>
      </c>
      <c r="F43" s="107">
        <f t="shared" si="22"/>
        <v>-383.51000000000028</v>
      </c>
      <c r="G43" s="40">
        <f t="shared" si="22"/>
        <v>-385.6100000000003</v>
      </c>
      <c r="H43" s="41">
        <f t="shared" si="22"/>
        <v>-385.6100000000003</v>
      </c>
      <c r="I43" s="61">
        <f t="shared" si="22"/>
        <v>-387.6100000000003</v>
      </c>
      <c r="J43" s="119">
        <f t="shared" si="22"/>
        <v>-389.5500000000003</v>
      </c>
      <c r="K43" s="41">
        <f t="shared" si="22"/>
        <v>-391.50000000000028</v>
      </c>
      <c r="L43" s="61">
        <f t="shared" si="22"/>
        <v>-393.46000000000026</v>
      </c>
    </row>
    <row r="44" spans="1:15" x14ac:dyDescent="0.35">
      <c r="C44" s="99"/>
      <c r="D44" s="17"/>
      <c r="E44" s="17"/>
      <c r="F44" s="17"/>
      <c r="G44" s="10"/>
      <c r="H44" s="17"/>
      <c r="I44" s="11"/>
      <c r="J44" s="17"/>
      <c r="K44" s="17"/>
      <c r="L44" s="11"/>
    </row>
    <row r="45" spans="1:15" x14ac:dyDescent="0.35">
      <c r="A45" s="39" t="s">
        <v>48</v>
      </c>
      <c r="B45" s="39"/>
      <c r="C45" s="103"/>
      <c r="D45" s="83">
        <f>+'PCR Cycle 2'!E50</f>
        <v>5.4564799999999997E-3</v>
      </c>
      <c r="E45" s="83">
        <f>+'PCR Cycle 2'!F50</f>
        <v>5.4667700000000001E-3</v>
      </c>
      <c r="F45" s="83">
        <f>+'PCR Cycle 2'!G50</f>
        <v>5.46883E-3</v>
      </c>
      <c r="G45" s="84">
        <f>+'PCR Cycle 2'!H50</f>
        <v>5.4406000000000003E-3</v>
      </c>
      <c r="H45" s="83">
        <f>+'PCR Cycle 2'!I50</f>
        <v>5.1888699999999999E-3</v>
      </c>
      <c r="I45" s="92">
        <f>+'PCR Cycle 2'!J50</f>
        <v>4.9961500000000004E-3</v>
      </c>
      <c r="J45" s="83">
        <f>+'PCR Cycle 2'!K50</f>
        <v>4.9961500000000004E-3</v>
      </c>
      <c r="K45" s="83">
        <f>+'PCR Cycle 2'!L50</f>
        <v>4.9961500000000004E-3</v>
      </c>
      <c r="L45" s="85"/>
    </row>
    <row r="46" spans="1:15" x14ac:dyDescent="0.35">
      <c r="A46" s="39" t="s">
        <v>36</v>
      </c>
      <c r="B46" s="39"/>
      <c r="C46" s="105"/>
      <c r="D46" s="83"/>
      <c r="E46" s="83"/>
      <c r="F46" s="83"/>
      <c r="G46" s="84"/>
      <c r="H46" s="83"/>
      <c r="I46" s="85"/>
      <c r="J46" s="83"/>
      <c r="K46" s="83"/>
      <c r="L46" s="85"/>
    </row>
    <row r="47" spans="1:15" x14ac:dyDescent="0.35">
      <c r="A47" s="46" t="s">
        <v>24</v>
      </c>
      <c r="C47" s="301">
        <v>1042.28</v>
      </c>
      <c r="D47" s="41">
        <f t="shared" ref="D47:L47" si="23">ROUND((C39+C47+D32/2)*D$45,2)</f>
        <v>-540.08000000000004</v>
      </c>
      <c r="E47" s="41">
        <f t="shared" si="23"/>
        <v>-504.23</v>
      </c>
      <c r="F47" s="107">
        <f t="shared" si="23"/>
        <v>-451.61</v>
      </c>
      <c r="G47" s="40">
        <f t="shared" si="23"/>
        <v>-390.45</v>
      </c>
      <c r="H47" s="119">
        <f t="shared" si="23"/>
        <v>-326.85000000000002</v>
      </c>
      <c r="I47" s="49">
        <f t="shared" si="23"/>
        <v>-292.86</v>
      </c>
      <c r="J47" s="158">
        <f t="shared" si="23"/>
        <v>-277.52999999999997</v>
      </c>
      <c r="K47" s="107">
        <f t="shared" si="23"/>
        <v>-248.48</v>
      </c>
      <c r="L47" s="61">
        <f t="shared" si="23"/>
        <v>0</v>
      </c>
      <c r="O47" s="47">
        <f t="shared" ref="O47:O51" si="24">-SUM(J47:L47)</f>
        <v>526.01</v>
      </c>
    </row>
    <row r="48" spans="1:15" x14ac:dyDescent="0.35">
      <c r="A48" s="46" t="s">
        <v>132</v>
      </c>
      <c r="C48" s="301">
        <v>3.55</v>
      </c>
      <c r="D48" s="41">
        <f t="shared" ref="D48:L48" si="25">ROUND((C40+C48+D33/2)*D$45,2)</f>
        <v>-1.77</v>
      </c>
      <c r="E48" s="41">
        <f t="shared" si="25"/>
        <v>-1.78</v>
      </c>
      <c r="F48" s="107">
        <f t="shared" si="25"/>
        <v>-1.79</v>
      </c>
      <c r="G48" s="40">
        <f>ROUND((F40+F48+G33/2)*G$45,2)*0</f>
        <v>0</v>
      </c>
      <c r="H48" s="119">
        <f t="shared" si="25"/>
        <v>-1.71</v>
      </c>
      <c r="I48" s="49">
        <f t="shared" si="25"/>
        <v>-1.66</v>
      </c>
      <c r="J48" s="158">
        <f t="shared" si="25"/>
        <v>-1.67</v>
      </c>
      <c r="K48" s="107">
        <f t="shared" si="25"/>
        <v>-1.67</v>
      </c>
      <c r="L48" s="61">
        <f t="shared" si="25"/>
        <v>0</v>
      </c>
      <c r="O48" s="47">
        <f t="shared" si="24"/>
        <v>3.34</v>
      </c>
    </row>
    <row r="49" spans="1:18" x14ac:dyDescent="0.35">
      <c r="A49" s="46" t="s">
        <v>133</v>
      </c>
      <c r="C49" s="301">
        <v>2.72</v>
      </c>
      <c r="D49" s="41">
        <f t="shared" ref="D49:L49" si="26">ROUND((C41+C49+D34/2)*D$45,2)</f>
        <v>-1.36</v>
      </c>
      <c r="E49" s="41">
        <f t="shared" si="26"/>
        <v>-1.37</v>
      </c>
      <c r="F49" s="107">
        <f t="shared" si="26"/>
        <v>-1.38</v>
      </c>
      <c r="G49" s="40">
        <f t="shared" ref="G49:G51" si="27">ROUND((F41+F49+G34/2)*G$45,2)*0</f>
        <v>0</v>
      </c>
      <c r="H49" s="119">
        <f t="shared" si="26"/>
        <v>-1.31</v>
      </c>
      <c r="I49" s="49">
        <f t="shared" si="26"/>
        <v>-1.27</v>
      </c>
      <c r="J49" s="158">
        <f t="shared" si="26"/>
        <v>-1.28</v>
      </c>
      <c r="K49" s="107">
        <f t="shared" si="26"/>
        <v>-1.28</v>
      </c>
      <c r="L49" s="61">
        <f t="shared" si="26"/>
        <v>0</v>
      </c>
      <c r="O49" s="47">
        <f t="shared" si="24"/>
        <v>2.56</v>
      </c>
    </row>
    <row r="50" spans="1:18" x14ac:dyDescent="0.35">
      <c r="A50" s="46" t="s">
        <v>134</v>
      </c>
      <c r="C50" s="301">
        <v>-10.42</v>
      </c>
      <c r="D50" s="41">
        <f t="shared" ref="D50:L50" si="28">ROUND((C42+C50+D35/2)*D$45,2)</f>
        <v>5.2</v>
      </c>
      <c r="E50" s="41">
        <f t="shared" si="28"/>
        <v>5.24</v>
      </c>
      <c r="F50" s="107">
        <f t="shared" si="28"/>
        <v>5.27</v>
      </c>
      <c r="G50" s="40">
        <f t="shared" si="27"/>
        <v>0</v>
      </c>
      <c r="H50" s="119">
        <f t="shared" si="28"/>
        <v>5.03</v>
      </c>
      <c r="I50" s="49">
        <f t="shared" si="28"/>
        <v>4.8600000000000003</v>
      </c>
      <c r="J50" s="158">
        <f t="shared" si="28"/>
        <v>4.8899999999999997</v>
      </c>
      <c r="K50" s="107">
        <f t="shared" si="28"/>
        <v>4.91</v>
      </c>
      <c r="L50" s="61">
        <f t="shared" si="28"/>
        <v>0</v>
      </c>
      <c r="O50" s="47">
        <f t="shared" si="24"/>
        <v>-9.8000000000000007</v>
      </c>
    </row>
    <row r="51" spans="1:18" ht="15" thickBot="1" x14ac:dyDescent="0.4">
      <c r="A51" s="46" t="s">
        <v>135</v>
      </c>
      <c r="C51" s="301">
        <v>4.1500000000000004</v>
      </c>
      <c r="D51" s="41">
        <f t="shared" ref="D51:L51" si="29">ROUND((C43+C51+D36/2)*D$45,2)</f>
        <v>-2.0699999999999998</v>
      </c>
      <c r="E51" s="41">
        <f t="shared" si="29"/>
        <v>-2.09</v>
      </c>
      <c r="F51" s="107">
        <f t="shared" si="29"/>
        <v>-2.1</v>
      </c>
      <c r="G51" s="40">
        <f t="shared" si="27"/>
        <v>0</v>
      </c>
      <c r="H51" s="119">
        <f t="shared" si="29"/>
        <v>-2</v>
      </c>
      <c r="I51" s="49">
        <f t="shared" si="29"/>
        <v>-1.94</v>
      </c>
      <c r="J51" s="158">
        <f t="shared" si="29"/>
        <v>-1.95</v>
      </c>
      <c r="K51" s="107">
        <f t="shared" si="29"/>
        <v>-1.96</v>
      </c>
      <c r="L51" s="61">
        <f t="shared" si="29"/>
        <v>0</v>
      </c>
      <c r="O51" s="47">
        <f t="shared" si="24"/>
        <v>3.91</v>
      </c>
    </row>
    <row r="52" spans="1:18" ht="15.5" thickTop="1" thickBot="1" x14ac:dyDescent="0.4">
      <c r="A52" s="54" t="s">
        <v>22</v>
      </c>
      <c r="B52" s="54"/>
      <c r="C52" s="106">
        <v>0</v>
      </c>
      <c r="D52" s="42">
        <f t="shared" ref="D52:I52" si="30">SUM(D47:D51)+SUM(D39:D43)-D55</f>
        <v>0</v>
      </c>
      <c r="E52" s="42">
        <f t="shared" si="30"/>
        <v>0</v>
      </c>
      <c r="F52" s="50">
        <f t="shared" ref="F52:H52" si="31">SUM(F47:F51)+SUM(F39:F43)-F55</f>
        <v>0</v>
      </c>
      <c r="G52" s="142">
        <f t="shared" si="31"/>
        <v>0</v>
      </c>
      <c r="H52" s="50">
        <f t="shared" si="31"/>
        <v>0</v>
      </c>
      <c r="I52" s="62">
        <f t="shared" si="30"/>
        <v>0</v>
      </c>
      <c r="J52" s="159">
        <f t="shared" ref="J52:L52" si="32">SUM(J47:J51)+SUM(J39:J43)-J55</f>
        <v>0</v>
      </c>
      <c r="K52" s="50">
        <f t="shared" si="32"/>
        <v>0</v>
      </c>
      <c r="L52" s="62">
        <f t="shared" si="32"/>
        <v>0</v>
      </c>
    </row>
    <row r="53" spans="1:18" ht="15.5" thickTop="1" thickBot="1" x14ac:dyDescent="0.4">
      <c r="A53" s="54" t="s">
        <v>23</v>
      </c>
      <c r="B53" s="54"/>
      <c r="C53" s="106">
        <v>0</v>
      </c>
      <c r="D53" s="42">
        <f t="shared" ref="D53:I53" si="33">SUM(D47:D51)-D29</f>
        <v>0</v>
      </c>
      <c r="E53" s="42">
        <f t="shared" si="33"/>
        <v>0</v>
      </c>
      <c r="F53" s="50">
        <f t="shared" ref="F53:H53" si="34">SUM(F47:F51)-F29</f>
        <v>0</v>
      </c>
      <c r="G53" s="142">
        <f t="shared" si="34"/>
        <v>0</v>
      </c>
      <c r="H53" s="50">
        <f t="shared" si="34"/>
        <v>0</v>
      </c>
      <c r="I53" s="62">
        <f t="shared" si="33"/>
        <v>0</v>
      </c>
      <c r="J53" s="160">
        <f t="shared" ref="J53:L53" si="35">SUM(J47:J51)-J29</f>
        <v>0</v>
      </c>
      <c r="K53" s="42">
        <f t="shared" si="35"/>
        <v>0</v>
      </c>
      <c r="L53" s="42">
        <f t="shared" si="35"/>
        <v>0</v>
      </c>
    </row>
    <row r="54" spans="1:18" ht="15.5" thickTop="1" thickBot="1" x14ac:dyDescent="0.4">
      <c r="C54" s="99"/>
      <c r="D54" s="17"/>
      <c r="E54" s="17"/>
      <c r="F54" s="17"/>
      <c r="G54" s="10"/>
      <c r="H54" s="17"/>
      <c r="I54" s="11"/>
      <c r="J54" s="17"/>
      <c r="K54" s="17"/>
      <c r="L54" s="11"/>
    </row>
    <row r="55" spans="1:18" ht="15" thickBot="1" x14ac:dyDescent="0.4">
      <c r="A55" s="46" t="s">
        <v>35</v>
      </c>
      <c r="B55" s="115">
        <f>SUM(B39:B43)</f>
        <v>-76792.295960000047</v>
      </c>
      <c r="C55" s="100">
        <f t="shared" ref="C55:L55" si="36">(C13-SUM(C16:C20))+SUM(C47:C51)+B55</f>
        <v>-102044.35000000005</v>
      </c>
      <c r="D55" s="41">
        <f t="shared" si="36"/>
        <v>-96454.410000000047</v>
      </c>
      <c r="E55" s="41">
        <f t="shared" si="36"/>
        <v>-88521.900000000052</v>
      </c>
      <c r="F55" s="107">
        <f t="shared" si="36"/>
        <v>-77086.320000000051</v>
      </c>
      <c r="G55" s="40">
        <f t="shared" si="36"/>
        <v>-66835.050000000047</v>
      </c>
      <c r="H55" s="41">
        <f t="shared" si="36"/>
        <v>-59474.03000000005</v>
      </c>
      <c r="I55" s="61">
        <f t="shared" si="36"/>
        <v>-58054.760000000053</v>
      </c>
      <c r="J55" s="158">
        <f t="shared" si="36"/>
        <v>-53320.07133000005</v>
      </c>
      <c r="K55" s="107">
        <f t="shared" si="36"/>
        <v>-46396.485020000051</v>
      </c>
      <c r="L55" s="61">
        <f t="shared" si="36"/>
        <v>-38336.127290000048</v>
      </c>
      <c r="R55" s="332"/>
    </row>
    <row r="56" spans="1:18" x14ac:dyDescent="0.35">
      <c r="A56" s="46" t="s">
        <v>12</v>
      </c>
      <c r="C56" s="116"/>
      <c r="D56" s="17"/>
      <c r="E56" s="17"/>
      <c r="F56" s="17"/>
      <c r="G56" s="10"/>
      <c r="H56" s="17"/>
      <c r="I56" s="11"/>
      <c r="J56" s="17"/>
      <c r="K56" s="17"/>
      <c r="L56" s="11"/>
    </row>
    <row r="57" spans="1:18" ht="15" thickBot="1" x14ac:dyDescent="0.4">
      <c r="A57" s="37"/>
      <c r="B57" s="37"/>
      <c r="C57" s="143"/>
      <c r="D57" s="44"/>
      <c r="E57" s="44"/>
      <c r="F57" s="44"/>
      <c r="G57" s="43"/>
      <c r="H57" s="44"/>
      <c r="I57" s="45"/>
      <c r="J57" s="44"/>
      <c r="K57" s="44"/>
      <c r="L57" s="45"/>
    </row>
    <row r="59" spans="1:18" x14ac:dyDescent="0.35">
      <c r="A59" s="69" t="s">
        <v>11</v>
      </c>
      <c r="B59" s="69"/>
      <c r="C59" s="69"/>
    </row>
    <row r="60" spans="1:18" x14ac:dyDescent="0.35">
      <c r="A60" s="381" t="s">
        <v>169</v>
      </c>
      <c r="B60" s="381"/>
      <c r="C60" s="381"/>
      <c r="D60" s="381"/>
      <c r="E60" s="381"/>
      <c r="F60" s="381"/>
      <c r="G60" s="381"/>
      <c r="H60" s="381"/>
      <c r="I60" s="381"/>
      <c r="J60" s="329"/>
      <c r="K60" s="329"/>
      <c r="L60" s="280"/>
    </row>
    <row r="61" spans="1:18" ht="63" customHeight="1" x14ac:dyDescent="0.35">
      <c r="A61" s="381" t="s">
        <v>257</v>
      </c>
      <c r="B61" s="381"/>
      <c r="C61" s="381"/>
      <c r="D61" s="381"/>
      <c r="E61" s="381"/>
      <c r="F61" s="381"/>
      <c r="G61" s="381"/>
      <c r="H61" s="381"/>
      <c r="I61" s="381"/>
      <c r="J61" s="381"/>
      <c r="K61" s="381"/>
    </row>
    <row r="62" spans="1:18" x14ac:dyDescent="0.35">
      <c r="A62" s="381" t="s">
        <v>258</v>
      </c>
      <c r="B62" s="381"/>
      <c r="C62" s="381"/>
      <c r="D62" s="381"/>
      <c r="E62" s="381"/>
      <c r="F62" s="381"/>
      <c r="G62" s="381"/>
      <c r="H62" s="381"/>
      <c r="I62" s="381"/>
      <c r="J62" s="381"/>
      <c r="K62" s="395"/>
      <c r="L62" s="280"/>
    </row>
    <row r="63" spans="1:18" x14ac:dyDescent="0.35">
      <c r="A63" s="63" t="s">
        <v>285</v>
      </c>
      <c r="B63" s="63"/>
      <c r="C63" s="63"/>
      <c r="D63" s="63"/>
      <c r="E63" s="39"/>
      <c r="F63" s="39"/>
      <c r="G63" s="39"/>
      <c r="H63" s="39"/>
      <c r="I63" s="39"/>
      <c r="J63" s="323"/>
      <c r="K63" s="39"/>
    </row>
    <row r="64" spans="1:18" x14ac:dyDescent="0.35">
      <c r="A64" s="63" t="s">
        <v>123</v>
      </c>
      <c r="B64" s="63"/>
      <c r="C64" s="63"/>
      <c r="D64" s="39"/>
      <c r="E64" s="39"/>
      <c r="F64" s="39"/>
      <c r="G64" s="39"/>
      <c r="H64" s="39"/>
      <c r="I64" s="323"/>
      <c r="J64" s="39"/>
      <c r="K64" s="39"/>
    </row>
    <row r="65" spans="1:9" x14ac:dyDescent="0.35">
      <c r="A65" s="3"/>
      <c r="B65" s="63"/>
      <c r="C65" s="63"/>
      <c r="D65" s="39"/>
      <c r="E65" s="39"/>
      <c r="F65" s="39"/>
      <c r="G65" s="39"/>
      <c r="H65" s="39"/>
      <c r="I65" s="39"/>
    </row>
    <row r="66" spans="1:9" x14ac:dyDescent="0.35">
      <c r="A66" s="3"/>
      <c r="B66" s="3"/>
      <c r="C66" s="3"/>
    </row>
  </sheetData>
  <mergeCells count="6">
    <mergeCell ref="A62:K62"/>
    <mergeCell ref="D11:F11"/>
    <mergeCell ref="G11:I11"/>
    <mergeCell ref="J11:L11"/>
    <mergeCell ref="A60:I60"/>
    <mergeCell ref="A61:K61"/>
  </mergeCells>
  <pageMargins left="0.2" right="0.2" top="0.75" bottom="0.25" header="0.3" footer="0.3"/>
  <pageSetup scale="48" orientation="landscape" r:id="rId1"/>
  <headerFooter>
    <oddHeader>&amp;C&amp;F &amp;A&amp;R&amp;"Arial"&amp;10&amp;K000000CONFIDENTIAL</oddHeader>
    <oddFooter>&amp;R&amp;1#&amp;"Calibri"&amp;10&amp;KA80000Internal Use Only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EC481-2195-45D8-994C-377275A1914C}">
  <sheetPr>
    <tabColor theme="3"/>
  </sheetPr>
  <dimension ref="A3:R42"/>
  <sheetViews>
    <sheetView workbookViewId="0"/>
  </sheetViews>
  <sheetFormatPr defaultRowHeight="14.5" x14ac:dyDescent="0.35"/>
  <cols>
    <col min="1" max="1" width="23.1796875" bestFit="1" customWidth="1"/>
    <col min="2" max="2" width="11.26953125" bestFit="1" customWidth="1"/>
    <col min="3" max="3" width="10.1796875" bestFit="1" customWidth="1"/>
    <col min="4" max="4" width="11.26953125" bestFit="1" customWidth="1"/>
    <col min="5" max="5" width="11" customWidth="1"/>
    <col min="6" max="6" width="10.1796875" bestFit="1" customWidth="1"/>
    <col min="7" max="7" width="9" bestFit="1" customWidth="1"/>
  </cols>
  <sheetData>
    <row r="3" spans="1:6" ht="15" thickBot="1" x14ac:dyDescent="0.4">
      <c r="A3" s="3" t="s">
        <v>124</v>
      </c>
    </row>
    <row r="4" spans="1:6" ht="27.5" thickBot="1" x14ac:dyDescent="0.4">
      <c r="A4" s="87" t="s">
        <v>131</v>
      </c>
      <c r="B4" s="126" t="s">
        <v>130</v>
      </c>
      <c r="C4" s="126" t="s">
        <v>129</v>
      </c>
      <c r="D4" s="126" t="s">
        <v>128</v>
      </c>
      <c r="E4" s="126" t="s">
        <v>127</v>
      </c>
      <c r="F4" s="89" t="s">
        <v>153</v>
      </c>
    </row>
    <row r="5" spans="1:6" ht="15" thickBot="1" x14ac:dyDescent="0.4">
      <c r="A5" s="90" t="s">
        <v>24</v>
      </c>
      <c r="B5" s="307">
        <f>+'Tariff Tables'!S13+'Tariff Tables'!S22</f>
        <v>0</v>
      </c>
      <c r="C5" s="307">
        <f>+'Tariff Tables'!T13+'Tariff Tables'!T22</f>
        <v>2.0000000000000002E-5</v>
      </c>
      <c r="D5" s="307">
        <f>+'Tariff Tables'!U13+'Tariff Tables'!U22</f>
        <v>-1.0000000000000001E-5</v>
      </c>
      <c r="E5" s="307">
        <f>+'Tariff Tables'!V13+'Tariff Tables'!V22</f>
        <v>0</v>
      </c>
      <c r="F5" s="230">
        <f>SUM(B5:E5)</f>
        <v>1.0000000000000001E-5</v>
      </c>
    </row>
    <row r="6" spans="1:6" ht="15" thickBot="1" x14ac:dyDescent="0.4">
      <c r="A6" s="90" t="s">
        <v>104</v>
      </c>
      <c r="B6" s="307">
        <f>+'Tariff Tables'!S14+'Tariff Tables'!S23</f>
        <v>0</v>
      </c>
      <c r="C6" s="307">
        <f>+'Tariff Tables'!T14+'Tariff Tables'!T23</f>
        <v>1.0000000000000001E-5</v>
      </c>
      <c r="D6" s="307">
        <f>+'Tariff Tables'!U14+'Tariff Tables'!U23</f>
        <v>-1.0000000000000001E-5</v>
      </c>
      <c r="E6" s="307">
        <f>+'Tariff Tables'!V14+'Tariff Tables'!V23</f>
        <v>0</v>
      </c>
      <c r="F6" s="230">
        <f t="shared" ref="F6:F9" si="0">SUM(B6:E6)</f>
        <v>0</v>
      </c>
    </row>
    <row r="7" spans="1:6" ht="15" thickBot="1" x14ac:dyDescent="0.4">
      <c r="A7" s="90" t="s">
        <v>105</v>
      </c>
      <c r="B7" s="307">
        <f>+'Tariff Tables'!S15+'Tariff Tables'!S24</f>
        <v>0</v>
      </c>
      <c r="C7" s="307">
        <f>+'Tariff Tables'!T15+'Tariff Tables'!T24</f>
        <v>2.0000000000000002E-5</v>
      </c>
      <c r="D7" s="307">
        <f>+'Tariff Tables'!U15+'Tariff Tables'!U24</f>
        <v>0</v>
      </c>
      <c r="E7" s="307">
        <f>+'Tariff Tables'!V15+'Tariff Tables'!V24</f>
        <v>0</v>
      </c>
      <c r="F7" s="230">
        <f t="shared" si="0"/>
        <v>2.0000000000000002E-5</v>
      </c>
    </row>
    <row r="8" spans="1:6" ht="15" thickBot="1" x14ac:dyDescent="0.4">
      <c r="A8" s="90" t="s">
        <v>106</v>
      </c>
      <c r="B8" s="307">
        <f>+'Tariff Tables'!S16+'Tariff Tables'!S25</f>
        <v>0</v>
      </c>
      <c r="C8" s="307">
        <f>+'Tariff Tables'!T16+'Tariff Tables'!T25</f>
        <v>1.0000000000000001E-5</v>
      </c>
      <c r="D8" s="307">
        <f>+'Tariff Tables'!U16+'Tariff Tables'!U25</f>
        <v>0</v>
      </c>
      <c r="E8" s="307">
        <f>+'Tariff Tables'!V16+'Tariff Tables'!V25</f>
        <v>0</v>
      </c>
      <c r="F8" s="230">
        <f t="shared" si="0"/>
        <v>1.0000000000000001E-5</v>
      </c>
    </row>
    <row r="9" spans="1:6" ht="15" thickBot="1" x14ac:dyDescent="0.4">
      <c r="A9" s="90" t="s">
        <v>107</v>
      </c>
      <c r="B9" s="307">
        <f>+'Tariff Tables'!S17+'Tariff Tables'!S26</f>
        <v>0</v>
      </c>
      <c r="C9" s="307">
        <f>+'Tariff Tables'!T17+'Tariff Tables'!T26</f>
        <v>1.0000000000000001E-5</v>
      </c>
      <c r="D9" s="307">
        <f>+'Tariff Tables'!U17+'Tariff Tables'!U26</f>
        <v>0</v>
      </c>
      <c r="E9" s="307">
        <f>+'Tariff Tables'!V17+'Tariff Tables'!V26</f>
        <v>0</v>
      </c>
      <c r="F9" s="230">
        <f t="shared" si="0"/>
        <v>1.0000000000000001E-5</v>
      </c>
    </row>
    <row r="12" spans="1:6" ht="15" thickBot="1" x14ac:dyDescent="0.4">
      <c r="A12" s="3" t="s">
        <v>125</v>
      </c>
      <c r="B12" s="46"/>
      <c r="C12" s="46"/>
      <c r="D12" s="46"/>
      <c r="E12" s="46"/>
      <c r="F12" s="46"/>
    </row>
    <row r="13" spans="1:6" ht="27.5" thickBot="1" x14ac:dyDescent="0.4">
      <c r="A13" s="87" t="s">
        <v>131</v>
      </c>
      <c r="B13" s="126" t="s">
        <v>130</v>
      </c>
      <c r="C13" s="126" t="s">
        <v>129</v>
      </c>
      <c r="D13" s="126" t="s">
        <v>128</v>
      </c>
      <c r="E13" s="126" t="s">
        <v>127</v>
      </c>
      <c r="F13" s="89" t="s">
        <v>153</v>
      </c>
    </row>
    <row r="14" spans="1:6" ht="15" thickBot="1" x14ac:dyDescent="0.4">
      <c r="A14" s="90" t="s">
        <v>24</v>
      </c>
      <c r="B14" s="307">
        <f>+'Tariff Tables'!X13+'Tariff Tables'!X22</f>
        <v>9.7999999999999997E-4</v>
      </c>
      <c r="C14" s="307">
        <f ca="1">+'Tariff Tables'!Y13+'Tariff Tables'!Y22</f>
        <v>9.3000000000000005E-4</v>
      </c>
      <c r="D14" s="307">
        <f>+'Tariff Tables'!Z13+'Tariff Tables'!Z22</f>
        <v>3.6000000000000002E-4</v>
      </c>
      <c r="E14" s="307">
        <f>+'Tariff Tables'!AA13+'Tariff Tables'!AA22</f>
        <v>-1.0000000000000001E-5</v>
      </c>
      <c r="F14" s="230">
        <f ca="1">SUM(B14:E14)</f>
        <v>2.2599999999999999E-3</v>
      </c>
    </row>
    <row r="15" spans="1:6" ht="15" thickBot="1" x14ac:dyDescent="0.4">
      <c r="A15" s="90" t="s">
        <v>104</v>
      </c>
      <c r="B15" s="307">
        <f>+'Tariff Tables'!X14+'Tariff Tables'!X23</f>
        <v>1.5E-3</v>
      </c>
      <c r="C15" s="307">
        <f ca="1">+'Tariff Tables'!Y14+'Tariff Tables'!Y23</f>
        <v>1.5499999999999999E-3</v>
      </c>
      <c r="D15" s="307">
        <f>+'Tariff Tables'!Z14+'Tariff Tables'!Z23</f>
        <v>2.0999999999999998E-4</v>
      </c>
      <c r="E15" s="307">
        <f>+'Tariff Tables'!AA14+'Tariff Tables'!AA23</f>
        <v>0</v>
      </c>
      <c r="F15" s="230">
        <f t="shared" ref="F15:F18" ca="1" si="1">SUM(B15:E15)</f>
        <v>3.2599999999999999E-3</v>
      </c>
    </row>
    <row r="16" spans="1:6" ht="15" thickBot="1" x14ac:dyDescent="0.4">
      <c r="A16" s="90" t="s">
        <v>105</v>
      </c>
      <c r="B16" s="307">
        <f>+'Tariff Tables'!X15+'Tariff Tables'!X24</f>
        <v>1.33E-3</v>
      </c>
      <c r="C16" s="307">
        <f ca="1">+'Tariff Tables'!Y15+'Tariff Tables'!Y24</f>
        <v>1.41E-3</v>
      </c>
      <c r="D16" s="307">
        <f>+'Tariff Tables'!Z15+'Tariff Tables'!Z24</f>
        <v>2.3000000000000001E-4</v>
      </c>
      <c r="E16" s="307">
        <f>+'Tariff Tables'!AA15+'Tariff Tables'!AA24</f>
        <v>0</v>
      </c>
      <c r="F16" s="230">
        <f t="shared" ca="1" si="1"/>
        <v>2.9700000000000004E-3</v>
      </c>
    </row>
    <row r="17" spans="1:18" ht="15" thickBot="1" x14ac:dyDescent="0.4">
      <c r="A17" s="90" t="s">
        <v>106</v>
      </c>
      <c r="B17" s="307">
        <f>+'Tariff Tables'!X16+'Tariff Tables'!X25</f>
        <v>4.0999999999999999E-4</v>
      </c>
      <c r="C17" s="307">
        <f ca="1">+'Tariff Tables'!Y16+'Tariff Tables'!Y25</f>
        <v>5.8999999999999992E-4</v>
      </c>
      <c r="D17" s="307">
        <f>+'Tariff Tables'!Z16+'Tariff Tables'!Z25</f>
        <v>2.6000000000000003E-4</v>
      </c>
      <c r="E17" s="307">
        <f>+'Tariff Tables'!AA16+'Tariff Tables'!AA25</f>
        <v>0</v>
      </c>
      <c r="F17" s="230">
        <f t="shared" ca="1" si="1"/>
        <v>1.2600000000000001E-3</v>
      </c>
    </row>
    <row r="18" spans="1:18" ht="15" thickBot="1" x14ac:dyDescent="0.4">
      <c r="A18" s="90" t="s">
        <v>107</v>
      </c>
      <c r="B18" s="307">
        <f>+'Tariff Tables'!X17+'Tariff Tables'!X26</f>
        <v>-1.5000000000000001E-4</v>
      </c>
      <c r="C18" s="307">
        <f ca="1">+'Tariff Tables'!Y17+'Tariff Tables'!Y26</f>
        <v>1.2999999999999999E-4</v>
      </c>
      <c r="D18" s="307">
        <f>+'Tariff Tables'!Z17+'Tariff Tables'!Z26</f>
        <v>2.1000000000000001E-4</v>
      </c>
      <c r="E18" s="307">
        <f>+'Tariff Tables'!AA17+'Tariff Tables'!AA26</f>
        <v>0</v>
      </c>
      <c r="F18" s="230">
        <f t="shared" ca="1" si="1"/>
        <v>1.8999999999999998E-4</v>
      </c>
    </row>
    <row r="21" spans="1:18" s="46" customFormat="1" ht="15" thickBot="1" x14ac:dyDescent="0.4">
      <c r="A21" s="3" t="s">
        <v>241</v>
      </c>
      <c r="I21"/>
      <c r="J21"/>
      <c r="K21"/>
      <c r="L21"/>
      <c r="M21"/>
      <c r="N21"/>
      <c r="O21"/>
      <c r="P21"/>
      <c r="Q21"/>
      <c r="R21"/>
    </row>
    <row r="22" spans="1:18" s="46" customFormat="1" ht="27.5" thickBot="1" x14ac:dyDescent="0.4">
      <c r="A22" s="87" t="s">
        <v>131</v>
      </c>
      <c r="B22" s="126" t="s">
        <v>130</v>
      </c>
      <c r="C22" s="126" t="s">
        <v>129</v>
      </c>
      <c r="D22" s="126" t="s">
        <v>128</v>
      </c>
      <c r="E22" s="126" t="s">
        <v>127</v>
      </c>
      <c r="F22" s="89" t="s">
        <v>153</v>
      </c>
      <c r="I22"/>
      <c r="J22"/>
      <c r="K22"/>
      <c r="L22"/>
      <c r="M22"/>
      <c r="N22"/>
      <c r="O22"/>
      <c r="P22"/>
      <c r="Q22"/>
      <c r="R22"/>
    </row>
    <row r="23" spans="1:18" s="46" customFormat="1" ht="15" thickBot="1" x14ac:dyDescent="0.4">
      <c r="A23" s="90" t="s">
        <v>24</v>
      </c>
      <c r="B23" s="307">
        <f>+'Tariff Tables'!AC22+'Tariff Tables'!AC13</f>
        <v>2.5500000000000002E-3</v>
      </c>
      <c r="C23" s="307">
        <f ca="1">+'Tariff Tables'!AD22+'Tariff Tables'!AD13</f>
        <v>1.1E-4</v>
      </c>
      <c r="D23" s="307">
        <f>+'Tariff Tables'!AE22+'Tariff Tables'!AE13</f>
        <v>0</v>
      </c>
      <c r="E23" s="307">
        <f>+'Tariff Tables'!AF22+'Tariff Tables'!AF13</f>
        <v>0</v>
      </c>
      <c r="F23" s="230">
        <f ca="1">SUM(B23:E23)</f>
        <v>2.66E-3</v>
      </c>
      <c r="I23"/>
      <c r="J23"/>
      <c r="K23"/>
      <c r="L23"/>
      <c r="M23"/>
      <c r="N23"/>
      <c r="O23"/>
      <c r="P23"/>
      <c r="Q23"/>
      <c r="R23"/>
    </row>
    <row r="24" spans="1:18" s="46" customFormat="1" ht="15" thickBot="1" x14ac:dyDescent="0.4">
      <c r="A24" s="90" t="s">
        <v>104</v>
      </c>
      <c r="B24" s="307">
        <f>+'Tariff Tables'!AC23+'Tariff Tables'!AC14</f>
        <v>7.9000000000000001E-4</v>
      </c>
      <c r="C24" s="307">
        <f ca="1">+'Tariff Tables'!AD23+'Tariff Tables'!AD14</f>
        <v>2.0000000000000002E-5</v>
      </c>
      <c r="D24" s="307">
        <f>+'Tariff Tables'!AE23+'Tariff Tables'!AE14</f>
        <v>0</v>
      </c>
      <c r="E24" s="307">
        <f>+'Tariff Tables'!AF23+'Tariff Tables'!AF14</f>
        <v>0</v>
      </c>
      <c r="F24" s="230">
        <f t="shared" ref="F24:F27" ca="1" si="2">SUM(B24:E24)</f>
        <v>8.1000000000000006E-4</v>
      </c>
      <c r="I24"/>
      <c r="J24"/>
      <c r="K24"/>
      <c r="L24"/>
      <c r="M24"/>
      <c r="N24"/>
      <c r="O24"/>
      <c r="P24"/>
      <c r="Q24"/>
      <c r="R24"/>
    </row>
    <row r="25" spans="1:18" s="46" customFormat="1" ht="15" thickBot="1" x14ac:dyDescent="0.4">
      <c r="A25" s="90" t="s">
        <v>105</v>
      </c>
      <c r="B25" s="307">
        <f>+'Tariff Tables'!AC24+'Tariff Tables'!AC15</f>
        <v>2.5300000000000001E-3</v>
      </c>
      <c r="C25" s="307">
        <f ca="1">+'Tariff Tables'!AD24+'Tariff Tables'!AD15</f>
        <v>2.0000000000000002E-5</v>
      </c>
      <c r="D25" s="307">
        <f>+'Tariff Tables'!AE24+'Tariff Tables'!AE15</f>
        <v>0</v>
      </c>
      <c r="E25" s="307">
        <f>+'Tariff Tables'!AF24+'Tariff Tables'!AF15</f>
        <v>0</v>
      </c>
      <c r="F25" s="230">
        <f t="shared" ca="1" si="2"/>
        <v>2.5500000000000002E-3</v>
      </c>
      <c r="I25"/>
      <c r="J25"/>
      <c r="K25"/>
      <c r="L25"/>
      <c r="M25"/>
      <c r="N25"/>
      <c r="O25"/>
      <c r="P25"/>
      <c r="Q25"/>
      <c r="R25"/>
    </row>
    <row r="26" spans="1:18" s="46" customFormat="1" ht="15" thickBot="1" x14ac:dyDescent="0.4">
      <c r="A26" s="90" t="s">
        <v>106</v>
      </c>
      <c r="B26" s="307">
        <f>+'Tariff Tables'!AC25+'Tariff Tables'!AC16</f>
        <v>1.0399999999999999E-3</v>
      </c>
      <c r="C26" s="307">
        <f ca="1">+'Tariff Tables'!AD25+'Tariff Tables'!AD16</f>
        <v>2.0000000000000002E-5</v>
      </c>
      <c r="D26" s="307">
        <f>+'Tariff Tables'!AE25+'Tariff Tables'!AE16</f>
        <v>0</v>
      </c>
      <c r="E26" s="307">
        <f>+'Tariff Tables'!AF25+'Tariff Tables'!AF16</f>
        <v>0</v>
      </c>
      <c r="F26" s="230">
        <f t="shared" ca="1" si="2"/>
        <v>1.06E-3</v>
      </c>
      <c r="I26"/>
      <c r="J26"/>
      <c r="K26"/>
      <c r="L26"/>
      <c r="M26"/>
      <c r="N26"/>
      <c r="O26"/>
      <c r="P26"/>
      <c r="Q26"/>
      <c r="R26"/>
    </row>
    <row r="27" spans="1:18" s="46" customFormat="1" ht="15" thickBot="1" x14ac:dyDescent="0.4">
      <c r="A27" s="90" t="s">
        <v>107</v>
      </c>
      <c r="B27" s="307">
        <f>+'Tariff Tables'!AC26+'Tariff Tables'!AC17</f>
        <v>1.34E-3</v>
      </c>
      <c r="C27" s="307">
        <f ca="1">+'Tariff Tables'!AD26+'Tariff Tables'!AD17</f>
        <v>2.0000000000000002E-5</v>
      </c>
      <c r="D27" s="307">
        <f>+'Tariff Tables'!AE26+'Tariff Tables'!AE17</f>
        <v>0</v>
      </c>
      <c r="E27" s="307">
        <f>+'Tariff Tables'!AF26+'Tariff Tables'!AF17</f>
        <v>0</v>
      </c>
      <c r="F27" s="230">
        <f t="shared" ca="1" si="2"/>
        <v>1.3600000000000001E-3</v>
      </c>
      <c r="I27"/>
      <c r="J27"/>
      <c r="K27"/>
      <c r="L27"/>
      <c r="M27"/>
      <c r="N27"/>
      <c r="O27"/>
      <c r="P27"/>
      <c r="Q27"/>
      <c r="R27"/>
    </row>
    <row r="28" spans="1:18" s="46" customFormat="1" x14ac:dyDescent="0.35">
      <c r="I28"/>
      <c r="J28"/>
      <c r="K28"/>
      <c r="L28"/>
      <c r="M28"/>
      <c r="N28"/>
      <c r="O28"/>
      <c r="P28"/>
      <c r="Q28"/>
      <c r="R28"/>
    </row>
    <row r="29" spans="1:18" s="46" customFormat="1" x14ac:dyDescent="0.35">
      <c r="I29"/>
      <c r="J29"/>
      <c r="K29"/>
      <c r="L29"/>
      <c r="M29"/>
      <c r="N29"/>
      <c r="O29"/>
      <c r="P29"/>
      <c r="Q29"/>
      <c r="R29"/>
    </row>
    <row r="30" spans="1:18" ht="15" thickBot="1" x14ac:dyDescent="0.4">
      <c r="A30" s="3" t="s">
        <v>126</v>
      </c>
      <c r="B30" s="46"/>
      <c r="C30" s="46"/>
      <c r="D30" s="46"/>
      <c r="E30" s="46"/>
      <c r="F30" s="46"/>
    </row>
    <row r="31" spans="1:18" ht="27.5" thickBot="1" x14ac:dyDescent="0.4">
      <c r="A31" s="87" t="s">
        <v>131</v>
      </c>
      <c r="B31" s="126" t="s">
        <v>130</v>
      </c>
      <c r="C31" s="126" t="s">
        <v>129</v>
      </c>
      <c r="D31" s="126" t="s">
        <v>128</v>
      </c>
      <c r="E31" s="126" t="s">
        <v>127</v>
      </c>
      <c r="F31" s="89" t="s">
        <v>153</v>
      </c>
    </row>
    <row r="32" spans="1:18" ht="15" thickBot="1" x14ac:dyDescent="0.4">
      <c r="A32" s="90" t="s">
        <v>24</v>
      </c>
      <c r="B32" s="308">
        <f>SUMIFS(B$3:B$29,$A$3:$A$29,$A32)</f>
        <v>3.5300000000000002E-3</v>
      </c>
      <c r="C32" s="232">
        <f t="shared" ref="C32:E36" ca="1" si="3">SUMIFS(C$3:C$29,$A$3:$A$29,$A32)</f>
        <v>1.0600000000000002E-3</v>
      </c>
      <c r="D32" s="232">
        <f t="shared" si="3"/>
        <v>3.5E-4</v>
      </c>
      <c r="E32" s="232">
        <f t="shared" si="3"/>
        <v>-1.0000000000000001E-5</v>
      </c>
      <c r="F32" s="230">
        <f ca="1">SUM(B32:E32)</f>
        <v>4.9300000000000004E-3</v>
      </c>
      <c r="G32" s="358">
        <f ca="1">+F32-'Tariff Tables'!H4</f>
        <v>0</v>
      </c>
    </row>
    <row r="33" spans="1:7" ht="15" thickBot="1" x14ac:dyDescent="0.4">
      <c r="A33" s="90" t="s">
        <v>104</v>
      </c>
      <c r="B33" s="231">
        <f t="shared" ref="B33:B36" si="4">SUMIFS(B$3:B$29,$A$3:$A$29,$A33)</f>
        <v>2.2899999999999999E-3</v>
      </c>
      <c r="C33" s="232">
        <f t="shared" ca="1" si="3"/>
        <v>1.58E-3</v>
      </c>
      <c r="D33" s="232">
        <f t="shared" si="3"/>
        <v>1.9999999999999998E-4</v>
      </c>
      <c r="E33" s="232">
        <f t="shared" si="3"/>
        <v>0</v>
      </c>
      <c r="F33" s="230">
        <f t="shared" ref="F33:F36" ca="1" si="5">SUM(B33:E33)</f>
        <v>4.0699999999999998E-3</v>
      </c>
      <c r="G33" s="358">
        <f ca="1">+F33-'Tariff Tables'!H5</f>
        <v>0</v>
      </c>
    </row>
    <row r="34" spans="1:7" ht="15" thickBot="1" x14ac:dyDescent="0.4">
      <c r="A34" s="90" t="s">
        <v>105</v>
      </c>
      <c r="B34" s="231">
        <f t="shared" si="4"/>
        <v>3.8600000000000001E-3</v>
      </c>
      <c r="C34" s="232">
        <f t="shared" ca="1" si="3"/>
        <v>1.4500000000000001E-3</v>
      </c>
      <c r="D34" s="232">
        <f t="shared" si="3"/>
        <v>2.3000000000000001E-4</v>
      </c>
      <c r="E34" s="232">
        <f t="shared" si="3"/>
        <v>0</v>
      </c>
      <c r="F34" s="230">
        <f t="shared" ca="1" si="5"/>
        <v>5.5400000000000007E-3</v>
      </c>
      <c r="G34" s="358">
        <f ca="1">+F34-'Tariff Tables'!H6</f>
        <v>0</v>
      </c>
    </row>
    <row r="35" spans="1:7" ht="15" thickBot="1" x14ac:dyDescent="0.4">
      <c r="A35" s="90" t="s">
        <v>106</v>
      </c>
      <c r="B35" s="231">
        <f t="shared" si="4"/>
        <v>1.4499999999999999E-3</v>
      </c>
      <c r="C35" s="232">
        <f t="shared" ca="1" si="3"/>
        <v>6.2E-4</v>
      </c>
      <c r="D35" s="232">
        <f t="shared" si="3"/>
        <v>2.6000000000000003E-4</v>
      </c>
      <c r="E35" s="232">
        <f t="shared" si="3"/>
        <v>0</v>
      </c>
      <c r="F35" s="230">
        <f t="shared" ca="1" si="5"/>
        <v>2.3299999999999996E-3</v>
      </c>
      <c r="G35" s="358">
        <f ca="1">+F35-'Tariff Tables'!H7</f>
        <v>0</v>
      </c>
    </row>
    <row r="36" spans="1:7" ht="15" thickBot="1" x14ac:dyDescent="0.4">
      <c r="A36" s="90" t="s">
        <v>107</v>
      </c>
      <c r="B36" s="231">
        <f t="shared" si="4"/>
        <v>1.1900000000000001E-3</v>
      </c>
      <c r="C36" s="232">
        <f t="shared" ca="1" si="3"/>
        <v>1.5999999999999999E-4</v>
      </c>
      <c r="D36" s="232">
        <f t="shared" si="3"/>
        <v>2.1000000000000001E-4</v>
      </c>
      <c r="E36" s="232">
        <f t="shared" si="3"/>
        <v>0</v>
      </c>
      <c r="F36" s="230">
        <f t="shared" ca="1" si="5"/>
        <v>1.5600000000000002E-3</v>
      </c>
      <c r="G36" s="358">
        <f ca="1">+F36-'Tariff Tables'!H8</f>
        <v>0</v>
      </c>
    </row>
    <row r="38" spans="1:7" x14ac:dyDescent="0.35">
      <c r="B38" s="358">
        <f>+B32-'Tariff Tables'!J4</f>
        <v>0</v>
      </c>
      <c r="C38" s="358">
        <f ca="1">+C32-'Tariff Tables'!K4</f>
        <v>0</v>
      </c>
      <c r="D38" s="358">
        <f>+D32-'Tariff Tables'!L4</f>
        <v>0</v>
      </c>
      <c r="E38" s="358">
        <f>+E32-'Tariff Tables'!M4</f>
        <v>0</v>
      </c>
      <c r="F38" s="233"/>
    </row>
    <row r="39" spans="1:7" x14ac:dyDescent="0.35">
      <c r="B39" s="358">
        <f>+B33-'Tariff Tables'!J5</f>
        <v>0</v>
      </c>
      <c r="C39" s="358">
        <f ca="1">+C33-'Tariff Tables'!K5</f>
        <v>0</v>
      </c>
      <c r="D39" s="358">
        <f>+D33-'Tariff Tables'!L5</f>
        <v>0</v>
      </c>
      <c r="E39" s="358">
        <f>+E33-'Tariff Tables'!M5</f>
        <v>0</v>
      </c>
      <c r="F39" s="233"/>
    </row>
    <row r="40" spans="1:7" x14ac:dyDescent="0.35">
      <c r="B40" s="358">
        <f>+B34-'Tariff Tables'!J6</f>
        <v>0</v>
      </c>
      <c r="C40" s="358">
        <f ca="1">+C34-'Tariff Tables'!K6</f>
        <v>0</v>
      </c>
      <c r="D40" s="358">
        <f>+D34-'Tariff Tables'!L6</f>
        <v>0</v>
      </c>
      <c r="E40" s="358">
        <f>+E34-'Tariff Tables'!M6</f>
        <v>0</v>
      </c>
      <c r="F40" s="233"/>
    </row>
    <row r="41" spans="1:7" x14ac:dyDescent="0.35">
      <c r="B41" s="358">
        <f>+B35-'Tariff Tables'!J7</f>
        <v>0</v>
      </c>
      <c r="C41" s="358">
        <f ca="1">+C35-'Tariff Tables'!K7</f>
        <v>0</v>
      </c>
      <c r="D41" s="358">
        <f>+D35-'Tariff Tables'!L7</f>
        <v>0</v>
      </c>
      <c r="E41" s="358">
        <f>+E35-'Tariff Tables'!M7</f>
        <v>0</v>
      </c>
      <c r="F41" s="233"/>
    </row>
    <row r="42" spans="1:7" x14ac:dyDescent="0.35">
      <c r="B42" s="358">
        <f>+B36-'Tariff Tables'!J8</f>
        <v>0</v>
      </c>
      <c r="C42" s="358">
        <f ca="1">+C36-'Tariff Tables'!K8</f>
        <v>0</v>
      </c>
      <c r="D42" s="358">
        <f>+D36-'Tariff Tables'!L8</f>
        <v>0</v>
      </c>
      <c r="E42" s="358">
        <f>+E36-'Tariff Tables'!M8</f>
        <v>0</v>
      </c>
      <c r="F42" s="233"/>
    </row>
  </sheetData>
  <pageMargins left="0.7" right="0.7" top="0.75" bottom="0.75" header="0.3" footer="0.3"/>
  <pageSetup orientation="portrait" r:id="rId1"/>
  <headerFooter>
    <oddFooter>&amp;R&amp;1#&amp;"Calibri"&amp;10&amp;KA80000Internal Use Only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1C4F0-FFC7-44B5-9D2D-BC0992E47F43}">
  <sheetPr>
    <pageSetUpPr fitToPage="1"/>
  </sheetPr>
  <dimension ref="A1:X49"/>
  <sheetViews>
    <sheetView workbookViewId="0">
      <selection activeCell="B20" sqref="B20"/>
    </sheetView>
  </sheetViews>
  <sheetFormatPr defaultColWidth="9.1796875" defaultRowHeight="14.5" x14ac:dyDescent="0.35"/>
  <cols>
    <col min="1" max="1" width="20.81640625" style="46" customWidth="1"/>
    <col min="2" max="2" width="22" style="46" customWidth="1"/>
    <col min="3" max="3" width="17.26953125" style="46" customWidth="1"/>
    <col min="4" max="4" width="14.81640625" style="46" customWidth="1"/>
    <col min="5" max="6" width="16.1796875" style="46" customWidth="1"/>
    <col min="7" max="7" width="10.7265625" style="46" bestFit="1" customWidth="1"/>
    <col min="8" max="9" width="9.1796875" style="46"/>
    <col min="10" max="10" width="15" style="46" bestFit="1" customWidth="1"/>
    <col min="11" max="16384" width="9.1796875" style="46"/>
  </cols>
  <sheetData>
    <row r="1" spans="1:24" x14ac:dyDescent="0.35">
      <c r="A1" s="63" t="s">
        <v>280</v>
      </c>
    </row>
    <row r="2" spans="1:24" x14ac:dyDescent="0.35">
      <c r="A2" s="345" t="s">
        <v>281</v>
      </c>
    </row>
    <row r="3" spans="1:24" ht="35.25" customHeight="1" x14ac:dyDescent="0.35">
      <c r="B3" s="374" t="s">
        <v>110</v>
      </c>
      <c r="C3" s="374"/>
    </row>
    <row r="4" spans="1:24" ht="58" x14ac:dyDescent="0.35">
      <c r="B4" s="147" t="s">
        <v>43</v>
      </c>
      <c r="C4" s="227" t="s">
        <v>26</v>
      </c>
      <c r="D4" s="344" t="s">
        <v>282</v>
      </c>
    </row>
    <row r="5" spans="1:24" x14ac:dyDescent="0.35">
      <c r="A5" s="20" t="s">
        <v>24</v>
      </c>
      <c r="B5" s="75">
        <f>SUM('[1]KCPL Billed kWh Sales'!$H38:$I38)</f>
        <v>2713402269</v>
      </c>
      <c r="C5" s="225">
        <f>SUM(D5:E5)</f>
        <v>216062.23</v>
      </c>
      <c r="D5" s="225">
        <f>+ROUND(SUM('[2]Monthly Program Costs Ext'!$BP301:$BU301),2)</f>
        <v>216062.23</v>
      </c>
      <c r="I5" s="327"/>
    </row>
    <row r="6" spans="1:24" x14ac:dyDescent="0.35">
      <c r="A6" s="20" t="s">
        <v>104</v>
      </c>
      <c r="B6" s="75">
        <f>SUM('[1]KCPL Billed kWh Sales'!$H39:$I39)</f>
        <v>655228650</v>
      </c>
      <c r="C6" s="225">
        <f>SUM(D6:E6)</f>
        <v>21183.759999999998</v>
      </c>
      <c r="D6" s="225">
        <f>+ROUND(SUM('[2]Monthly Program Costs Ext'!$BP302:$BU302),2)</f>
        <v>21183.759999999998</v>
      </c>
      <c r="E6" s="47"/>
      <c r="I6" s="327"/>
    </row>
    <row r="7" spans="1:24" x14ac:dyDescent="0.35">
      <c r="A7" s="20" t="s">
        <v>105</v>
      </c>
      <c r="B7" s="75">
        <f>SUM('[1]KCPL Billed kWh Sales'!$H40:$I40)</f>
        <v>1160346343</v>
      </c>
      <c r="C7" s="225">
        <f>SUM(D7:E7)</f>
        <v>42500.33</v>
      </c>
      <c r="D7" s="225">
        <f>+ROUND(SUM('[2]Monthly Program Costs Ext'!$BP303:$BU303),2)</f>
        <v>42500.33</v>
      </c>
      <c r="E7" s="47"/>
      <c r="I7" s="327"/>
    </row>
    <row r="8" spans="1:24" x14ac:dyDescent="0.35">
      <c r="A8" s="20" t="s">
        <v>106</v>
      </c>
      <c r="B8" s="75">
        <f>SUM('[1]KCPL Billed kWh Sales'!$H41:$I41)</f>
        <v>1880971381</v>
      </c>
      <c r="C8" s="225">
        <f>SUM(D8:E8)</f>
        <v>67618.47</v>
      </c>
      <c r="D8" s="225">
        <f>+ROUND(SUM('[2]Monthly Program Costs Ext'!$BP304:$BU304),2)</f>
        <v>67618.47</v>
      </c>
      <c r="E8" s="47"/>
      <c r="I8" s="327"/>
    </row>
    <row r="9" spans="1:24" x14ac:dyDescent="0.35">
      <c r="A9" s="20" t="s">
        <v>107</v>
      </c>
      <c r="B9" s="75">
        <f>SUM('[1]KCPL Billed kWh Sales'!$H42:$I42)</f>
        <v>528682306</v>
      </c>
      <c r="C9" s="225">
        <f>SUM(D9:E9)</f>
        <v>18070.95</v>
      </c>
      <c r="D9" s="225">
        <f>+ROUND(SUM('[2]Monthly Program Costs Ext'!$BP305:$BU305),2)</f>
        <v>18070.95</v>
      </c>
      <c r="E9" s="47"/>
      <c r="I9" s="327"/>
      <c r="O9" s="1"/>
      <c r="P9" s="1"/>
      <c r="Q9" s="1"/>
      <c r="R9" s="1"/>
      <c r="S9" s="1"/>
      <c r="T9" s="1"/>
      <c r="U9" s="1"/>
      <c r="V9" s="1"/>
      <c r="W9" s="1"/>
      <c r="X9" s="1"/>
    </row>
    <row r="10" spans="1:24" x14ac:dyDescent="0.35">
      <c r="A10" s="30" t="s">
        <v>109</v>
      </c>
      <c r="B10" s="242">
        <f>SUM(B5:B9)</f>
        <v>6938630949</v>
      </c>
      <c r="C10" s="226">
        <f>SUM(C5:C9)</f>
        <v>365435.74000000005</v>
      </c>
      <c r="D10" s="226">
        <f>SUM(D5:D9)</f>
        <v>365435.74000000005</v>
      </c>
      <c r="I10" s="327"/>
      <c r="O10" s="1"/>
      <c r="P10" s="1"/>
      <c r="Q10" s="1"/>
      <c r="R10" s="1"/>
      <c r="S10" s="1"/>
      <c r="T10" s="1"/>
      <c r="U10" s="1"/>
      <c r="V10" s="1"/>
      <c r="W10" s="1"/>
      <c r="X10" s="1"/>
    </row>
    <row r="12" spans="1:24" x14ac:dyDescent="0.35">
      <c r="A12" s="53" t="s">
        <v>11</v>
      </c>
    </row>
    <row r="13" spans="1:24" ht="49.5" customHeight="1" x14ac:dyDescent="0.35">
      <c r="A13" s="373" t="s">
        <v>323</v>
      </c>
      <c r="B13" s="373"/>
      <c r="C13" s="373"/>
      <c r="D13" s="373"/>
      <c r="E13" s="373"/>
      <c r="F13" s="318"/>
      <c r="G13" s="277"/>
      <c r="H13" s="375"/>
      <c r="I13" s="375"/>
      <c r="J13" s="375"/>
    </row>
    <row r="14" spans="1:24" x14ac:dyDescent="0.35">
      <c r="A14" s="373" t="s">
        <v>262</v>
      </c>
      <c r="B14" s="373"/>
      <c r="C14" s="373"/>
      <c r="D14" s="373"/>
      <c r="E14" s="373"/>
      <c r="F14" s="318"/>
    </row>
    <row r="15" spans="1:24" ht="30" customHeight="1" x14ac:dyDescent="0.35">
      <c r="A15" s="373" t="s">
        <v>313</v>
      </c>
      <c r="B15" s="373"/>
      <c r="C15" s="373"/>
      <c r="D15" s="373"/>
      <c r="E15" s="373"/>
      <c r="F15" s="318"/>
    </row>
    <row r="16" spans="1:24" ht="27" customHeight="1" x14ac:dyDescent="0.35">
      <c r="A16" s="373"/>
      <c r="B16" s="373"/>
      <c r="C16" s="373"/>
      <c r="D16" s="373"/>
      <c r="E16" s="373"/>
      <c r="F16" s="318"/>
    </row>
    <row r="23" spans="3:3" x14ac:dyDescent="0.35">
      <c r="C23" s="2"/>
    </row>
    <row r="45" spans="2:3" x14ac:dyDescent="0.35">
      <c r="B45" s="8"/>
      <c r="C45" s="8"/>
    </row>
    <row r="49" spans="2:3" x14ac:dyDescent="0.35">
      <c r="B49" s="8"/>
      <c r="C49" s="8"/>
    </row>
  </sheetData>
  <mergeCells count="6">
    <mergeCell ref="A16:E16"/>
    <mergeCell ref="A15:E15"/>
    <mergeCell ref="B3:C3"/>
    <mergeCell ref="H13:J13"/>
    <mergeCell ref="A14:E14"/>
    <mergeCell ref="A13:E13"/>
  </mergeCells>
  <pageMargins left="0.2" right="0.2" top="0.75" bottom="0.25" header="0.3" footer="0.3"/>
  <pageSetup orientation="landscape" r:id="rId1"/>
  <headerFooter>
    <oddHeader>&amp;C&amp;F &amp;A&amp;R&amp;"Arial"&amp;10&amp;K000000CONFIDENTIAL</oddHeader>
    <oddFooter>&amp;R&amp;1#&amp;"Calibri"&amp;10&amp;KA80000Internal Use Only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76D9B-45E4-44AF-B9A4-D95EF127045C}">
  <sheetPr>
    <pageSetUpPr fitToPage="1"/>
  </sheetPr>
  <dimension ref="A1:Y49"/>
  <sheetViews>
    <sheetView workbookViewId="0">
      <selection activeCell="L16" sqref="L16"/>
    </sheetView>
  </sheetViews>
  <sheetFormatPr defaultColWidth="9.1796875" defaultRowHeight="14.5" x14ac:dyDescent="0.35"/>
  <cols>
    <col min="1" max="1" width="20.81640625" style="46" customWidth="1"/>
    <col min="2" max="2" width="22" style="46" customWidth="1"/>
    <col min="3" max="3" width="17.26953125" style="46" customWidth="1"/>
    <col min="4" max="5" width="14.81640625" style="46" customWidth="1"/>
    <col min="6" max="7" width="16.1796875" style="46" customWidth="1"/>
    <col min="8" max="8" width="10.7265625" style="46" bestFit="1" customWidth="1"/>
    <col min="9" max="10" width="9.1796875" style="46"/>
    <col min="11" max="11" width="15" style="46" bestFit="1" customWidth="1"/>
    <col min="12" max="16384" width="9.1796875" style="46"/>
  </cols>
  <sheetData>
    <row r="1" spans="1:25" x14ac:dyDescent="0.35">
      <c r="A1" s="63" t="s">
        <v>280</v>
      </c>
    </row>
    <row r="2" spans="1:25" x14ac:dyDescent="0.35">
      <c r="A2" s="345" t="s">
        <v>307</v>
      </c>
    </row>
    <row r="3" spans="1:25" ht="35.25" customHeight="1" x14ac:dyDescent="0.35">
      <c r="B3" s="374" t="s">
        <v>298</v>
      </c>
      <c r="C3" s="374"/>
    </row>
    <row r="4" spans="1:25" ht="43.5" x14ac:dyDescent="0.35">
      <c r="B4" s="147" t="s">
        <v>43</v>
      </c>
      <c r="C4" s="227" t="s">
        <v>26</v>
      </c>
      <c r="D4" s="344" t="s">
        <v>299</v>
      </c>
    </row>
    <row r="5" spans="1:25" x14ac:dyDescent="0.35">
      <c r="A5" s="20" t="s">
        <v>24</v>
      </c>
      <c r="B5" s="75">
        <f>'PPC Cycle 3'!B5</f>
        <v>2713402269</v>
      </c>
      <c r="C5" s="225">
        <f>SUM(D5:F5)</f>
        <v>6901028.6399999987</v>
      </c>
      <c r="D5" s="225">
        <f>SUM('[3]Monthly Program Costs'!$H296:$S296)</f>
        <v>6901028.6399999987</v>
      </c>
      <c r="J5" s="327"/>
    </row>
    <row r="6" spans="1:25" x14ac:dyDescent="0.35">
      <c r="A6" s="20" t="s">
        <v>104</v>
      </c>
      <c r="B6" s="75">
        <f>'PPC Cycle 3'!B6</f>
        <v>655228650</v>
      </c>
      <c r="C6" s="225">
        <f>SUM(D6:F6)</f>
        <v>517144.24999999994</v>
      </c>
      <c r="D6" s="225">
        <f>SUM('[3]Monthly Program Costs'!$H297:$S297)</f>
        <v>517144.24999999994</v>
      </c>
      <c r="J6" s="327"/>
    </row>
    <row r="7" spans="1:25" x14ac:dyDescent="0.35">
      <c r="A7" s="20" t="s">
        <v>105</v>
      </c>
      <c r="B7" s="75">
        <f>'PPC Cycle 3'!B7</f>
        <v>1160346343</v>
      </c>
      <c r="C7" s="225">
        <f>SUM(D7:F7)</f>
        <v>2939792.76</v>
      </c>
      <c r="D7" s="225">
        <f>SUM('[3]Monthly Program Costs'!$H298:$S298)</f>
        <v>2939792.76</v>
      </c>
      <c r="J7" s="327"/>
    </row>
    <row r="8" spans="1:25" x14ac:dyDescent="0.35">
      <c r="A8" s="20" t="s">
        <v>106</v>
      </c>
      <c r="B8" s="75">
        <f>'PPC Cycle 3'!B8</f>
        <v>1880971381</v>
      </c>
      <c r="C8" s="225">
        <f>SUM(D8:F8)</f>
        <v>1956304.34</v>
      </c>
      <c r="D8" s="225">
        <f>SUM('[3]Monthly Program Costs'!$H299:$S299)</f>
        <v>1956304.34</v>
      </c>
      <c r="J8" s="327"/>
    </row>
    <row r="9" spans="1:25" x14ac:dyDescent="0.35">
      <c r="A9" s="20" t="s">
        <v>107</v>
      </c>
      <c r="B9" s="75">
        <f>'PPC Cycle 3'!B9</f>
        <v>528682306</v>
      </c>
      <c r="C9" s="225">
        <f>SUM(D9:F9)</f>
        <v>696511.26</v>
      </c>
      <c r="D9" s="225">
        <f>SUM('[3]Monthly Program Costs'!$H300:$S300)</f>
        <v>696511.26</v>
      </c>
      <c r="J9" s="327"/>
      <c r="P9" s="1"/>
      <c r="Q9" s="1"/>
      <c r="R9" s="1"/>
      <c r="S9" s="1"/>
      <c r="T9" s="1"/>
      <c r="U9" s="1"/>
      <c r="V9" s="1"/>
      <c r="W9" s="1"/>
      <c r="X9" s="1"/>
      <c r="Y9" s="1"/>
    </row>
    <row r="10" spans="1:25" x14ac:dyDescent="0.35">
      <c r="A10" s="30" t="s">
        <v>109</v>
      </c>
      <c r="B10" s="242">
        <f>SUM(B5:B9)</f>
        <v>6938630949</v>
      </c>
      <c r="C10" s="226">
        <f>SUM(C5:C9)</f>
        <v>13010781.249999998</v>
      </c>
      <c r="D10" s="226">
        <f>SUM(D5:D9)</f>
        <v>13010781.249999998</v>
      </c>
      <c r="J10" s="327"/>
      <c r="P10" s="1"/>
      <c r="Q10" s="1"/>
      <c r="R10" s="1"/>
      <c r="S10" s="1"/>
      <c r="T10" s="1"/>
      <c r="U10" s="1"/>
      <c r="V10" s="1"/>
      <c r="W10" s="1"/>
      <c r="X10" s="1"/>
      <c r="Y10" s="1"/>
    </row>
    <row r="12" spans="1:25" x14ac:dyDescent="0.35">
      <c r="A12" s="53" t="s">
        <v>11</v>
      </c>
    </row>
    <row r="13" spans="1:25" ht="49.5" customHeight="1" x14ac:dyDescent="0.35">
      <c r="A13" s="373" t="s">
        <v>323</v>
      </c>
      <c r="B13" s="373"/>
      <c r="C13" s="373"/>
      <c r="D13" s="373"/>
      <c r="E13" s="373"/>
      <c r="F13" s="373"/>
      <c r="G13" s="330"/>
      <c r="H13" s="331"/>
      <c r="I13" s="375"/>
      <c r="J13" s="375"/>
      <c r="K13" s="375"/>
    </row>
    <row r="14" spans="1:25" x14ac:dyDescent="0.35">
      <c r="A14" s="373" t="s">
        <v>262</v>
      </c>
      <c r="B14" s="373"/>
      <c r="C14" s="373"/>
      <c r="D14" s="373"/>
      <c r="E14" s="373"/>
      <c r="F14" s="373"/>
      <c r="G14" s="330"/>
    </row>
    <row r="15" spans="1:25" ht="30" customHeight="1" x14ac:dyDescent="0.35">
      <c r="A15" s="376" t="s">
        <v>330</v>
      </c>
      <c r="B15" s="376"/>
      <c r="C15" s="376"/>
      <c r="D15" s="376"/>
      <c r="E15" s="376"/>
      <c r="F15" s="376"/>
      <c r="G15" s="330"/>
    </row>
    <row r="16" spans="1:25" ht="27" customHeight="1" x14ac:dyDescent="0.35">
      <c r="A16" s="373"/>
      <c r="B16" s="373"/>
      <c r="C16" s="373"/>
      <c r="D16" s="373"/>
      <c r="E16" s="373"/>
      <c r="F16" s="373"/>
      <c r="G16" s="330"/>
    </row>
    <row r="23" spans="3:3" x14ac:dyDescent="0.35">
      <c r="C23" s="2"/>
    </row>
    <row r="45" spans="2:3" x14ac:dyDescent="0.35">
      <c r="B45" s="8"/>
      <c r="C45" s="8"/>
    </row>
    <row r="49" spans="2:3" x14ac:dyDescent="0.35">
      <c r="B49" s="8"/>
      <c r="C49" s="8"/>
    </row>
  </sheetData>
  <mergeCells count="6">
    <mergeCell ref="A16:F16"/>
    <mergeCell ref="B3:C3"/>
    <mergeCell ref="A13:F13"/>
    <mergeCell ref="I13:K13"/>
    <mergeCell ref="A14:F14"/>
    <mergeCell ref="A15:F15"/>
  </mergeCells>
  <pageMargins left="0.2" right="0.2" top="0.75" bottom="0.25" header="0.3" footer="0.3"/>
  <pageSetup orientation="landscape" r:id="rId1"/>
  <headerFooter>
    <oddHeader>&amp;C&amp;F &amp;A&amp;R&amp;"Arial"&amp;10&amp;K000000CONFIDENTIAL</oddHeader>
    <oddFooter>&amp;R&amp;1#&amp;"Calibri"&amp;10&amp;KA80000Internal Use Only</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I77"/>
  <sheetViews>
    <sheetView zoomScale="85" zoomScaleNormal="85" workbookViewId="0"/>
  </sheetViews>
  <sheetFormatPr defaultColWidth="9.1796875" defaultRowHeight="14.5" outlineLevelCol="1" x14ac:dyDescent="0.35"/>
  <cols>
    <col min="1" max="1" width="54.54296875" style="46" customWidth="1"/>
    <col min="2" max="2" width="15.453125" style="46" customWidth="1"/>
    <col min="3" max="3" width="15.81640625" style="46" customWidth="1"/>
    <col min="4" max="4" width="15" style="46" customWidth="1" outlineLevel="1"/>
    <col min="5" max="5" width="15.26953125" style="46" customWidth="1"/>
    <col min="6" max="6" width="15.81640625" style="46" customWidth="1"/>
    <col min="7" max="7" width="17.54296875" style="46" customWidth="1"/>
    <col min="8" max="9" width="13.26953125" style="46" customWidth="1"/>
    <col min="10" max="10" width="15.7265625" style="46" customWidth="1"/>
    <col min="11" max="12" width="12.54296875" style="46" bestFit="1" customWidth="1"/>
    <col min="13" max="13" width="14.453125" style="46" customWidth="1"/>
    <col min="14" max="14" width="15" style="46" bestFit="1" customWidth="1"/>
    <col min="15" max="15" width="16.26953125" style="46" bestFit="1" customWidth="1"/>
    <col min="16" max="16" width="16.1796875" style="46" hidden="1" customWidth="1" outlineLevel="1"/>
    <col min="17" max="17" width="17.26953125" style="46" bestFit="1" customWidth="1" collapsed="1"/>
    <col min="18" max="18" width="17.453125" style="46" customWidth="1"/>
    <col min="19" max="19" width="15.54296875" style="46" customWidth="1"/>
    <col min="20" max="20" width="13" style="46" customWidth="1"/>
    <col min="21" max="21" width="10.81640625" style="46" bestFit="1" customWidth="1"/>
    <col min="22" max="22" width="14.26953125" style="46" bestFit="1" customWidth="1"/>
    <col min="23" max="16384" width="9.1796875" style="46"/>
  </cols>
  <sheetData>
    <row r="1" spans="1:35" x14ac:dyDescent="0.35">
      <c r="A1" s="3" t="str">
        <f>+'PPC Cycle 3'!A1</f>
        <v>Evergy Metro, Inc. - DSIM Rider Update Filed 12/01/2024</v>
      </c>
      <c r="B1" s="3"/>
      <c r="C1" s="3"/>
      <c r="D1" s="3"/>
    </row>
    <row r="2" spans="1:35" x14ac:dyDescent="0.35">
      <c r="E2" s="3" t="s">
        <v>59</v>
      </c>
    </row>
    <row r="3" spans="1:35" ht="29" x14ac:dyDescent="0.35">
      <c r="E3" s="48" t="s">
        <v>45</v>
      </c>
      <c r="F3" s="48" t="s">
        <v>44</v>
      </c>
      <c r="G3" s="70" t="s">
        <v>2</v>
      </c>
      <c r="H3" s="48" t="s">
        <v>3</v>
      </c>
      <c r="I3" s="70" t="s">
        <v>54</v>
      </c>
      <c r="J3" s="48" t="s">
        <v>10</v>
      </c>
      <c r="K3" s="48" t="s">
        <v>4</v>
      </c>
    </row>
    <row r="4" spans="1:35" x14ac:dyDescent="0.35">
      <c r="A4" s="20" t="s">
        <v>24</v>
      </c>
      <c r="E4" s="22">
        <f>SUM(C34:M34)</f>
        <v>0</v>
      </c>
      <c r="F4" s="133">
        <f>SUM(C27:M27)</f>
        <v>1422237876.8789501</v>
      </c>
      <c r="G4" s="22">
        <f>SUM(C23:L23)</f>
        <v>0</v>
      </c>
      <c r="H4" s="22">
        <f>G4-E4</f>
        <v>0</v>
      </c>
      <c r="I4" s="22">
        <f>+B47</f>
        <v>0</v>
      </c>
      <c r="J4" s="22">
        <f>SUM(C52:L52)</f>
        <v>0</v>
      </c>
      <c r="K4" s="25">
        <f>SUM(H4:J4)</f>
        <v>0</v>
      </c>
      <c r="L4" s="47">
        <f>+K4-M47</f>
        <v>0</v>
      </c>
    </row>
    <row r="5" spans="1:35" ht="15" thickBot="1" x14ac:dyDescent="0.4">
      <c r="A5" s="20" t="s">
        <v>25</v>
      </c>
      <c r="E5" s="22">
        <f>SUM(C35:M38)</f>
        <v>-8.3932860661661834E-14</v>
      </c>
      <c r="F5" s="133">
        <f>SUM(C28:M31)</f>
        <v>2108130599.2044663</v>
      </c>
      <c r="G5" s="22">
        <f>SUM(C24:L24)</f>
        <v>0</v>
      </c>
      <c r="H5" s="22">
        <f>G5-E5</f>
        <v>8.3932860661661834E-14</v>
      </c>
      <c r="I5" s="22">
        <f>+B48</f>
        <v>0</v>
      </c>
      <c r="J5" s="22">
        <f>SUM(C53:L53)</f>
        <v>0</v>
      </c>
      <c r="K5" s="25">
        <f>SUM(H5:J5)</f>
        <v>8.3932860661661834E-14</v>
      </c>
      <c r="L5" s="47">
        <f>+K5-M48</f>
        <v>0</v>
      </c>
    </row>
    <row r="6" spans="1:35" ht="15.5" thickTop="1" thickBot="1" x14ac:dyDescent="0.4">
      <c r="E6" s="27">
        <f t="shared" ref="E6" si="0">SUM(E4:E5)</f>
        <v>-8.3932860661661834E-14</v>
      </c>
      <c r="F6" s="27">
        <f t="shared" ref="F6:I6" si="1">SUM(F4:F5)</f>
        <v>3530368476.0834165</v>
      </c>
      <c r="G6" s="27">
        <f t="shared" si="1"/>
        <v>0</v>
      </c>
      <c r="H6" s="27">
        <f t="shared" si="1"/>
        <v>8.3932860661661834E-14</v>
      </c>
      <c r="I6" s="27">
        <f t="shared" si="1"/>
        <v>0</v>
      </c>
      <c r="J6" s="27">
        <f>SUM(J4:J5)</f>
        <v>0</v>
      </c>
      <c r="K6" s="27">
        <f>SUM(K4:K5)</f>
        <v>8.3932860661661834E-14</v>
      </c>
    </row>
    <row r="7" spans="1:35" ht="44" thickTop="1" x14ac:dyDescent="0.35">
      <c r="E7" s="223"/>
      <c r="F7" s="224"/>
      <c r="G7" s="223"/>
      <c r="H7" s="223"/>
      <c r="I7" s="223"/>
      <c r="J7" s="222"/>
      <c r="K7" s="222"/>
      <c r="L7" s="283" t="s">
        <v>120</v>
      </c>
    </row>
    <row r="8" spans="1:35" x14ac:dyDescent="0.35">
      <c r="A8" s="20" t="s">
        <v>104</v>
      </c>
      <c r="E8" s="223"/>
      <c r="F8" s="224"/>
      <c r="G8" s="223"/>
      <c r="H8" s="223"/>
      <c r="I8" s="223"/>
      <c r="J8" s="222"/>
      <c r="K8" s="25">
        <f>ROUND($K$5*L8,2)</f>
        <v>0</v>
      </c>
      <c r="L8" s="219">
        <f>+'[4]Monthly TD Calc'!$DC$44</f>
        <v>0.13576441564001979</v>
      </c>
    </row>
    <row r="9" spans="1:35" x14ac:dyDescent="0.35">
      <c r="A9" s="20" t="s">
        <v>105</v>
      </c>
      <c r="E9" s="223"/>
      <c r="F9" s="224"/>
      <c r="G9" s="223"/>
      <c r="H9" s="223"/>
      <c r="I9" s="223"/>
      <c r="J9" s="222"/>
      <c r="K9" s="25">
        <f t="shared" ref="K9:K11" si="2">ROUND($K$5*L9,2)</f>
        <v>0</v>
      </c>
      <c r="L9" s="219">
        <f>+'[4]Monthly TD Calc'!$DD$44</f>
        <v>0.35611574316442379</v>
      </c>
    </row>
    <row r="10" spans="1:35" x14ac:dyDescent="0.35">
      <c r="A10" s="20" t="s">
        <v>106</v>
      </c>
      <c r="E10" s="223"/>
      <c r="F10" s="224"/>
      <c r="G10" s="223"/>
      <c r="H10" s="223"/>
      <c r="I10" s="223"/>
      <c r="J10" s="222"/>
      <c r="K10" s="25">
        <f t="shared" si="2"/>
        <v>0</v>
      </c>
      <c r="L10" s="219">
        <f>+'[4]Monthly TD Calc'!$DE$44</f>
        <v>0.4183185730547726</v>
      </c>
    </row>
    <row r="11" spans="1:35" ht="15" thickBot="1" x14ac:dyDescent="0.4">
      <c r="A11" s="20" t="s">
        <v>107</v>
      </c>
      <c r="E11" s="223"/>
      <c r="F11" s="224"/>
      <c r="G11" s="223"/>
      <c r="H11" s="223"/>
      <c r="I11" s="223"/>
      <c r="J11" s="222"/>
      <c r="K11" s="25">
        <f t="shared" si="2"/>
        <v>0</v>
      </c>
      <c r="L11" s="219">
        <f>+'[4]Monthly TD Calc'!$DF$44</f>
        <v>8.9801268140783777E-2</v>
      </c>
    </row>
    <row r="12" spans="1:35" ht="15.5" thickTop="1" thickBot="1" x14ac:dyDescent="0.4">
      <c r="A12" s="20" t="s">
        <v>109</v>
      </c>
      <c r="E12" s="223"/>
      <c r="F12" s="224"/>
      <c r="G12" s="223"/>
      <c r="H12" s="223"/>
      <c r="I12" s="223"/>
      <c r="J12" s="222"/>
      <c r="K12" s="27">
        <f>SUM(K8:K11)</f>
        <v>0</v>
      </c>
      <c r="L12" s="220">
        <f>SUM(L8:L11)</f>
        <v>1</v>
      </c>
    </row>
    <row r="13" spans="1:35" ht="15.5" thickTop="1" thickBot="1" x14ac:dyDescent="0.4">
      <c r="E13" s="312"/>
      <c r="F13" s="312"/>
      <c r="G13" s="312"/>
      <c r="H13" s="312"/>
      <c r="I13" s="312"/>
      <c r="J13" s="312"/>
      <c r="K13" s="312"/>
      <c r="L13" s="312"/>
      <c r="M13" s="312"/>
    </row>
    <row r="14" spans="1:35" ht="58.5" thickBot="1" x14ac:dyDescent="0.4">
      <c r="B14" s="114" t="s">
        <v>283</v>
      </c>
      <c r="C14" s="264" t="s">
        <v>284</v>
      </c>
      <c r="D14" s="264"/>
      <c r="E14" s="382" t="s">
        <v>32</v>
      </c>
      <c r="F14" s="382"/>
      <c r="G14" s="383"/>
      <c r="H14" s="384" t="s">
        <v>32</v>
      </c>
      <c r="I14" s="385"/>
      <c r="J14" s="386"/>
      <c r="K14" s="378" t="s">
        <v>8</v>
      </c>
      <c r="L14" s="379"/>
      <c r="M14" s="380"/>
      <c r="P14" s="287" t="s">
        <v>236</v>
      </c>
    </row>
    <row r="15" spans="1:35" x14ac:dyDescent="0.35">
      <c r="A15" s="46" t="s">
        <v>31</v>
      </c>
      <c r="C15" s="14"/>
      <c r="D15" s="19"/>
      <c r="E15" s="309">
        <v>45443</v>
      </c>
      <c r="F15" s="19">
        <f>EOMONTH(E15,1)</f>
        <v>45473</v>
      </c>
      <c r="G15" s="19">
        <f t="shared" ref="G15:M15" si="3">EOMONTH(F15,1)</f>
        <v>45504</v>
      </c>
      <c r="H15" s="14">
        <f t="shared" si="3"/>
        <v>45535</v>
      </c>
      <c r="I15" s="19">
        <f t="shared" si="3"/>
        <v>45565</v>
      </c>
      <c r="J15" s="15">
        <f t="shared" si="3"/>
        <v>45596</v>
      </c>
      <c r="K15" s="19">
        <f t="shared" si="3"/>
        <v>45626</v>
      </c>
      <c r="L15" s="19">
        <f t="shared" si="3"/>
        <v>45657</v>
      </c>
      <c r="M15" s="95">
        <f t="shared" si="3"/>
        <v>45688</v>
      </c>
      <c r="P15" s="287"/>
      <c r="Z15" s="1"/>
      <c r="AA15" s="1"/>
      <c r="AB15" s="1"/>
      <c r="AC15" s="1"/>
      <c r="AD15" s="1"/>
      <c r="AE15" s="1"/>
      <c r="AF15" s="1"/>
      <c r="AG15" s="1"/>
      <c r="AH15" s="1"/>
      <c r="AI15" s="1"/>
    </row>
    <row r="16" spans="1:35" x14ac:dyDescent="0.35">
      <c r="A16" s="46" t="s">
        <v>24</v>
      </c>
      <c r="C16" s="97">
        <v>0</v>
      </c>
      <c r="D16" s="253"/>
      <c r="E16" s="108">
        <v>0</v>
      </c>
      <c r="F16" s="108">
        <v>0</v>
      </c>
      <c r="G16" s="109">
        <v>0</v>
      </c>
      <c r="H16" s="16">
        <v>0</v>
      </c>
      <c r="I16" s="55">
        <v>0</v>
      </c>
      <c r="J16" s="161">
        <v>0</v>
      </c>
      <c r="K16" s="171">
        <v>0</v>
      </c>
      <c r="L16" s="135">
        <v>0</v>
      </c>
      <c r="M16" s="76"/>
      <c r="P16" s="47">
        <f>-SUM(K16:M16)</f>
        <v>0</v>
      </c>
    </row>
    <row r="17" spans="1:21" x14ac:dyDescent="0.35">
      <c r="A17" s="46" t="s">
        <v>25</v>
      </c>
      <c r="C17" s="97">
        <v>0</v>
      </c>
      <c r="D17" s="253"/>
      <c r="E17" s="108">
        <v>0</v>
      </c>
      <c r="F17" s="108">
        <v>0</v>
      </c>
      <c r="G17" s="109">
        <v>0</v>
      </c>
      <c r="H17" s="16">
        <v>0</v>
      </c>
      <c r="I17" s="55">
        <v>0</v>
      </c>
      <c r="J17" s="161">
        <v>0</v>
      </c>
      <c r="K17" s="171">
        <v>0</v>
      </c>
      <c r="L17" s="135">
        <v>0</v>
      </c>
      <c r="M17" s="76"/>
      <c r="N17" s="63" t="s">
        <v>27</v>
      </c>
      <c r="P17" s="47">
        <f t="shared" ref="P17:P19" si="4">-SUM(K17:M17)</f>
        <v>0</v>
      </c>
    </row>
    <row r="18" spans="1:21" x14ac:dyDescent="0.35">
      <c r="A18" s="46" t="s">
        <v>0</v>
      </c>
      <c r="C18" s="97">
        <v>0</v>
      </c>
      <c r="D18" s="253"/>
      <c r="E18" s="108">
        <v>0</v>
      </c>
      <c r="F18" s="108">
        <v>0</v>
      </c>
      <c r="G18" s="109">
        <v>0</v>
      </c>
      <c r="H18" s="16">
        <v>0</v>
      </c>
      <c r="I18" s="55">
        <v>0</v>
      </c>
      <c r="J18" s="161">
        <v>0</v>
      </c>
      <c r="K18" s="171">
        <v>0</v>
      </c>
      <c r="L18" s="135">
        <v>0</v>
      </c>
      <c r="M18" s="76"/>
      <c r="N18" s="73">
        <v>0.5</v>
      </c>
      <c r="P18" s="47">
        <f t="shared" si="4"/>
        <v>0</v>
      </c>
    </row>
    <row r="19" spans="1:21" x14ac:dyDescent="0.35">
      <c r="A19" s="46" t="s">
        <v>1</v>
      </c>
      <c r="C19" s="97">
        <v>0</v>
      </c>
      <c r="D19" s="253"/>
      <c r="E19" s="108">
        <v>0</v>
      </c>
      <c r="F19" s="108">
        <v>0</v>
      </c>
      <c r="G19" s="109">
        <v>0</v>
      </c>
      <c r="H19" s="16">
        <v>0</v>
      </c>
      <c r="I19" s="55">
        <v>0</v>
      </c>
      <c r="J19" s="161">
        <v>0</v>
      </c>
      <c r="K19" s="171">
        <v>0</v>
      </c>
      <c r="L19" s="135">
        <v>0</v>
      </c>
      <c r="M19" s="76"/>
      <c r="N19" s="63"/>
      <c r="P19" s="47">
        <f t="shared" si="4"/>
        <v>0</v>
      </c>
    </row>
    <row r="20" spans="1:21" x14ac:dyDescent="0.35">
      <c r="C20" s="98"/>
      <c r="D20" s="254"/>
      <c r="E20" s="31"/>
      <c r="F20" s="31"/>
      <c r="G20" s="31"/>
      <c r="H20" s="28"/>
      <c r="I20" s="31"/>
      <c r="J20" s="11"/>
      <c r="K20" s="31"/>
      <c r="L20" s="31"/>
      <c r="M20" s="29"/>
    </row>
    <row r="21" spans="1:21" x14ac:dyDescent="0.35">
      <c r="C21" s="98"/>
      <c r="D21" s="254"/>
      <c r="E21" s="31"/>
      <c r="F21" s="31"/>
      <c r="G21" s="31"/>
      <c r="H21" s="28"/>
      <c r="I21" s="31"/>
      <c r="J21" s="11"/>
      <c r="K21" s="31"/>
      <c r="L21" s="31"/>
      <c r="M21" s="29"/>
    </row>
    <row r="22" spans="1:21" x14ac:dyDescent="0.35">
      <c r="A22" s="46" t="s">
        <v>34</v>
      </c>
      <c r="C22" s="99"/>
      <c r="D22" s="146"/>
      <c r="E22" s="31"/>
      <c r="F22" s="31"/>
      <c r="G22" s="31"/>
      <c r="H22" s="28"/>
      <c r="I22" s="31"/>
      <c r="J22" s="162"/>
      <c r="K22" s="17"/>
      <c r="L22" s="17"/>
      <c r="M22" s="11"/>
    </row>
    <row r="23" spans="1:21" x14ac:dyDescent="0.35">
      <c r="A23" s="46" t="s">
        <v>24</v>
      </c>
      <c r="C23" s="40"/>
      <c r="D23" s="119"/>
      <c r="E23" s="41">
        <f t="shared" ref="E23:L23" si="5">E16+($N$18*E$18)+($N$18*E$19)</f>
        <v>0</v>
      </c>
      <c r="F23" s="41">
        <f t="shared" si="5"/>
        <v>0</v>
      </c>
      <c r="G23" s="107">
        <f t="shared" si="5"/>
        <v>0</v>
      </c>
      <c r="H23" s="40">
        <f t="shared" si="5"/>
        <v>0</v>
      </c>
      <c r="I23" s="41">
        <f t="shared" si="5"/>
        <v>0</v>
      </c>
      <c r="J23" s="61">
        <f t="shared" si="5"/>
        <v>0</v>
      </c>
      <c r="K23" s="119">
        <f t="shared" si="5"/>
        <v>0</v>
      </c>
      <c r="L23" s="41">
        <f t="shared" si="5"/>
        <v>0</v>
      </c>
      <c r="M23" s="61">
        <f t="shared" ref="M23" si="6">M16+($N$18*M$18)+($N$18*M$19)+M$20*(1-$N$20)</f>
        <v>0</v>
      </c>
    </row>
    <row r="24" spans="1:21" x14ac:dyDescent="0.35">
      <c r="A24" s="46" t="s">
        <v>25</v>
      </c>
      <c r="C24" s="40"/>
      <c r="D24" s="119"/>
      <c r="E24" s="41">
        <f t="shared" ref="E24:L24" si="7">(E$17+$N$18*E$18)+E$19*$N$18</f>
        <v>0</v>
      </c>
      <c r="F24" s="41">
        <f t="shared" si="7"/>
        <v>0</v>
      </c>
      <c r="G24" s="107">
        <f t="shared" si="7"/>
        <v>0</v>
      </c>
      <c r="H24" s="40">
        <f t="shared" si="7"/>
        <v>0</v>
      </c>
      <c r="I24" s="41">
        <f t="shared" si="7"/>
        <v>0</v>
      </c>
      <c r="J24" s="61">
        <f t="shared" si="7"/>
        <v>0</v>
      </c>
      <c r="K24" s="119">
        <f t="shared" si="7"/>
        <v>0</v>
      </c>
      <c r="L24" s="41">
        <f t="shared" si="7"/>
        <v>0</v>
      </c>
      <c r="M24" s="61">
        <f t="shared" ref="M24" si="8">(M$17+$N$18*M$18+M$20*$N$20)+M$19*$N$18</f>
        <v>0</v>
      </c>
    </row>
    <row r="25" spans="1:21" x14ac:dyDescent="0.35">
      <c r="C25" s="99"/>
      <c r="D25" s="146"/>
      <c r="E25" s="31"/>
      <c r="F25" s="31"/>
      <c r="G25" s="31"/>
      <c r="H25" s="28"/>
      <c r="I25" s="31"/>
      <c r="J25" s="11"/>
      <c r="K25" s="17"/>
      <c r="L25" s="17"/>
      <c r="M25" s="11"/>
    </row>
    <row r="26" spans="1:21" x14ac:dyDescent="0.35">
      <c r="A26" s="39" t="s">
        <v>46</v>
      </c>
      <c r="B26" s="39"/>
      <c r="C26" s="101"/>
      <c r="D26" s="255"/>
      <c r="E26" s="254"/>
      <c r="F26" s="254"/>
      <c r="G26" s="254"/>
      <c r="H26" s="98"/>
      <c r="I26" s="254"/>
      <c r="J26" s="371"/>
      <c r="K26" s="17"/>
      <c r="L26" s="17"/>
      <c r="M26" s="11"/>
    </row>
    <row r="27" spans="1:21" x14ac:dyDescent="0.35">
      <c r="A27" s="46" t="s">
        <v>24</v>
      </c>
      <c r="C27" s="341">
        <v>-657358351</v>
      </c>
      <c r="D27" s="256"/>
      <c r="E27" s="110">
        <f>+'[5]May 2024'!$G145</f>
        <v>153239284.89905</v>
      </c>
      <c r="F27" s="110">
        <f>+'[5]June 2024'!$G145</f>
        <v>210846674.27977499</v>
      </c>
      <c r="G27" s="110">
        <f>+'[5]July 2024'!$G185</f>
        <v>297215222.53432494</v>
      </c>
      <c r="H27" s="181">
        <f>+'[5]August 2024'!$G185</f>
        <v>286260248.13420004</v>
      </c>
      <c r="I27" s="184">
        <f>+'[5]September 2024'!$G185</f>
        <v>255273952.1169</v>
      </c>
      <c r="J27" s="176">
        <f>+'[5]October 2024'!$G185</f>
        <v>201939088.9147</v>
      </c>
      <c r="K27" s="172">
        <f>+'[1]KCPL Billed kWh Sales'!X26</f>
        <v>167074289</v>
      </c>
      <c r="L27" s="172">
        <f>+'[1]KCPL Billed kWh Sales'!Y26</f>
        <v>239068877</v>
      </c>
      <c r="M27" s="77">
        <f>+'[1]KCPL Billed kWh Sales'!Z26</f>
        <v>268678591</v>
      </c>
      <c r="P27" s="47">
        <f t="shared" ref="P27:P31" si="9">-SUM(K27:M27)</f>
        <v>-674821757</v>
      </c>
      <c r="U27" s="326"/>
    </row>
    <row r="28" spans="1:21" x14ac:dyDescent="0.35">
      <c r="A28" s="46" t="s">
        <v>104</v>
      </c>
      <c r="C28" s="341">
        <v>-162787241</v>
      </c>
      <c r="D28" s="256"/>
      <c r="E28" s="110">
        <f>+'[5]May 2024'!$G146</f>
        <v>46560109.629100002</v>
      </c>
      <c r="F28" s="110">
        <f>+'[5]June 2024'!$G146</f>
        <v>53859029.526499979</v>
      </c>
      <c r="G28" s="110">
        <f>+'[5]July 2024'!$G186</f>
        <v>62593563.4212</v>
      </c>
      <c r="H28" s="181">
        <f>+'[5]August 2024'!$G186</f>
        <v>61218366.141400002</v>
      </c>
      <c r="I28" s="184">
        <f>+'[5]September 2024'!$G186</f>
        <v>60723433.253599994</v>
      </c>
      <c r="J28" s="176">
        <f>+'[5]October 2024'!$G186</f>
        <v>56246827.012800001</v>
      </c>
      <c r="K28" s="172">
        <f>+'[1]KCPL Billed kWh Sales'!X27</f>
        <v>49738579</v>
      </c>
      <c r="L28" s="172">
        <f>+'[1]KCPL Billed kWh Sales'!Y27</f>
        <v>54511459</v>
      </c>
      <c r="M28" s="77">
        <f>+'[1]KCPL Billed kWh Sales'!Z27</f>
        <v>55002376</v>
      </c>
      <c r="P28" s="47">
        <f t="shared" si="9"/>
        <v>-159252414</v>
      </c>
    </row>
    <row r="29" spans="1:21" x14ac:dyDescent="0.35">
      <c r="A29" s="46" t="s">
        <v>105</v>
      </c>
      <c r="C29" s="341">
        <v>-286235085</v>
      </c>
      <c r="D29" s="256"/>
      <c r="E29" s="110">
        <f>+'[5]May 2024'!$G147</f>
        <v>80438413.420566693</v>
      </c>
      <c r="F29" s="110">
        <f>+'[5]June 2024'!$G147</f>
        <v>90499639.286300018</v>
      </c>
      <c r="G29" s="110">
        <f>+'[5]July 2024'!$G187</f>
        <v>106261076.09569998</v>
      </c>
      <c r="H29" s="181">
        <f>+'[5]August 2024'!$G187</f>
        <v>102925993.0899</v>
      </c>
      <c r="I29" s="184">
        <f>+'[5]September 2024'!$G187</f>
        <v>100768422.81480001</v>
      </c>
      <c r="J29" s="176">
        <f>+'[5]October 2024'!$G187</f>
        <v>96410730.746499971</v>
      </c>
      <c r="K29" s="172">
        <f>+'[1]KCPL Billed kWh Sales'!X28</f>
        <v>88082196</v>
      </c>
      <c r="L29" s="172">
        <f>+'[1]KCPL Billed kWh Sales'!Y28</f>
        <v>96534503</v>
      </c>
      <c r="M29" s="77">
        <f>+'[1]KCPL Billed kWh Sales'!Z28</f>
        <v>97403870</v>
      </c>
      <c r="P29" s="47">
        <f t="shared" si="9"/>
        <v>-282020569</v>
      </c>
    </row>
    <row r="30" spans="1:21" x14ac:dyDescent="0.35">
      <c r="A30" s="46" t="s">
        <v>106</v>
      </c>
      <c r="C30" s="341">
        <v>-455019756</v>
      </c>
      <c r="D30" s="256"/>
      <c r="E30" s="110">
        <f>+'[5]May 2024'!$G148</f>
        <v>143005435.02040002</v>
      </c>
      <c r="F30" s="110">
        <f>+'[5]June 2024'!$G148</f>
        <v>145949547.34579995</v>
      </c>
      <c r="G30" s="110">
        <f>+'[5]July 2024'!$G188</f>
        <v>164265592.85449997</v>
      </c>
      <c r="H30" s="181">
        <f>+'[5]August 2024'!$G188</f>
        <v>160549625.93380001</v>
      </c>
      <c r="I30" s="184">
        <f>+'[5]September 2024'!$G188</f>
        <v>165231923.7969</v>
      </c>
      <c r="J30" s="176">
        <f>+'[5]October 2024'!$G188</f>
        <v>156338420.49240002</v>
      </c>
      <c r="K30" s="172">
        <f>+'[1]KCPL Billed kWh Sales'!X29</f>
        <v>142785031</v>
      </c>
      <c r="L30" s="172">
        <f>+'[1]KCPL Billed kWh Sales'!Y29</f>
        <v>156486586</v>
      </c>
      <c r="M30" s="77">
        <f>+'[1]KCPL Billed kWh Sales'!Z29</f>
        <v>157895867</v>
      </c>
      <c r="P30" s="47">
        <f t="shared" si="9"/>
        <v>-457167484</v>
      </c>
    </row>
    <row r="31" spans="1:21" x14ac:dyDescent="0.35">
      <c r="A31" s="46" t="s">
        <v>107</v>
      </c>
      <c r="C31" s="341">
        <v>-120889513</v>
      </c>
      <c r="D31" s="256"/>
      <c r="E31" s="110">
        <f>+'[5]May 2024'!$G149</f>
        <v>38353635.6259</v>
      </c>
      <c r="F31" s="110">
        <f>+'[5]June 2024'!$G149</f>
        <v>31926396.805000003</v>
      </c>
      <c r="G31" s="110">
        <f>+'[5]July 2024'!$G189</f>
        <v>50741690.576499999</v>
      </c>
      <c r="H31" s="181">
        <f>+'[5]August 2024'!$G189</f>
        <v>43563811.763799995</v>
      </c>
      <c r="I31" s="184">
        <f>+'[5]September 2024'!$G189</f>
        <v>37736677.327199996</v>
      </c>
      <c r="J31" s="176">
        <f>+'[5]October 2024'!$G189</f>
        <v>49957863.223899998</v>
      </c>
      <c r="K31" s="172">
        <f>+'[1]KCPL Billed kWh Sales'!X30</f>
        <v>40132413</v>
      </c>
      <c r="L31" s="172">
        <f>+'[1]KCPL Billed kWh Sales'!Y30</f>
        <v>43983492</v>
      </c>
      <c r="M31" s="77">
        <f>+'[1]KCPL Billed kWh Sales'!Z30</f>
        <v>44379597</v>
      </c>
      <c r="P31" s="47">
        <f t="shared" si="9"/>
        <v>-128495502</v>
      </c>
    </row>
    <row r="32" spans="1:21" x14ac:dyDescent="0.35">
      <c r="C32" s="99"/>
      <c r="D32" s="146"/>
      <c r="E32" s="31"/>
      <c r="F32" s="31"/>
      <c r="G32" s="31"/>
      <c r="H32" s="28"/>
      <c r="I32" s="31"/>
      <c r="J32" s="11"/>
      <c r="K32" s="17"/>
      <c r="L32" s="17"/>
      <c r="M32" s="11"/>
    </row>
    <row r="33" spans="1:16" x14ac:dyDescent="0.35">
      <c r="A33" s="46" t="s">
        <v>33</v>
      </c>
      <c r="C33" s="99"/>
      <c r="D33" s="146"/>
      <c r="E33" s="18"/>
      <c r="F33" s="18"/>
      <c r="G33" s="18"/>
      <c r="H33" s="91"/>
      <c r="I33" s="18"/>
      <c r="J33" s="11"/>
      <c r="K33" s="57"/>
      <c r="L33" s="57"/>
      <c r="M33" s="58"/>
      <c r="N33" s="63" t="s">
        <v>49</v>
      </c>
      <c r="O33" s="39"/>
    </row>
    <row r="34" spans="1:16" x14ac:dyDescent="0.35">
      <c r="A34" s="46" t="s">
        <v>24</v>
      </c>
      <c r="C34" s="97">
        <v>0</v>
      </c>
      <c r="D34" s="253"/>
      <c r="E34" s="353">
        <f>'[5]May 2024'!$G43+'[5]May 2024'!$G52</f>
        <v>0</v>
      </c>
      <c r="F34" s="353">
        <f>'[5]June 2024'!$G43+'[5]June 2024'!$G52</f>
        <v>0</v>
      </c>
      <c r="G34" s="354">
        <f>'[5]July 2024'!$G43+'[5]July 2024'!$G52</f>
        <v>0</v>
      </c>
      <c r="H34" s="355">
        <f>'[5]August 2024'!$G43+'[5]August 2024'!$G52</f>
        <v>0</v>
      </c>
      <c r="I34" s="356">
        <f>'[5]September 2024'!$G43+'[5]September 2024'!$G52</f>
        <v>0</v>
      </c>
      <c r="J34" s="174">
        <f>'[5]October 2024'!$G43+'[5]October 2024'!$G52</f>
        <v>0</v>
      </c>
      <c r="K34" s="119">
        <f>ROUND(K27*$N34,2)</f>
        <v>0</v>
      </c>
      <c r="L34" s="41">
        <f t="shared" ref="L34:M34" si="10">ROUND(L27*$N34,2)</f>
        <v>0</v>
      </c>
      <c r="M34" s="61">
        <f t="shared" si="10"/>
        <v>0</v>
      </c>
      <c r="N34" s="72">
        <v>0</v>
      </c>
      <c r="P34" s="47">
        <f t="shared" ref="P34:P40" si="11">-SUM(K34:M34)</f>
        <v>0</v>
      </c>
    </row>
    <row r="35" spans="1:16" x14ac:dyDescent="0.35">
      <c r="A35" s="46" t="s">
        <v>104</v>
      </c>
      <c r="C35" s="97">
        <v>0</v>
      </c>
      <c r="D35" s="253"/>
      <c r="E35" s="353">
        <f>'[5]May 2024'!$G44+'[5]May 2024'!$G53</f>
        <v>-3.1086244689504383E-15</v>
      </c>
      <c r="F35" s="353">
        <f>'[5]June 2024'!$G44+'[5]June 2024'!$G53</f>
        <v>0</v>
      </c>
      <c r="G35" s="354">
        <f>'[5]July 2024'!$G44+'[5]July 2024'!$G53</f>
        <v>0</v>
      </c>
      <c r="H35" s="355">
        <f>'[5]August 2024'!$G44+'[5]August 2024'!$G53</f>
        <v>0</v>
      </c>
      <c r="I35" s="356">
        <f>'[5]September 2024'!$G44+'[5]September 2024'!$G53</f>
        <v>0</v>
      </c>
      <c r="J35" s="174">
        <f>'[5]October 2024'!$G44+'[5]October 2024'!$G53</f>
        <v>0</v>
      </c>
      <c r="K35" s="119">
        <f t="shared" ref="K35:M35" si="12">ROUND(K28*$N35,2)</f>
        <v>0</v>
      </c>
      <c r="L35" s="41">
        <f t="shared" si="12"/>
        <v>0</v>
      </c>
      <c r="M35" s="61">
        <f t="shared" si="12"/>
        <v>0</v>
      </c>
      <c r="N35" s="72">
        <v>0</v>
      </c>
      <c r="P35" s="47">
        <f t="shared" si="11"/>
        <v>0</v>
      </c>
    </row>
    <row r="36" spans="1:16" x14ac:dyDescent="0.35">
      <c r="A36" s="46" t="s">
        <v>105</v>
      </c>
      <c r="C36" s="97">
        <v>0</v>
      </c>
      <c r="D36" s="253"/>
      <c r="E36" s="353">
        <f>'[5]May 2024'!$G45+'[5]May 2024'!$G54</f>
        <v>0</v>
      </c>
      <c r="F36" s="353">
        <f>'[5]June 2024'!$G45+'[5]June 2024'!$G54</f>
        <v>0</v>
      </c>
      <c r="G36" s="354">
        <f>'[5]July 2024'!$G45+'[5]July 2024'!$G54</f>
        <v>0</v>
      </c>
      <c r="H36" s="355">
        <f>'[5]August 2024'!$G45+'[5]August 2024'!$G54</f>
        <v>0</v>
      </c>
      <c r="I36" s="356">
        <f>'[5]September 2024'!$G45+'[5]September 2024'!$G54</f>
        <v>0</v>
      </c>
      <c r="J36" s="174">
        <f>'[5]October 2024'!$G45+'[5]October 2024'!$G54</f>
        <v>0</v>
      </c>
      <c r="K36" s="119">
        <f t="shared" ref="K36:M36" si="13">ROUND(K29*$N36,2)</f>
        <v>0</v>
      </c>
      <c r="L36" s="41">
        <f t="shared" si="13"/>
        <v>0</v>
      </c>
      <c r="M36" s="61">
        <f t="shared" si="13"/>
        <v>0</v>
      </c>
      <c r="N36" s="72">
        <v>0</v>
      </c>
      <c r="P36" s="47">
        <f t="shared" si="11"/>
        <v>0</v>
      </c>
    </row>
    <row r="37" spans="1:16" x14ac:dyDescent="0.35">
      <c r="A37" s="46" t="s">
        <v>106</v>
      </c>
      <c r="C37" s="97">
        <v>0</v>
      </c>
      <c r="D37" s="253"/>
      <c r="E37" s="353">
        <f>'[5]May 2024'!$G46+'[5]May 2024'!$G55</f>
        <v>0</v>
      </c>
      <c r="F37" s="353">
        <f>'[5]June 2024'!$G46+'[5]June 2024'!$G55</f>
        <v>0</v>
      </c>
      <c r="G37" s="354">
        <f>'[5]July 2024'!$G46+'[5]July 2024'!$G55</f>
        <v>0</v>
      </c>
      <c r="H37" s="355">
        <f>'[5]August 2024'!$G46+'[5]August 2024'!$G55</f>
        <v>0</v>
      </c>
      <c r="I37" s="356">
        <f>'[5]September 2024'!$G46+'[5]September 2024'!$G55</f>
        <v>0</v>
      </c>
      <c r="J37" s="174">
        <f>'[5]October 2024'!$G46+'[5]October 2024'!$G55</f>
        <v>0</v>
      </c>
      <c r="K37" s="119">
        <f t="shared" ref="K37:M37" si="14">ROUND(K30*$N37,2)</f>
        <v>0</v>
      </c>
      <c r="L37" s="41">
        <f t="shared" si="14"/>
        <v>0</v>
      </c>
      <c r="M37" s="61">
        <f t="shared" si="14"/>
        <v>0</v>
      </c>
      <c r="N37" s="72">
        <v>0</v>
      </c>
      <c r="P37" s="47">
        <f t="shared" si="11"/>
        <v>0</v>
      </c>
    </row>
    <row r="38" spans="1:16" x14ac:dyDescent="0.35">
      <c r="A38" s="46" t="s">
        <v>107</v>
      </c>
      <c r="C38" s="97">
        <v>0</v>
      </c>
      <c r="D38" s="253"/>
      <c r="E38" s="353">
        <f>'[5]May 2024'!$G47+'[5]May 2024'!$G56</f>
        <v>-7.815970093361102E-14</v>
      </c>
      <c r="F38" s="353">
        <f>'[5]June 2024'!$G47+'[5]June 2024'!$G56</f>
        <v>6.2172489379008766E-15</v>
      </c>
      <c r="G38" s="354">
        <f>'[5]July 2024'!$G47+'[5]July 2024'!$G56</f>
        <v>-3.5527136788005009E-15</v>
      </c>
      <c r="H38" s="355">
        <f>'[5]August 2024'!$G47+'[5]August 2024'!$G56</f>
        <v>8.8817841970012523E-16</v>
      </c>
      <c r="I38" s="356">
        <f>'[5]September 2024'!$G47+'[5]September 2024'!$G56</f>
        <v>0</v>
      </c>
      <c r="J38" s="174">
        <f>'[5]October 2024'!$G47+'[5]October 2024'!$G56</f>
        <v>-6.2172489379008766E-15</v>
      </c>
      <c r="K38" s="119">
        <f>ROUND(K31*$N38,2)</f>
        <v>0</v>
      </c>
      <c r="L38" s="41">
        <f t="shared" ref="L38:M38" si="15">ROUND(L31*$N38,2)</f>
        <v>0</v>
      </c>
      <c r="M38" s="61">
        <f t="shared" si="15"/>
        <v>0</v>
      </c>
      <c r="N38" s="72">
        <v>0</v>
      </c>
      <c r="P38" s="47">
        <f t="shared" si="11"/>
        <v>0</v>
      </c>
    </row>
    <row r="39" spans="1:16" x14ac:dyDescent="0.35">
      <c r="C39" s="67"/>
      <c r="D39" s="68"/>
      <c r="E39" s="18"/>
      <c r="F39" s="18"/>
      <c r="G39" s="18"/>
      <c r="H39" s="91"/>
      <c r="I39" s="18"/>
      <c r="J39" s="11"/>
      <c r="K39" s="56"/>
      <c r="L39" s="56"/>
      <c r="M39" s="13"/>
      <c r="N39" s="4"/>
    </row>
    <row r="40" spans="1:16" ht="15" thickBot="1" x14ac:dyDescent="0.4">
      <c r="A40" s="46" t="s">
        <v>14</v>
      </c>
      <c r="C40" s="102">
        <v>0</v>
      </c>
      <c r="D40" s="257"/>
      <c r="E40" s="111">
        <v>0</v>
      </c>
      <c r="F40" s="111">
        <v>0</v>
      </c>
      <c r="G40" s="112">
        <v>0</v>
      </c>
      <c r="H40" s="26">
        <v>0</v>
      </c>
      <c r="I40" s="118">
        <v>0</v>
      </c>
      <c r="J40" s="175">
        <v>0</v>
      </c>
      <c r="K40" s="173">
        <v>0</v>
      </c>
      <c r="L40" s="137">
        <v>0</v>
      </c>
      <c r="M40" s="81">
        <v>0</v>
      </c>
      <c r="P40" s="47">
        <f t="shared" si="11"/>
        <v>0</v>
      </c>
    </row>
    <row r="41" spans="1:16" x14ac:dyDescent="0.35">
      <c r="C41" s="99"/>
      <c r="D41" s="146"/>
      <c r="E41" s="31"/>
      <c r="F41" s="31"/>
      <c r="G41" s="31"/>
      <c r="H41" s="28"/>
      <c r="I41" s="31"/>
      <c r="J41" s="11"/>
      <c r="K41" s="17"/>
      <c r="L41" s="17"/>
      <c r="M41" s="11"/>
    </row>
    <row r="42" spans="1:16" x14ac:dyDescent="0.35">
      <c r="A42" s="46" t="s">
        <v>51</v>
      </c>
      <c r="C42" s="99"/>
      <c r="D42" s="146"/>
      <c r="E42" s="31"/>
      <c r="F42" s="31"/>
      <c r="G42" s="31"/>
      <c r="H42" s="28"/>
      <c r="I42" s="31"/>
      <c r="J42" s="11"/>
      <c r="K42" s="17"/>
      <c r="L42" s="17"/>
      <c r="M42" s="11"/>
    </row>
    <row r="43" spans="1:16" x14ac:dyDescent="0.35">
      <c r="A43" s="46" t="s">
        <v>24</v>
      </c>
      <c r="C43" s="40">
        <f t="shared" ref="C43:M43" si="16">C23-C34</f>
        <v>0</v>
      </c>
      <c r="D43" s="119">
        <v>0</v>
      </c>
      <c r="E43" s="41">
        <f t="shared" si="16"/>
        <v>0</v>
      </c>
      <c r="F43" s="41">
        <f t="shared" si="16"/>
        <v>0</v>
      </c>
      <c r="G43" s="107">
        <f t="shared" si="16"/>
        <v>0</v>
      </c>
      <c r="H43" s="40">
        <f t="shared" si="16"/>
        <v>0</v>
      </c>
      <c r="I43" s="41">
        <f t="shared" si="16"/>
        <v>0</v>
      </c>
      <c r="J43" s="61">
        <f t="shared" si="16"/>
        <v>0</v>
      </c>
      <c r="K43" s="119">
        <f t="shared" si="16"/>
        <v>0</v>
      </c>
      <c r="L43" s="41">
        <f t="shared" si="16"/>
        <v>0</v>
      </c>
      <c r="M43" s="49">
        <f t="shared" si="16"/>
        <v>0</v>
      </c>
    </row>
    <row r="44" spans="1:16" x14ac:dyDescent="0.35">
      <c r="A44" s="46" t="s">
        <v>25</v>
      </c>
      <c r="C44" s="40">
        <f>C24-SUM(C35:C38)</f>
        <v>0</v>
      </c>
      <c r="D44" s="119">
        <f>-D43</f>
        <v>0</v>
      </c>
      <c r="E44" s="41">
        <f>E24-SUM(E35:E38)</f>
        <v>8.1268325402561459E-14</v>
      </c>
      <c r="F44" s="41">
        <f t="shared" ref="F44:M44" si="17">F24-SUM(F35:F38)</f>
        <v>-6.2172489379008766E-15</v>
      </c>
      <c r="G44" s="107">
        <f t="shared" si="17"/>
        <v>3.5527136788005009E-15</v>
      </c>
      <c r="H44" s="40">
        <f t="shared" si="17"/>
        <v>-8.8817841970012523E-16</v>
      </c>
      <c r="I44" s="41">
        <f t="shared" si="17"/>
        <v>0</v>
      </c>
      <c r="J44" s="61">
        <f t="shared" si="17"/>
        <v>6.2172489379008766E-15</v>
      </c>
      <c r="K44" s="119">
        <f t="shared" si="17"/>
        <v>0</v>
      </c>
      <c r="L44" s="41">
        <f t="shared" si="17"/>
        <v>0</v>
      </c>
      <c r="M44" s="49">
        <f t="shared" si="17"/>
        <v>0</v>
      </c>
    </row>
    <row r="45" spans="1:16" x14ac:dyDescent="0.35">
      <c r="C45" s="99"/>
      <c r="D45" s="146"/>
      <c r="E45" s="31"/>
      <c r="F45" s="31"/>
      <c r="G45" s="31"/>
      <c r="H45" s="28"/>
      <c r="I45" s="31"/>
      <c r="J45" s="11"/>
      <c r="K45" s="17"/>
      <c r="L45" s="17"/>
      <c r="M45" s="11"/>
    </row>
    <row r="46" spans="1:16" ht="15" thickBot="1" x14ac:dyDescent="0.4">
      <c r="A46" s="46" t="s">
        <v>52</v>
      </c>
      <c r="C46" s="103"/>
      <c r="D46" s="258"/>
      <c r="E46" s="31"/>
      <c r="F46" s="31"/>
      <c r="G46" s="31"/>
      <c r="H46" s="28"/>
      <c r="I46" s="31"/>
      <c r="J46" s="11"/>
      <c r="K46" s="17"/>
      <c r="L46" s="17"/>
      <c r="M46" s="11"/>
    </row>
    <row r="47" spans="1:16" x14ac:dyDescent="0.35">
      <c r="A47" s="46" t="s">
        <v>24</v>
      </c>
      <c r="B47" s="297">
        <v>0</v>
      </c>
      <c r="C47" s="41">
        <f>B47+C43+B52</f>
        <v>0</v>
      </c>
      <c r="D47" s="41">
        <f>C47+D43+C52</f>
        <v>0</v>
      </c>
      <c r="E47" s="41">
        <f t="shared" ref="E47" si="18">D47+E43+D52</f>
        <v>0</v>
      </c>
      <c r="F47" s="41">
        <f t="shared" ref="F47" si="19">E47+F43+E52</f>
        <v>0</v>
      </c>
      <c r="G47" s="107">
        <f t="shared" ref="G47:M47" si="20">F47+G43+F52</f>
        <v>0</v>
      </c>
      <c r="H47" s="281">
        <f>G47+H43+G52</f>
        <v>0</v>
      </c>
      <c r="I47" s="282">
        <f t="shared" si="20"/>
        <v>0</v>
      </c>
      <c r="J47" s="61">
        <f t="shared" si="20"/>
        <v>0</v>
      </c>
      <c r="K47" s="119">
        <f t="shared" si="20"/>
        <v>0</v>
      </c>
      <c r="L47" s="41">
        <f t="shared" si="20"/>
        <v>0</v>
      </c>
      <c r="M47" s="49">
        <f t="shared" si="20"/>
        <v>0</v>
      </c>
    </row>
    <row r="48" spans="1:16" ht="15" thickBot="1" x14ac:dyDescent="0.4">
      <c r="A48" s="46" t="s">
        <v>25</v>
      </c>
      <c r="B48" s="298">
        <v>0</v>
      </c>
      <c r="C48" s="41">
        <f>B48+C44+B53</f>
        <v>0</v>
      </c>
      <c r="D48" s="41">
        <f>C48+D44+C53</f>
        <v>0</v>
      </c>
      <c r="E48" s="41">
        <f>C48+D44+E44+C53+D53</f>
        <v>8.1268325402561459E-14</v>
      </c>
      <c r="F48" s="41">
        <f t="shared" ref="F48:M48" si="21">E48+F44+E53</f>
        <v>7.5051076464660582E-14</v>
      </c>
      <c r="G48" s="107">
        <f t="shared" si="21"/>
        <v>7.8603790143461083E-14</v>
      </c>
      <c r="H48" s="40">
        <f t="shared" si="21"/>
        <v>7.7715611723760958E-14</v>
      </c>
      <c r="I48" s="41">
        <f t="shared" si="21"/>
        <v>7.7715611723760958E-14</v>
      </c>
      <c r="J48" s="61">
        <f t="shared" si="21"/>
        <v>8.3932860661661834E-14</v>
      </c>
      <c r="K48" s="119">
        <f t="shared" si="21"/>
        <v>8.3932860661661834E-14</v>
      </c>
      <c r="L48" s="41">
        <f t="shared" si="21"/>
        <v>8.3932860661661834E-14</v>
      </c>
      <c r="M48" s="49">
        <f t="shared" si="21"/>
        <v>8.3932860661661834E-14</v>
      </c>
    </row>
    <row r="49" spans="1:16" x14ac:dyDescent="0.35">
      <c r="C49" s="99"/>
      <c r="D49" s="146"/>
      <c r="E49" s="31"/>
      <c r="F49" s="31"/>
      <c r="G49" s="31"/>
      <c r="H49" s="28"/>
      <c r="I49" s="31"/>
      <c r="J49" s="11"/>
      <c r="K49" s="17"/>
      <c r="L49" s="17"/>
      <c r="M49" s="11"/>
    </row>
    <row r="50" spans="1:16" x14ac:dyDescent="0.35">
      <c r="A50" s="39" t="s">
        <v>48</v>
      </c>
      <c r="B50" s="39"/>
      <c r="C50" s="103"/>
      <c r="D50" s="258"/>
      <c r="E50" s="83">
        <f>+'[6]Metro ST Rate May 2024'!$E$44</f>
        <v>5.4564799999999997E-3</v>
      </c>
      <c r="F50" s="83">
        <f>+'[6]Metro ST Rate June 2024'!$E$44</f>
        <v>5.4667700000000001E-3</v>
      </c>
      <c r="G50" s="83">
        <f>+'[6]Metro ST Rate July 2024'!$E$44</f>
        <v>5.46883E-3</v>
      </c>
      <c r="H50" s="84">
        <f>+'[6]Metro ST Rate Aug 2024'!$E$44</f>
        <v>5.4406000000000003E-3</v>
      </c>
      <c r="I50" s="83">
        <f>+'[6]Metro ST Rate Sep 2024'!$E$43</f>
        <v>5.1888699999999999E-3</v>
      </c>
      <c r="J50" s="92">
        <f>+'[6]Metro ST Rate Oct 2024'!$E$44</f>
        <v>4.9961500000000004E-3</v>
      </c>
      <c r="K50" s="83">
        <f>+J50</f>
        <v>4.9961500000000004E-3</v>
      </c>
      <c r="L50" s="83">
        <f>+K50</f>
        <v>4.9961500000000004E-3</v>
      </c>
      <c r="M50" s="92"/>
    </row>
    <row r="51" spans="1:16" x14ac:dyDescent="0.35">
      <c r="A51" s="39" t="s">
        <v>36</v>
      </c>
      <c r="B51" s="39"/>
      <c r="C51" s="99"/>
      <c r="D51" s="146"/>
      <c r="E51" s="31"/>
      <c r="F51" s="31"/>
      <c r="G51" s="31"/>
      <c r="H51" s="28"/>
      <c r="I51" s="31"/>
      <c r="J51" s="11"/>
      <c r="K51" s="17"/>
      <c r="L51" s="17"/>
      <c r="M51" s="11"/>
      <c r="N51" s="71"/>
    </row>
    <row r="52" spans="1:16" x14ac:dyDescent="0.35">
      <c r="A52" s="46" t="s">
        <v>24</v>
      </c>
      <c r="C52" s="295">
        <v>0</v>
      </c>
      <c r="D52" s="119"/>
      <c r="E52" s="41">
        <f>ROUND((C47+C52+D52+E43/2)*E$50,2)</f>
        <v>0</v>
      </c>
      <c r="F52" s="41">
        <f t="shared" ref="F52:F53" si="22">ROUND((E47+E52+F43/2)*F$50,2)</f>
        <v>0</v>
      </c>
      <c r="G52" s="107">
        <f t="shared" ref="G52:G53" si="23">ROUND((F47+F52+G43/2)*G$50,2)</f>
        <v>0</v>
      </c>
      <c r="H52" s="40">
        <f>ROUND((G47+G52+H43/2)*H$50,2)*0</f>
        <v>0</v>
      </c>
      <c r="I52" s="119">
        <f t="shared" ref="I52:J53" si="24">ROUND((H47+H52+I43/2)*I$50,2)</f>
        <v>0</v>
      </c>
      <c r="J52" s="61">
        <f t="shared" si="24"/>
        <v>0</v>
      </c>
      <c r="K52" s="119">
        <f t="shared" ref="K52:K53" si="25">ROUND((J47+J52+K43/2)*K$50,2)</f>
        <v>0</v>
      </c>
      <c r="L52" s="119">
        <f t="shared" ref="L52:L53" si="26">ROUND((K47+K52+L43/2)*L$50,2)</f>
        <v>0</v>
      </c>
      <c r="M52" s="49"/>
      <c r="P52" s="47">
        <f t="shared" ref="P52:P53" si="27">-SUM(K52:M52)</f>
        <v>0</v>
      </c>
    </row>
    <row r="53" spans="1:16" ht="15" thickBot="1" x14ac:dyDescent="0.4">
      <c r="A53" s="46" t="s">
        <v>25</v>
      </c>
      <c r="C53" s="296">
        <v>0</v>
      </c>
      <c r="D53" s="259"/>
      <c r="E53" s="41">
        <f>ROUND((C48+C53+D53+E44/2)*E$50,2)</f>
        <v>0</v>
      </c>
      <c r="F53" s="41">
        <f t="shared" si="22"/>
        <v>0</v>
      </c>
      <c r="G53" s="107">
        <f t="shared" si="23"/>
        <v>0</v>
      </c>
      <c r="H53" s="40">
        <f>ROUND((G48+G53+H44/2)*H$50,2)*0</f>
        <v>0</v>
      </c>
      <c r="I53" s="119">
        <f t="shared" si="24"/>
        <v>0</v>
      </c>
      <c r="J53" s="61">
        <f t="shared" si="24"/>
        <v>0</v>
      </c>
      <c r="K53" s="119">
        <f t="shared" si="25"/>
        <v>0</v>
      </c>
      <c r="L53" s="119">
        <f t="shared" si="26"/>
        <v>0</v>
      </c>
      <c r="M53" s="49"/>
      <c r="P53" s="47">
        <f t="shared" si="27"/>
        <v>0</v>
      </c>
    </row>
    <row r="54" spans="1:16" ht="15.5" thickTop="1" thickBot="1" x14ac:dyDescent="0.4">
      <c r="A54" s="54" t="s">
        <v>22</v>
      </c>
      <c r="B54" s="54"/>
      <c r="C54" s="284"/>
      <c r="D54" s="260"/>
      <c r="E54" s="32">
        <f t="shared" ref="E54:M54" si="28">SUM(E52:E53)+SUM(E47:E48)-E57</f>
        <v>0</v>
      </c>
      <c r="F54" s="32">
        <f t="shared" si="28"/>
        <v>0</v>
      </c>
      <c r="G54" s="50">
        <f t="shared" si="28"/>
        <v>0</v>
      </c>
      <c r="H54" s="120">
        <f t="shared" si="28"/>
        <v>0</v>
      </c>
      <c r="I54" s="32">
        <f t="shared" si="28"/>
        <v>0</v>
      </c>
      <c r="J54" s="62">
        <f t="shared" si="28"/>
        <v>0</v>
      </c>
      <c r="K54" s="160">
        <f t="shared" si="28"/>
        <v>0</v>
      </c>
      <c r="L54" s="32">
        <f t="shared" si="28"/>
        <v>0</v>
      </c>
      <c r="M54" s="96">
        <f t="shared" si="28"/>
        <v>0</v>
      </c>
    </row>
    <row r="55" spans="1:16" ht="15.5" thickTop="1" thickBot="1" x14ac:dyDescent="0.4">
      <c r="A55" s="54" t="s">
        <v>23</v>
      </c>
      <c r="B55" s="54"/>
      <c r="C55" s="285"/>
      <c r="D55" s="261"/>
      <c r="E55" s="32">
        <f t="shared" ref="E55:M55" si="29">SUM(E52:E53)-E40</f>
        <v>0</v>
      </c>
      <c r="F55" s="32">
        <f t="shared" si="29"/>
        <v>0</v>
      </c>
      <c r="G55" s="50">
        <f t="shared" si="29"/>
        <v>0</v>
      </c>
      <c r="H55" s="51">
        <f t="shared" si="29"/>
        <v>0</v>
      </c>
      <c r="I55" s="32">
        <f t="shared" si="29"/>
        <v>0</v>
      </c>
      <c r="J55" s="62">
        <f t="shared" si="29"/>
        <v>0</v>
      </c>
      <c r="K55" s="160">
        <f t="shared" si="29"/>
        <v>0</v>
      </c>
      <c r="L55" s="32">
        <f t="shared" si="29"/>
        <v>0</v>
      </c>
      <c r="M55" s="96">
        <f t="shared" si="29"/>
        <v>0</v>
      </c>
    </row>
    <row r="56" spans="1:16" ht="15.5" thickTop="1" thickBot="1" x14ac:dyDescent="0.4">
      <c r="C56" s="99"/>
      <c r="D56" s="146"/>
      <c r="E56" s="17"/>
      <c r="F56" s="17"/>
      <c r="G56" s="17"/>
      <c r="H56" s="10"/>
      <c r="I56" s="17"/>
      <c r="J56" s="11"/>
      <c r="K56" s="17"/>
      <c r="L56" s="17"/>
      <c r="M56" s="11"/>
    </row>
    <row r="57" spans="1:16" ht="15" thickBot="1" x14ac:dyDescent="0.4">
      <c r="A57" s="46" t="s">
        <v>35</v>
      </c>
      <c r="B57" s="115">
        <f>+B47+B48</f>
        <v>0</v>
      </c>
      <c r="C57" s="40">
        <f t="shared" ref="C57:M57" si="30">(SUM(C16:C20)-SUM(C34:C38))+SUM(C52:C53)+B57</f>
        <v>0</v>
      </c>
      <c r="D57" s="40">
        <f t="shared" si="30"/>
        <v>0</v>
      </c>
      <c r="E57" s="41">
        <f>(SUM(E16:E20)-SUM(E34:E38))+SUM(D52:E53)+C57</f>
        <v>8.1268325402561459E-14</v>
      </c>
      <c r="F57" s="41">
        <f t="shared" si="30"/>
        <v>7.5051076464660582E-14</v>
      </c>
      <c r="G57" s="107">
        <f t="shared" si="30"/>
        <v>7.8603790143461083E-14</v>
      </c>
      <c r="H57" s="40">
        <f t="shared" si="30"/>
        <v>7.7715611723760958E-14</v>
      </c>
      <c r="I57" s="41">
        <f t="shared" si="30"/>
        <v>7.7715611723760958E-14</v>
      </c>
      <c r="J57" s="61">
        <f t="shared" si="30"/>
        <v>8.3932860661661834E-14</v>
      </c>
      <c r="K57" s="119">
        <f t="shared" si="30"/>
        <v>8.3932860661661834E-14</v>
      </c>
      <c r="L57" s="41">
        <f t="shared" si="30"/>
        <v>8.3932860661661834E-14</v>
      </c>
      <c r="M57" s="61">
        <f t="shared" si="30"/>
        <v>8.3932860661661834E-14</v>
      </c>
    </row>
    <row r="58" spans="1:16" x14ac:dyDescent="0.35">
      <c r="A58" s="46" t="s">
        <v>12</v>
      </c>
      <c r="C58" s="116"/>
      <c r="D58" s="17"/>
      <c r="E58" s="56"/>
      <c r="F58" s="56"/>
      <c r="G58" s="56"/>
      <c r="H58" s="12"/>
      <c r="I58" s="56"/>
      <c r="J58" s="11"/>
      <c r="K58" s="17"/>
      <c r="L58" s="17"/>
      <c r="M58" s="11"/>
    </row>
    <row r="59" spans="1:16" ht="15" thickBot="1" x14ac:dyDescent="0.4">
      <c r="B59" s="17"/>
      <c r="C59" s="43"/>
      <c r="D59" s="44"/>
      <c r="E59" s="44"/>
      <c r="F59" s="44"/>
      <c r="G59" s="44"/>
      <c r="H59" s="43"/>
      <c r="I59" s="44"/>
      <c r="J59" s="45"/>
      <c r="K59" s="44"/>
      <c r="L59" s="44"/>
      <c r="M59" s="45"/>
    </row>
    <row r="61" spans="1:16" x14ac:dyDescent="0.35">
      <c r="A61" s="69" t="s">
        <v>11</v>
      </c>
      <c r="B61" s="69"/>
      <c r="C61" s="69"/>
      <c r="D61" s="69"/>
    </row>
    <row r="62" spans="1:16" ht="37.5" customHeight="1" x14ac:dyDescent="0.35">
      <c r="A62" s="381" t="s">
        <v>187</v>
      </c>
      <c r="B62" s="381"/>
      <c r="C62" s="381"/>
      <c r="D62" s="381"/>
      <c r="E62" s="381"/>
      <c r="F62" s="381"/>
      <c r="G62" s="381"/>
      <c r="H62" s="381"/>
      <c r="I62" s="381"/>
      <c r="J62" s="381"/>
      <c r="K62" s="141"/>
      <c r="L62" s="141"/>
      <c r="M62" s="141"/>
    </row>
    <row r="63" spans="1:16" ht="68.25" customHeight="1" x14ac:dyDescent="0.35">
      <c r="A63" s="381" t="s">
        <v>324</v>
      </c>
      <c r="B63" s="381"/>
      <c r="C63" s="381"/>
      <c r="D63" s="381"/>
      <c r="E63" s="381"/>
      <c r="F63" s="381"/>
      <c r="G63" s="381"/>
      <c r="H63" s="381"/>
      <c r="I63" s="381"/>
      <c r="J63" s="381"/>
      <c r="K63" s="141"/>
      <c r="L63" s="141"/>
      <c r="M63" s="141"/>
    </row>
    <row r="64" spans="1:16" ht="58.5" customHeight="1" x14ac:dyDescent="0.35">
      <c r="A64" s="381" t="s">
        <v>254</v>
      </c>
      <c r="B64" s="381"/>
      <c r="C64" s="381"/>
      <c r="D64" s="381"/>
      <c r="E64" s="381"/>
      <c r="F64" s="381"/>
      <c r="G64" s="381"/>
      <c r="H64" s="381"/>
      <c r="I64" s="381"/>
      <c r="J64" s="381"/>
      <c r="K64" s="141"/>
      <c r="L64" s="141"/>
      <c r="M64" s="141"/>
    </row>
    <row r="65" spans="1:14" x14ac:dyDescent="0.35">
      <c r="A65" s="381" t="s">
        <v>258</v>
      </c>
      <c r="B65" s="381"/>
      <c r="C65" s="381"/>
      <c r="D65" s="381"/>
      <c r="E65" s="381"/>
      <c r="F65" s="381"/>
      <c r="G65" s="381"/>
      <c r="H65" s="381"/>
      <c r="I65" s="381"/>
      <c r="J65" s="381"/>
    </row>
    <row r="66" spans="1:14" x14ac:dyDescent="0.35">
      <c r="A66" s="63" t="s">
        <v>285</v>
      </c>
      <c r="B66" s="63"/>
      <c r="C66" s="63"/>
      <c r="D66" s="63"/>
      <c r="E66" s="39"/>
      <c r="F66" s="39"/>
      <c r="G66" s="39"/>
      <c r="H66" s="39"/>
      <c r="I66" s="39"/>
      <c r="J66" s="323"/>
    </row>
    <row r="67" spans="1:14" x14ac:dyDescent="0.35">
      <c r="A67" s="63" t="s">
        <v>50</v>
      </c>
      <c r="B67" s="63"/>
      <c r="C67" s="63"/>
      <c r="D67" s="63"/>
      <c r="E67" s="39"/>
      <c r="F67" s="39"/>
      <c r="G67" s="39"/>
      <c r="H67" s="39"/>
      <c r="I67" s="39"/>
      <c r="J67" s="323"/>
    </row>
    <row r="68" spans="1:14" x14ac:dyDescent="0.35">
      <c r="A68" s="3" t="s">
        <v>181</v>
      </c>
    </row>
    <row r="70" spans="1:14" ht="30" customHeight="1" x14ac:dyDescent="0.35">
      <c r="A70" s="377"/>
      <c r="B70" s="377"/>
      <c r="C70" s="377"/>
      <c r="D70" s="377"/>
      <c r="E70" s="377"/>
      <c r="F70" s="377"/>
      <c r="G70" s="377"/>
    </row>
    <row r="77" spans="1:14" x14ac:dyDescent="0.35">
      <c r="N77" s="8"/>
    </row>
  </sheetData>
  <mergeCells count="8">
    <mergeCell ref="A70:G70"/>
    <mergeCell ref="K14:M14"/>
    <mergeCell ref="A64:J64"/>
    <mergeCell ref="E14:G14"/>
    <mergeCell ref="A62:J62"/>
    <mergeCell ref="A63:J63"/>
    <mergeCell ref="H14:J14"/>
    <mergeCell ref="A65:J65"/>
  </mergeCells>
  <pageMargins left="0.2" right="0.2" top="0.75" bottom="0.25" header="0.3" footer="0.3"/>
  <pageSetup scale="45" orientation="landscape" r:id="rId1"/>
  <headerFooter>
    <oddHeader>&amp;C&amp;F &amp;A&amp;R&amp;"Arial"&amp;10&amp;K000000CONFIDENTIAL</oddHeader>
    <oddFooter>&amp;R&amp;1#&amp;"Calibri"&amp;10&amp;KA80000Internal Use Only</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9C4E1-90E8-4BE1-9A03-35F6C8CFD73D}">
  <sheetPr>
    <pageSetUpPr fitToPage="1"/>
  </sheetPr>
  <dimension ref="A1:AJ81"/>
  <sheetViews>
    <sheetView zoomScale="85" zoomScaleNormal="85" workbookViewId="0">
      <selection activeCell="Q16" sqref="Q16"/>
    </sheetView>
  </sheetViews>
  <sheetFormatPr defaultColWidth="9.1796875" defaultRowHeight="14.5" outlineLevelCol="1" x14ac:dyDescent="0.35"/>
  <cols>
    <col min="1" max="1" width="54.54296875" style="46" customWidth="1"/>
    <col min="2" max="2" width="14.7265625" style="46" customWidth="1"/>
    <col min="3" max="3" width="15" style="46" customWidth="1"/>
    <col min="4" max="4" width="15" style="46" hidden="1" customWidth="1" outlineLevel="1"/>
    <col min="5" max="5" width="15.26953125" style="46" customWidth="1" collapsed="1"/>
    <col min="6" max="6" width="15.81640625" style="46" customWidth="1"/>
    <col min="7" max="7" width="17.54296875" style="46" customWidth="1"/>
    <col min="8" max="9" width="13.26953125" style="46" customWidth="1"/>
    <col min="10" max="10" width="15.7265625" style="46" customWidth="1"/>
    <col min="11" max="12" width="12.54296875" style="46" bestFit="1" customWidth="1"/>
    <col min="13" max="13" width="14.453125" style="46" customWidth="1"/>
    <col min="14" max="14" width="15" style="46" bestFit="1" customWidth="1"/>
    <col min="15" max="15" width="16.26953125" style="46" bestFit="1" customWidth="1"/>
    <col min="16" max="16" width="16.26953125" style="46" hidden="1" customWidth="1" outlineLevel="1"/>
    <col min="17" max="17" width="16.1796875" style="46" customWidth="1" collapsed="1"/>
    <col min="18" max="18" width="17.26953125" style="46" bestFit="1" customWidth="1"/>
    <col min="19" max="19" width="17.453125" style="46" customWidth="1"/>
    <col min="20" max="20" width="15.54296875" style="46" customWidth="1"/>
    <col min="21" max="21" width="13" style="46" customWidth="1"/>
    <col min="22" max="22" width="9.1796875" style="46"/>
    <col min="23" max="23" width="14.26953125" style="46" bestFit="1" customWidth="1"/>
    <col min="24" max="16384" width="9.1796875" style="46"/>
  </cols>
  <sheetData>
    <row r="1" spans="1:36" x14ac:dyDescent="0.35">
      <c r="A1" s="3" t="str">
        <f>+'PPC Cycle 3'!A1</f>
        <v>Evergy Metro, Inc. - DSIM Rider Update Filed 12/01/2024</v>
      </c>
      <c r="B1" s="3"/>
      <c r="C1" s="3"/>
      <c r="D1" s="3"/>
    </row>
    <row r="2" spans="1:36" x14ac:dyDescent="0.35">
      <c r="E2" s="3" t="s">
        <v>136</v>
      </c>
    </row>
    <row r="3" spans="1:36" ht="29" x14ac:dyDescent="0.35">
      <c r="E3" s="48" t="s">
        <v>45</v>
      </c>
      <c r="F3" s="48" t="s">
        <v>44</v>
      </c>
      <c r="G3" s="70" t="s">
        <v>2</v>
      </c>
      <c r="H3" s="48" t="s">
        <v>3</v>
      </c>
      <c r="I3" s="70" t="s">
        <v>54</v>
      </c>
      <c r="J3" s="48" t="s">
        <v>10</v>
      </c>
      <c r="K3" s="48" t="s">
        <v>4</v>
      </c>
    </row>
    <row r="4" spans="1:36" x14ac:dyDescent="0.35">
      <c r="A4" s="20" t="s">
        <v>24</v>
      </c>
      <c r="E4" s="22">
        <f>SUM(C29:M29)</f>
        <v>2629987.6500000004</v>
      </c>
      <c r="F4" s="133">
        <f>SUM(C22:M22)</f>
        <v>1422237876.8789501</v>
      </c>
      <c r="G4" s="22">
        <f>SUM(C15:L15)</f>
        <v>4309410.5200000005</v>
      </c>
      <c r="H4" s="22">
        <f>G4-E4</f>
        <v>1679422.87</v>
      </c>
      <c r="I4" s="22">
        <f>+B45</f>
        <v>717155.78000000038</v>
      </c>
      <c r="J4" s="22">
        <f>SUM(C53:L53)</f>
        <v>59635.08</v>
      </c>
      <c r="K4" s="25">
        <f>SUM(H4:J4)</f>
        <v>2456213.7300000004</v>
      </c>
      <c r="L4" s="47">
        <f>+K4-M45</f>
        <v>0</v>
      </c>
    </row>
    <row r="5" spans="1:36" x14ac:dyDescent="0.35">
      <c r="A5" s="20" t="s">
        <v>104</v>
      </c>
      <c r="E5" s="22">
        <f>SUM(C30:M30)</f>
        <v>173510.72000000003</v>
      </c>
      <c r="F5" s="133">
        <f>SUM(C23:M23)</f>
        <v>337666501.98459995</v>
      </c>
      <c r="G5" s="22">
        <f>SUM(C16:L16)</f>
        <v>1288523.8999999999</v>
      </c>
      <c r="H5" s="22">
        <f>G5-E5</f>
        <v>1115013.18</v>
      </c>
      <c r="I5" s="22">
        <f>+B46</f>
        <v>-180499.99216020203</v>
      </c>
      <c r="J5" s="22">
        <f>SUM(C54:L54)</f>
        <v>23537.629999999997</v>
      </c>
      <c r="K5" s="25">
        <f>SUM(H5:J5)</f>
        <v>958050.81783979794</v>
      </c>
      <c r="L5" s="47">
        <f t="shared" ref="L5:L7" si="0">+K5-M46</f>
        <v>0</v>
      </c>
    </row>
    <row r="6" spans="1:36" x14ac:dyDescent="0.35">
      <c r="A6" s="20" t="s">
        <v>105</v>
      </c>
      <c r="E6" s="22">
        <f>SUM(C31:M31)</f>
        <v>1097344.8699999999</v>
      </c>
      <c r="F6" s="133">
        <f>SUM(C24:M24)</f>
        <v>573089759.45376658</v>
      </c>
      <c r="G6" s="22">
        <f>SUM(C17:L17)</f>
        <v>1343546.7</v>
      </c>
      <c r="H6" s="22">
        <f>G6-E6</f>
        <v>246201.83000000007</v>
      </c>
      <c r="I6" s="22">
        <f>+B47</f>
        <v>1215122.7800000003</v>
      </c>
      <c r="J6" s="22">
        <f>SUM(C55:L55)</f>
        <v>38782.17</v>
      </c>
      <c r="K6" s="25">
        <f>SUM(H6:J6)</f>
        <v>1500106.7800000003</v>
      </c>
      <c r="L6" s="47">
        <f t="shared" si="0"/>
        <v>0</v>
      </c>
    </row>
    <row r="7" spans="1:36" x14ac:dyDescent="0.35">
      <c r="A7" s="20" t="s">
        <v>106</v>
      </c>
      <c r="E7" s="22">
        <f>SUM(C32:M32)</f>
        <v>752275.17999999993</v>
      </c>
      <c r="F7" s="133">
        <f>SUM(C25:M25)</f>
        <v>937488273.44379997</v>
      </c>
      <c r="G7" s="22">
        <f>SUM(C18:L18)</f>
        <v>1747232.67</v>
      </c>
      <c r="H7" s="22">
        <f>G7-E7</f>
        <v>994957.49</v>
      </c>
      <c r="I7" s="22">
        <f>+B48</f>
        <v>-278162.65999999986</v>
      </c>
      <c r="J7" s="22">
        <f>SUM(C56:L56)</f>
        <v>-7031.98</v>
      </c>
      <c r="K7" s="25">
        <f>SUM(H7:J7)</f>
        <v>709762.85000000009</v>
      </c>
      <c r="L7" s="47">
        <f t="shared" si="0"/>
        <v>0</v>
      </c>
    </row>
    <row r="8" spans="1:36" ht="15" thickBot="1" x14ac:dyDescent="0.4">
      <c r="A8" s="20" t="s">
        <v>107</v>
      </c>
      <c r="E8" s="22">
        <f>SUM(C33:M33)</f>
        <v>338638.97000000003</v>
      </c>
      <c r="F8" s="133">
        <f>SUM(C26:M26)</f>
        <v>259886064.32229999</v>
      </c>
      <c r="G8" s="22">
        <f>SUM(C19:L19)</f>
        <v>219481.48000000007</v>
      </c>
      <c r="H8" s="22">
        <f>G8-E8</f>
        <v>-119157.48999999996</v>
      </c>
      <c r="I8" s="22">
        <f>+B49</f>
        <v>37650.262160202881</v>
      </c>
      <c r="J8" s="22">
        <f>SUM(C57:L57)</f>
        <v>-7880.6699999999992</v>
      </c>
      <c r="K8" s="25">
        <f>SUM(H8:J8)</f>
        <v>-89387.897839797079</v>
      </c>
      <c r="L8" s="47">
        <f>+K8-M49</f>
        <v>0</v>
      </c>
    </row>
    <row r="9" spans="1:36" ht="15.5" thickTop="1" thickBot="1" x14ac:dyDescent="0.4">
      <c r="E9" s="27">
        <f t="shared" ref="E9:I9" si="1">SUM(E4:E8)</f>
        <v>4991757.3899999997</v>
      </c>
      <c r="F9" s="27">
        <f t="shared" si="1"/>
        <v>3530368476.0834169</v>
      </c>
      <c r="G9" s="27">
        <f t="shared" si="1"/>
        <v>8908195.2699999996</v>
      </c>
      <c r="H9" s="27">
        <f t="shared" si="1"/>
        <v>3916437.8800000004</v>
      </c>
      <c r="I9" s="27">
        <f t="shared" si="1"/>
        <v>1511266.1700000016</v>
      </c>
      <c r="J9" s="27">
        <f>SUM(J4:J8)</f>
        <v>107042.23</v>
      </c>
      <c r="K9" s="27">
        <f>SUM(K4:K8)</f>
        <v>5534746.2800000021</v>
      </c>
    </row>
    <row r="10" spans="1:36" ht="15.5" thickTop="1" thickBot="1" x14ac:dyDescent="0.4">
      <c r="E10" s="312"/>
      <c r="F10" s="312"/>
      <c r="G10" s="312"/>
      <c r="H10" s="312"/>
      <c r="I10" s="312"/>
      <c r="J10" s="312"/>
      <c r="K10" s="312"/>
      <c r="L10" s="312"/>
      <c r="M10" s="312"/>
    </row>
    <row r="11" spans="1:36" ht="96.75" customHeight="1" thickBot="1" x14ac:dyDescent="0.4">
      <c r="B11" s="114" t="str">
        <f>+'PCR Cycle 2'!B14</f>
        <v>Cumulative Over/Under Carryover From 06/01/2024 Filing</v>
      </c>
      <c r="C11" s="264" t="str">
        <f>+'PCR Cycle 2'!C14</f>
        <v>Reverse May 2024 - July 2024 Forecast From 06/01/2024 Filing</v>
      </c>
      <c r="D11" s="357"/>
      <c r="E11" s="382" t="s">
        <v>32</v>
      </c>
      <c r="F11" s="382"/>
      <c r="G11" s="383"/>
      <c r="H11" s="384" t="s">
        <v>32</v>
      </c>
      <c r="I11" s="385"/>
      <c r="J11" s="386"/>
      <c r="K11" s="378" t="s">
        <v>8</v>
      </c>
      <c r="L11" s="379"/>
      <c r="M11" s="380"/>
      <c r="P11" s="287" t="s">
        <v>236</v>
      </c>
    </row>
    <row r="12" spans="1:36" x14ac:dyDescent="0.35">
      <c r="C12" s="14"/>
      <c r="D12" s="19"/>
      <c r="E12" s="19">
        <f>+'PCR Cycle 2'!E15</f>
        <v>45443</v>
      </c>
      <c r="F12" s="19">
        <f>+'PCR Cycle 2'!F15</f>
        <v>45473</v>
      </c>
      <c r="G12" s="19">
        <f>+'PCR Cycle 2'!G15</f>
        <v>45504</v>
      </c>
      <c r="H12" s="14">
        <f>+'PCR Cycle 2'!H15</f>
        <v>45535</v>
      </c>
      <c r="I12" s="19">
        <f>+'PCR Cycle 2'!I15</f>
        <v>45565</v>
      </c>
      <c r="J12" s="15">
        <f>+'PCR Cycle 2'!J15</f>
        <v>45596</v>
      </c>
      <c r="K12" s="19">
        <f>+'PCR Cycle 2'!K15</f>
        <v>45626</v>
      </c>
      <c r="L12" s="19">
        <f>+'PCR Cycle 2'!L15</f>
        <v>45657</v>
      </c>
      <c r="M12" s="95">
        <f>+'PCR Cycle 2'!M15</f>
        <v>45688</v>
      </c>
      <c r="AA12" s="1"/>
      <c r="AB12" s="1"/>
      <c r="AC12" s="1"/>
      <c r="AD12" s="1"/>
      <c r="AE12" s="1"/>
      <c r="AF12" s="1"/>
      <c r="AG12" s="1"/>
      <c r="AH12" s="1"/>
      <c r="AI12" s="1"/>
      <c r="AJ12" s="1"/>
    </row>
    <row r="13" spans="1:36" x14ac:dyDescent="0.35">
      <c r="C13" s="98"/>
      <c r="D13" s="254"/>
      <c r="E13" s="31"/>
      <c r="F13" s="31"/>
      <c r="G13" s="31"/>
      <c r="H13" s="28"/>
      <c r="I13" s="31"/>
      <c r="J13" s="11"/>
      <c r="K13" s="31"/>
      <c r="L13" s="31"/>
      <c r="M13" s="29"/>
      <c r="P13" s="47"/>
    </row>
    <row r="14" spans="1:36" x14ac:dyDescent="0.35">
      <c r="A14" s="46" t="s">
        <v>137</v>
      </c>
      <c r="C14" s="99"/>
      <c r="D14" s="146"/>
      <c r="E14" s="31"/>
      <c r="F14" s="31"/>
      <c r="G14" s="31"/>
      <c r="H14" s="28"/>
      <c r="I14" s="31"/>
      <c r="J14" s="162"/>
      <c r="K14" s="17"/>
      <c r="L14" s="17"/>
      <c r="M14" s="11"/>
      <c r="P14" s="47"/>
    </row>
    <row r="15" spans="1:36" x14ac:dyDescent="0.35">
      <c r="A15" s="46" t="s">
        <v>24</v>
      </c>
      <c r="C15" s="97">
        <v>-1314557.77</v>
      </c>
      <c r="D15" s="253"/>
      <c r="E15" s="108">
        <f>'[7]Pivot - SI Project'!$N$32</f>
        <v>608870.71</v>
      </c>
      <c r="F15" s="108">
        <f>'[8]Pivot - SI Project'!$N$32</f>
        <v>599997.53</v>
      </c>
      <c r="G15" s="108">
        <f>'[9]Pivot - SI Project'!$N$32</f>
        <v>1063916.22</v>
      </c>
      <c r="H15" s="288">
        <f>'[10]Pivot - SI Project'!$N$32</f>
        <v>644024.49000000011</v>
      </c>
      <c r="I15" s="289">
        <f>'[11]Pivot - SI Project'!$N$32</f>
        <v>580705.12</v>
      </c>
      <c r="J15" s="290">
        <f>'[12]Pivot - SI Project'!$N$32</f>
        <v>457828.95999999996</v>
      </c>
      <c r="K15" s="291">
        <f>ROUND(SUM('[2]Monthly Program Costs Ext'!BN301),2)</f>
        <v>858182.77</v>
      </c>
      <c r="L15" s="135">
        <f>ROUND(SUM('[2]Monthly Program Costs Ext'!BO301),2)</f>
        <v>810442.49</v>
      </c>
      <c r="M15" s="76"/>
      <c r="P15" s="47">
        <f>-SUM(K15:M15)</f>
        <v>-1668625.26</v>
      </c>
    </row>
    <row r="16" spans="1:36" x14ac:dyDescent="0.35">
      <c r="A16" s="46" t="s">
        <v>104</v>
      </c>
      <c r="C16" s="97">
        <v>-140435.37</v>
      </c>
      <c r="D16" s="253"/>
      <c r="E16" s="108">
        <f>'[7]Pivot - SI Project'!$O$32</f>
        <v>658498.81000000006</v>
      </c>
      <c r="F16" s="108">
        <f>'[8]Pivot - SI Project'!$O$32</f>
        <v>28834.37</v>
      </c>
      <c r="G16" s="108">
        <f>'[9]Pivot - SI Project'!$O$32</f>
        <v>150110.25999999998</v>
      </c>
      <c r="H16" s="288">
        <f>'[10]Pivot - SI Project'!$O$32</f>
        <v>81616.73</v>
      </c>
      <c r="I16" s="289">
        <f>'[11]Pivot - SI Project'!$O$32</f>
        <v>58304.2</v>
      </c>
      <c r="J16" s="290">
        <f>'[12]Pivot - SI Project'!$O$32</f>
        <v>30593.03</v>
      </c>
      <c r="K16" s="291">
        <f>ROUND(SUM('[2]Monthly Program Costs Ext'!BN302),2)</f>
        <v>143160.95999999999</v>
      </c>
      <c r="L16" s="135">
        <f>ROUND(SUM('[2]Monthly Program Costs Ext'!BO302),2)</f>
        <v>277840.90999999997</v>
      </c>
      <c r="M16" s="76"/>
      <c r="P16" s="47">
        <f t="shared" ref="P16:P19" si="2">-SUM(K16:M16)</f>
        <v>-421001.87</v>
      </c>
      <c r="Q16" s="251">
        <f>SUM(E16:J16)/SUM($E$16:$J$19)</f>
        <v>0.34636465379657749</v>
      </c>
    </row>
    <row r="17" spans="1:17" x14ac:dyDescent="0.35">
      <c r="A17" s="46" t="s">
        <v>105</v>
      </c>
      <c r="C17" s="97">
        <v>-310720.66000000003</v>
      </c>
      <c r="D17" s="253"/>
      <c r="E17" s="108">
        <f>'[7]Pivot - SI Project'!$P$32</f>
        <v>126913.37</v>
      </c>
      <c r="F17" s="108">
        <f>'[8]Pivot - SI Project'!$P$32</f>
        <v>35205.839999999997</v>
      </c>
      <c r="G17" s="108">
        <f>'[9]Pivot - SI Project'!$P$32</f>
        <v>249533.82</v>
      </c>
      <c r="H17" s="288">
        <f>'[10]Pivot - SI Project'!$P$32</f>
        <v>70682.87</v>
      </c>
      <c r="I17" s="289">
        <f>'[11]Pivot - SI Project'!$P$32</f>
        <v>107947.76000000001</v>
      </c>
      <c r="J17" s="290">
        <f>'[12]Pivot - SI Project'!$P$32</f>
        <v>219338.57</v>
      </c>
      <c r="K17" s="291">
        <f>ROUND(SUM('[2]Monthly Program Costs Ext'!BN303),2)</f>
        <v>287220.13</v>
      </c>
      <c r="L17" s="135">
        <f>ROUND(SUM('[2]Monthly Program Costs Ext'!BO303),2)</f>
        <v>557425</v>
      </c>
      <c r="M17" s="76"/>
      <c r="P17" s="47">
        <f t="shared" si="2"/>
        <v>-844645.13</v>
      </c>
      <c r="Q17" s="251">
        <f t="shared" ref="Q17:Q19" si="3">SUM(E17:J17)/SUM($E$16:$J$19)</f>
        <v>0.27821068965807783</v>
      </c>
    </row>
    <row r="18" spans="1:17" x14ac:dyDescent="0.35">
      <c r="A18" s="46" t="s">
        <v>106</v>
      </c>
      <c r="C18" s="97">
        <v>-506207.80999999994</v>
      </c>
      <c r="D18" s="253"/>
      <c r="E18" s="108">
        <f>'[7]Pivot - SI Project'!$Q$32</f>
        <v>114980.09</v>
      </c>
      <c r="F18" s="108">
        <f>'[8]Pivot - SI Project'!$Q$32</f>
        <v>74640.209999999992</v>
      </c>
      <c r="G18" s="108">
        <f>'[9]Pivot - SI Project'!$Q$32</f>
        <v>349645.29</v>
      </c>
      <c r="H18" s="288">
        <f>'[10]Pivot - SI Project'!$Q$32</f>
        <v>166422.87</v>
      </c>
      <c r="I18" s="289">
        <f>'[11]Pivot - SI Project'!$Q$32</f>
        <v>150580.78</v>
      </c>
      <c r="J18" s="290">
        <f>'[12]Pivot - SI Project'!$Q$32</f>
        <v>53331.850000000006</v>
      </c>
      <c r="K18" s="291">
        <f>ROUND(SUM('[2]Monthly Program Costs Ext'!BN304),2)</f>
        <v>456970.28</v>
      </c>
      <c r="L18" s="135">
        <f>ROUND(SUM('[2]Monthly Program Costs Ext'!BO304),2)</f>
        <v>886869.11</v>
      </c>
      <c r="M18" s="76"/>
      <c r="P18" s="47">
        <f t="shared" si="2"/>
        <v>-1343839.3900000001</v>
      </c>
      <c r="Q18" s="251">
        <f t="shared" si="3"/>
        <v>0.31256645035875474</v>
      </c>
    </row>
    <row r="19" spans="1:17" x14ac:dyDescent="0.35">
      <c r="A19" s="46" t="s">
        <v>107</v>
      </c>
      <c r="C19" s="97">
        <v>-322581.09000000003</v>
      </c>
      <c r="D19" s="253"/>
      <c r="E19" s="108">
        <f>'[7]Pivot - SI Project'!$R$32</f>
        <v>26409.059999999921</v>
      </c>
      <c r="F19" s="108">
        <f>'[8]Pivot - SI Project'!$R$32</f>
        <v>9266.5900000000511</v>
      </c>
      <c r="G19" s="108">
        <f>'[9]Pivot - SI Project'!$R$32</f>
        <v>91602.230000000112</v>
      </c>
      <c r="H19" s="288">
        <f>'[10]Pivot - SI Project'!$R$32</f>
        <v>11780.039999999999</v>
      </c>
      <c r="I19" s="289">
        <f>'[11]Pivot - SI Project'!$R$32</f>
        <v>30471.37</v>
      </c>
      <c r="J19" s="290">
        <f>'[12]Pivot - SI Project'!$R$32</f>
        <v>13394.67</v>
      </c>
      <c r="K19" s="291">
        <f>ROUND(SUM('[2]Monthly Program Costs Ext'!BN305),2)</f>
        <v>122124.47</v>
      </c>
      <c r="L19" s="135">
        <f>ROUND(SUM('[2]Monthly Program Costs Ext'!BO305),2)</f>
        <v>237014.14</v>
      </c>
      <c r="M19" s="76"/>
      <c r="P19" s="47">
        <f t="shared" si="2"/>
        <v>-359138.61</v>
      </c>
      <c r="Q19" s="251">
        <f t="shared" si="3"/>
        <v>6.2858206186589854E-2</v>
      </c>
    </row>
    <row r="20" spans="1:17" x14ac:dyDescent="0.35">
      <c r="C20" s="101"/>
      <c r="D20" s="255"/>
      <c r="E20" s="31"/>
      <c r="F20" s="31"/>
      <c r="G20" s="31"/>
      <c r="H20" s="28"/>
      <c r="I20" s="31"/>
      <c r="J20" s="11"/>
      <c r="K20" s="17"/>
      <c r="L20" s="17"/>
      <c r="M20" s="11"/>
    </row>
    <row r="21" spans="1:17" x14ac:dyDescent="0.35">
      <c r="A21" s="39" t="s">
        <v>46</v>
      </c>
      <c r="B21" s="39"/>
      <c r="C21" s="101"/>
      <c r="D21" s="255"/>
      <c r="E21" s="254"/>
      <c r="F21" s="254"/>
      <c r="G21" s="254"/>
      <c r="H21" s="98"/>
      <c r="I21" s="254"/>
      <c r="J21" s="371"/>
      <c r="K21" s="17"/>
      <c r="L21" s="17"/>
      <c r="M21" s="11"/>
    </row>
    <row r="22" spans="1:17" x14ac:dyDescent="0.35">
      <c r="A22" s="46" t="s">
        <v>24</v>
      </c>
      <c r="C22" s="341">
        <v>-657358351</v>
      </c>
      <c r="D22" s="256"/>
      <c r="E22" s="110">
        <f>+'PCR Cycle 2'!E27</f>
        <v>153239284.89905</v>
      </c>
      <c r="F22" s="110">
        <f>+'PCR Cycle 2'!F27</f>
        <v>210846674.27977499</v>
      </c>
      <c r="G22" s="110">
        <f>+'PCR Cycle 2'!G27</f>
        <v>297215222.53432494</v>
      </c>
      <c r="H22" s="181">
        <f>+'PCR Cycle 2'!H27</f>
        <v>286260248.13420004</v>
      </c>
      <c r="I22" s="184">
        <f>+'PCR Cycle 2'!I27</f>
        <v>255273952.1169</v>
      </c>
      <c r="J22" s="176">
        <f>+'PCR Cycle 2'!J27</f>
        <v>201939088.9147</v>
      </c>
      <c r="K22" s="172">
        <f>+'PCR Cycle 2'!K27</f>
        <v>167074289</v>
      </c>
      <c r="L22" s="136">
        <f>+'PCR Cycle 2'!L27</f>
        <v>239068877</v>
      </c>
      <c r="M22" s="77">
        <f>+'PCR Cycle 2'!M27</f>
        <v>268678591</v>
      </c>
      <c r="P22" s="47">
        <f>-SUM(K22:M22)</f>
        <v>-674821757</v>
      </c>
    </row>
    <row r="23" spans="1:17" x14ac:dyDescent="0.35">
      <c r="A23" s="46" t="s">
        <v>104</v>
      </c>
      <c r="C23" s="341">
        <v>-162787241</v>
      </c>
      <c r="D23" s="256"/>
      <c r="E23" s="110">
        <f>+'PCR Cycle 2'!E28</f>
        <v>46560109.629100002</v>
      </c>
      <c r="F23" s="110">
        <f>+'PCR Cycle 2'!F28</f>
        <v>53859029.526499979</v>
      </c>
      <c r="G23" s="110">
        <f>+'PCR Cycle 2'!G28</f>
        <v>62593563.4212</v>
      </c>
      <c r="H23" s="181">
        <f>+'PCR Cycle 2'!H28</f>
        <v>61218366.141400002</v>
      </c>
      <c r="I23" s="184">
        <f>+'PCR Cycle 2'!I28</f>
        <v>60723433.253599994</v>
      </c>
      <c r="J23" s="176">
        <f>+'PCR Cycle 2'!J28</f>
        <v>56246827.012800001</v>
      </c>
      <c r="K23" s="172">
        <f>+'PCR Cycle 2'!K28</f>
        <v>49738579</v>
      </c>
      <c r="L23" s="136">
        <f>+'PCR Cycle 2'!L28</f>
        <v>54511459</v>
      </c>
      <c r="M23" s="77">
        <f>+'PCR Cycle 2'!M28</f>
        <v>55002376</v>
      </c>
      <c r="P23" s="47">
        <f t="shared" ref="P23:P26" si="4">-SUM(K23:M23)</f>
        <v>-159252414</v>
      </c>
    </row>
    <row r="24" spans="1:17" x14ac:dyDescent="0.35">
      <c r="A24" s="46" t="s">
        <v>105</v>
      </c>
      <c r="C24" s="341">
        <v>-286235085</v>
      </c>
      <c r="D24" s="256"/>
      <c r="E24" s="110">
        <f>+'PCR Cycle 2'!E29</f>
        <v>80438413.420566693</v>
      </c>
      <c r="F24" s="110">
        <f>+'PCR Cycle 2'!F29</f>
        <v>90499639.286300018</v>
      </c>
      <c r="G24" s="110">
        <f>+'PCR Cycle 2'!G29</f>
        <v>106261076.09569998</v>
      </c>
      <c r="H24" s="181">
        <f>+'PCR Cycle 2'!H29</f>
        <v>102925993.0899</v>
      </c>
      <c r="I24" s="184">
        <f>+'PCR Cycle 2'!I29</f>
        <v>100768422.81480001</v>
      </c>
      <c r="J24" s="176">
        <f>+'PCR Cycle 2'!J29</f>
        <v>96410730.746499971</v>
      </c>
      <c r="K24" s="172">
        <f>+'PCR Cycle 2'!K29</f>
        <v>88082196</v>
      </c>
      <c r="L24" s="136">
        <f>+'PCR Cycle 2'!L29</f>
        <v>96534503</v>
      </c>
      <c r="M24" s="77">
        <f>+'PCR Cycle 2'!M29</f>
        <v>97403870</v>
      </c>
      <c r="P24" s="47">
        <f t="shared" si="4"/>
        <v>-282020569</v>
      </c>
    </row>
    <row r="25" spans="1:17" x14ac:dyDescent="0.35">
      <c r="A25" s="46" t="s">
        <v>106</v>
      </c>
      <c r="C25" s="341">
        <v>-455019756</v>
      </c>
      <c r="D25" s="256"/>
      <c r="E25" s="110">
        <f>+'PCR Cycle 2'!E30</f>
        <v>143005435.02040002</v>
      </c>
      <c r="F25" s="110">
        <f>+'PCR Cycle 2'!F30</f>
        <v>145949547.34579995</v>
      </c>
      <c r="G25" s="110">
        <f>+'PCR Cycle 2'!G30</f>
        <v>164265592.85449997</v>
      </c>
      <c r="H25" s="181">
        <f>+'PCR Cycle 2'!H30</f>
        <v>160549625.93380001</v>
      </c>
      <c r="I25" s="184">
        <f>+'PCR Cycle 2'!I30</f>
        <v>165231923.7969</v>
      </c>
      <c r="J25" s="176">
        <f>+'PCR Cycle 2'!J30</f>
        <v>156338420.49240002</v>
      </c>
      <c r="K25" s="172">
        <f>+'PCR Cycle 2'!K30</f>
        <v>142785031</v>
      </c>
      <c r="L25" s="136">
        <f>+'PCR Cycle 2'!L30</f>
        <v>156486586</v>
      </c>
      <c r="M25" s="77">
        <f>+'PCR Cycle 2'!M30</f>
        <v>157895867</v>
      </c>
      <c r="P25" s="47">
        <f t="shared" si="4"/>
        <v>-457167484</v>
      </c>
    </row>
    <row r="26" spans="1:17" x14ac:dyDescent="0.35">
      <c r="A26" s="46" t="s">
        <v>107</v>
      </c>
      <c r="C26" s="341">
        <v>-120889513</v>
      </c>
      <c r="D26" s="256"/>
      <c r="E26" s="110">
        <f>+'PCR Cycle 2'!E31</f>
        <v>38353635.6259</v>
      </c>
      <c r="F26" s="110">
        <f>+'PCR Cycle 2'!F31</f>
        <v>31926396.805000003</v>
      </c>
      <c r="G26" s="110">
        <f>+'PCR Cycle 2'!G31</f>
        <v>50741690.576499999</v>
      </c>
      <c r="H26" s="181">
        <f>+'PCR Cycle 2'!H31</f>
        <v>43563811.763799995</v>
      </c>
      <c r="I26" s="184">
        <f>+'PCR Cycle 2'!I31</f>
        <v>37736677.327199996</v>
      </c>
      <c r="J26" s="176">
        <f>+'PCR Cycle 2'!J31</f>
        <v>49957863.223899998</v>
      </c>
      <c r="K26" s="172">
        <f>+'PCR Cycle 2'!K31</f>
        <v>40132413</v>
      </c>
      <c r="L26" s="136">
        <f>+'PCR Cycle 2'!L31</f>
        <v>43983492</v>
      </c>
      <c r="M26" s="77">
        <f>+'PCR Cycle 2'!M31</f>
        <v>44379597</v>
      </c>
      <c r="P26" s="47">
        <f t="shared" si="4"/>
        <v>-128495502</v>
      </c>
    </row>
    <row r="27" spans="1:17" x14ac:dyDescent="0.35">
      <c r="C27" s="99"/>
      <c r="D27" s="146"/>
      <c r="E27" s="31"/>
      <c r="F27" s="31"/>
      <c r="G27" s="31"/>
      <c r="H27" s="28"/>
      <c r="I27" s="31"/>
      <c r="J27" s="11"/>
      <c r="K27" s="17"/>
      <c r="L27" s="17"/>
      <c r="M27" s="11"/>
    </row>
    <row r="28" spans="1:17" x14ac:dyDescent="0.35">
      <c r="A28" s="46" t="s">
        <v>33</v>
      </c>
      <c r="C28" s="99"/>
      <c r="D28" s="146"/>
      <c r="E28" s="18"/>
      <c r="F28" s="18"/>
      <c r="G28" s="18"/>
      <c r="H28" s="91"/>
      <c r="I28" s="18"/>
      <c r="J28" s="11"/>
      <c r="K28" s="57"/>
      <c r="L28" s="57"/>
      <c r="M28" s="58"/>
      <c r="N28" s="63" t="s">
        <v>49</v>
      </c>
      <c r="O28" s="39"/>
      <c r="P28" s="39"/>
    </row>
    <row r="29" spans="1:17" x14ac:dyDescent="0.35">
      <c r="A29" s="46" t="s">
        <v>24</v>
      </c>
      <c r="C29" s="97">
        <v>-1774867.54</v>
      </c>
      <c r="D29" s="253"/>
      <c r="E29" s="108">
        <f>'[5]May 2024'!$G88+'[5]May 2024'!$G96</f>
        <v>413680.3</v>
      </c>
      <c r="F29" s="108">
        <f>'[5]June 2024'!$G88+'[5]June 2024'!$G96</f>
        <v>569244.95000000007</v>
      </c>
      <c r="G29" s="108">
        <f>'[5]July 2024'!$G88+'[5]July 2024'!$G96</f>
        <v>802488.21000000008</v>
      </c>
      <c r="H29" s="182">
        <f>'[5]August 2024'!$G88+'[5]August 2024'!$G96</f>
        <v>692045.12</v>
      </c>
      <c r="I29" s="55">
        <f>'[5]September 2024'!$G88+'[5]September 2024'!$G96</f>
        <v>436897.19</v>
      </c>
      <c r="J29" s="174">
        <f>'[5]October 2024'!$G88+'[5]October 2024'!$G96</f>
        <v>343302.44</v>
      </c>
      <c r="K29" s="119">
        <f>ROUND(K22*$N29,2)</f>
        <v>284026.28999999998</v>
      </c>
      <c r="L29" s="41">
        <f t="shared" ref="L29:M29" si="5">ROUND(L22*$N29,2)</f>
        <v>406417.09</v>
      </c>
      <c r="M29" s="61">
        <f t="shared" si="5"/>
        <v>456753.6</v>
      </c>
      <c r="N29" s="72">
        <v>1.7000000000000001E-3</v>
      </c>
      <c r="P29" s="47">
        <f>-SUM(K29:M29)</f>
        <v>-1147196.98</v>
      </c>
    </row>
    <row r="30" spans="1:17" x14ac:dyDescent="0.35">
      <c r="A30" s="46" t="s">
        <v>104</v>
      </c>
      <c r="C30" s="97">
        <v>-208367.66</v>
      </c>
      <c r="D30" s="253"/>
      <c r="E30" s="108">
        <f>'[5]May 2024'!$G89+'[5]May 2024'!$G97</f>
        <v>59707.619999999995</v>
      </c>
      <c r="F30" s="108">
        <f>'[5]June 2024'!$G89+'[5]June 2024'!$G97</f>
        <v>68941.42</v>
      </c>
      <c r="G30" s="108">
        <f>'[5]July 2024'!$G89+'[5]July 2024'!$G97</f>
        <v>80119.760000000009</v>
      </c>
      <c r="H30" s="182">
        <f>'[5]August 2024'!$G89+'[5]August 2024'!$G97</f>
        <v>62616.02</v>
      </c>
      <c r="I30" s="55">
        <f>'[5]September 2024'!$G89+'[5]September 2024'!$G97</f>
        <v>24695.559999999998</v>
      </c>
      <c r="J30" s="174">
        <f>'[5]October 2024'!$G89+'[5]October 2024'!$G97</f>
        <v>22097.040000000001</v>
      </c>
      <c r="K30" s="119">
        <f t="shared" ref="K30:M30" si="6">ROUND(K23*$N30,2)</f>
        <v>19895.43</v>
      </c>
      <c r="L30" s="41">
        <f t="shared" si="6"/>
        <v>21804.58</v>
      </c>
      <c r="M30" s="61">
        <f t="shared" si="6"/>
        <v>22000.95</v>
      </c>
      <c r="N30" s="72">
        <v>4.0000000000000007E-4</v>
      </c>
      <c r="P30" s="47">
        <f t="shared" ref="P30:P33" si="7">-SUM(K30:M30)</f>
        <v>-63700.960000000006</v>
      </c>
    </row>
    <row r="31" spans="1:17" x14ac:dyDescent="0.35">
      <c r="A31" s="46" t="s">
        <v>105</v>
      </c>
      <c r="C31" s="97">
        <v>-664065.39</v>
      </c>
      <c r="D31" s="253"/>
      <c r="E31" s="108">
        <f>'[5]May 2024'!$G90+'[5]May 2024'!$G98</f>
        <v>186774.91999999998</v>
      </c>
      <c r="F31" s="108">
        <f>'[5]June 2024'!$G90+'[5]June 2024'!$G98</f>
        <v>209777.93</v>
      </c>
      <c r="G31" s="108">
        <f>'[5]July 2024'!$G90+'[5]July 2024'!$G98</f>
        <v>246525.7</v>
      </c>
      <c r="H31" s="182">
        <f>'[5]August 2024'!$G90+'[5]August 2024'!$G98</f>
        <v>226363.37</v>
      </c>
      <c r="I31" s="55">
        <f>'[5]September 2024'!$G90+'[5]September 2024'!$G98</f>
        <v>187986.46</v>
      </c>
      <c r="J31" s="174">
        <f>'[5]October 2024'!$G90+'[5]October 2024'!$G98</f>
        <v>179423.62</v>
      </c>
      <c r="K31" s="119">
        <f t="shared" ref="K31:M31" si="8">ROUND(K24*$N31,2)</f>
        <v>163832.88</v>
      </c>
      <c r="L31" s="41">
        <f t="shared" si="8"/>
        <v>179554.18</v>
      </c>
      <c r="M31" s="61">
        <f t="shared" si="8"/>
        <v>181171.20000000001</v>
      </c>
      <c r="N31" s="72">
        <v>1.8599999999999999E-3</v>
      </c>
      <c r="P31" s="47">
        <f t="shared" si="7"/>
        <v>-524558.26</v>
      </c>
    </row>
    <row r="32" spans="1:17" x14ac:dyDescent="0.35">
      <c r="A32" s="46" t="s">
        <v>106</v>
      </c>
      <c r="C32" s="97">
        <v>-891838.72</v>
      </c>
      <c r="D32" s="253"/>
      <c r="E32" s="108">
        <f>'[5]May 2024'!$G91+'[5]May 2024'!$G99</f>
        <v>280290.65999999997</v>
      </c>
      <c r="F32" s="108">
        <f>'[5]June 2024'!$G91+'[5]June 2024'!$G99</f>
        <v>286061.09999999998</v>
      </c>
      <c r="G32" s="108">
        <f>'[5]July 2024'!$G91+'[5]July 2024'!$G99</f>
        <v>321960.56</v>
      </c>
      <c r="H32" s="182">
        <f>'[5]August 2024'!$G91+'[5]August 2024'!$G99</f>
        <v>255566.34000000003</v>
      </c>
      <c r="I32" s="55">
        <f>'[5]September 2024'!$G91+'[5]September 2024'!$G99</f>
        <v>108140.93</v>
      </c>
      <c r="J32" s="174">
        <f>'[5]October 2024'!$G91+'[5]October 2024'!$G99</f>
        <v>99507.12</v>
      </c>
      <c r="K32" s="119">
        <f t="shared" ref="K32:M32" si="9">ROUND(K25*$N32,2)</f>
        <v>91382.42</v>
      </c>
      <c r="L32" s="41">
        <f t="shared" si="9"/>
        <v>100151.42</v>
      </c>
      <c r="M32" s="61">
        <f t="shared" si="9"/>
        <v>101053.35</v>
      </c>
      <c r="N32" s="72">
        <v>6.4000000000000005E-4</v>
      </c>
      <c r="P32" s="47">
        <f t="shared" si="7"/>
        <v>-292587.19</v>
      </c>
    </row>
    <row r="33" spans="1:18" x14ac:dyDescent="0.35">
      <c r="A33" s="46" t="s">
        <v>107</v>
      </c>
      <c r="C33" s="97">
        <v>-110009.45</v>
      </c>
      <c r="D33" s="253"/>
      <c r="E33" s="108">
        <f>'[5]May 2024'!$G92+'[5]May 2024'!$G100</f>
        <v>36675.409999999996</v>
      </c>
      <c r="F33" s="108">
        <f>'[5]June 2024'!$G92+'[5]June 2024'!$G100</f>
        <v>28941.02</v>
      </c>
      <c r="G33" s="108">
        <f>'[5]July 2024'!$G92+'[5]July 2024'!$G100</f>
        <v>46244.89</v>
      </c>
      <c r="H33" s="182">
        <f>'[5]August 2024'!$G92+'[5]August 2024'!$G100</f>
        <v>45260.14</v>
      </c>
      <c r="I33" s="55">
        <f>'[5]September 2024'!$G92+'[5]September 2024'!$G100</f>
        <v>50721.35</v>
      </c>
      <c r="J33" s="174">
        <f>'[5]October 2024'!$G92+'[5]October 2024'!$G100</f>
        <v>67336.679999999993</v>
      </c>
      <c r="K33" s="119">
        <f>ROUND(K26*$N33,2)</f>
        <v>54178.76</v>
      </c>
      <c r="L33" s="41">
        <f>ROUND(L26*$N33,2)</f>
        <v>59377.71</v>
      </c>
      <c r="M33" s="61">
        <f>ROUND(M26*$N33,2)</f>
        <v>59912.46</v>
      </c>
      <c r="N33" s="72">
        <v>1.3500000000000001E-3</v>
      </c>
      <c r="P33" s="47">
        <f t="shared" si="7"/>
        <v>-173468.93</v>
      </c>
    </row>
    <row r="34" spans="1:18" x14ac:dyDescent="0.35">
      <c r="C34" s="67"/>
      <c r="D34" s="68"/>
      <c r="E34" s="18"/>
      <c r="F34" s="18"/>
      <c r="G34" s="18"/>
      <c r="H34" s="91"/>
      <c r="I34" s="18"/>
      <c r="J34" s="11"/>
      <c r="K34" s="56"/>
      <c r="L34" s="56"/>
      <c r="M34" s="13"/>
      <c r="N34" s="4"/>
    </row>
    <row r="35" spans="1:18" ht="15" thickBot="1" x14ac:dyDescent="0.4">
      <c r="A35" s="46" t="s">
        <v>14</v>
      </c>
      <c r="C35" s="102">
        <v>-31399.019999999997</v>
      </c>
      <c r="D35" s="257"/>
      <c r="E35" s="111">
        <v>15353.36</v>
      </c>
      <c r="F35" s="111">
        <v>15858.550000000001</v>
      </c>
      <c r="G35" s="112">
        <f>15930.6-0.01</f>
        <v>15930.59</v>
      </c>
      <c r="H35" s="26">
        <f>16207.45</f>
        <v>16207.45</v>
      </c>
      <c r="I35" s="118">
        <f>15054.54</f>
        <v>15054.54</v>
      </c>
      <c r="J35" s="175">
        <f>15026.23-0.01</f>
        <v>15026.22</v>
      </c>
      <c r="K35" s="173">
        <f>ROUND((SUM(J45:J49)+SUM(J53:J57)+SUM(K38:K42)/2)*K$51,2)</f>
        <v>18391.669999999998</v>
      </c>
      <c r="L35" s="137">
        <f>ROUND((SUM(K45:K49)+SUM(K53:K57)+SUM(L38:L42)/2)*L$51,2)</f>
        <v>26618.87</v>
      </c>
      <c r="M35" s="81"/>
      <c r="P35" s="47">
        <f t="shared" ref="P35" si="10">-SUM(K35:M35)</f>
        <v>-45010.539999999994</v>
      </c>
      <c r="R35" s="333"/>
    </row>
    <row r="36" spans="1:18" x14ac:dyDescent="0.35">
      <c r="C36" s="99"/>
      <c r="D36" s="146"/>
      <c r="E36" s="31"/>
      <c r="F36" s="31"/>
      <c r="G36" s="31"/>
      <c r="H36" s="28"/>
      <c r="I36" s="31"/>
      <c r="J36" s="11"/>
      <c r="K36" s="17"/>
      <c r="L36" s="17"/>
      <c r="M36" s="11"/>
    </row>
    <row r="37" spans="1:18" x14ac:dyDescent="0.35">
      <c r="A37" s="46" t="s">
        <v>51</v>
      </c>
      <c r="C37" s="99"/>
      <c r="D37" s="146"/>
      <c r="E37" s="31"/>
      <c r="F37" s="31"/>
      <c r="G37" s="31"/>
      <c r="H37" s="28"/>
      <c r="I37" s="31"/>
      <c r="J37" s="11"/>
      <c r="K37" s="17"/>
      <c r="L37" s="17"/>
      <c r="M37" s="11"/>
    </row>
    <row r="38" spans="1:18" x14ac:dyDescent="0.35">
      <c r="A38" s="46" t="s">
        <v>24</v>
      </c>
      <c r="C38" s="40">
        <f t="shared" ref="C38:M38" si="11">C15-C29</f>
        <v>460309.77</v>
      </c>
      <c r="D38" s="119">
        <f>D15-D29</f>
        <v>0</v>
      </c>
      <c r="E38" s="41">
        <f t="shared" si="11"/>
        <v>195190.40999999997</v>
      </c>
      <c r="F38" s="41">
        <f t="shared" si="11"/>
        <v>30752.579999999958</v>
      </c>
      <c r="G38" s="107">
        <f t="shared" si="11"/>
        <v>261428.00999999989</v>
      </c>
      <c r="H38" s="40">
        <f t="shared" si="11"/>
        <v>-48020.629999999888</v>
      </c>
      <c r="I38" s="41">
        <f t="shared" si="11"/>
        <v>143807.93</v>
      </c>
      <c r="J38" s="61">
        <f t="shared" si="11"/>
        <v>114526.51999999996</v>
      </c>
      <c r="K38" s="119">
        <f t="shared" si="11"/>
        <v>574156.48</v>
      </c>
      <c r="L38" s="41">
        <f t="shared" si="11"/>
        <v>404025.39999999997</v>
      </c>
      <c r="M38" s="49">
        <f t="shared" si="11"/>
        <v>-456753.6</v>
      </c>
    </row>
    <row r="39" spans="1:18" x14ac:dyDescent="0.35">
      <c r="A39" s="46" t="s">
        <v>104</v>
      </c>
      <c r="C39" s="40">
        <f t="shared" ref="C39:M39" si="12">C16-C30</f>
        <v>67932.290000000008</v>
      </c>
      <c r="D39" s="119">
        <f>D16-D30</f>
        <v>0</v>
      </c>
      <c r="E39" s="41">
        <f t="shared" si="12"/>
        <v>598791.19000000006</v>
      </c>
      <c r="F39" s="41">
        <f t="shared" si="12"/>
        <v>-40107.050000000003</v>
      </c>
      <c r="G39" s="107">
        <f t="shared" si="12"/>
        <v>69990.499999999971</v>
      </c>
      <c r="H39" s="40">
        <f t="shared" si="12"/>
        <v>19000.71</v>
      </c>
      <c r="I39" s="41">
        <f t="shared" si="12"/>
        <v>33608.639999999999</v>
      </c>
      <c r="J39" s="61">
        <f t="shared" si="12"/>
        <v>8495.989999999998</v>
      </c>
      <c r="K39" s="119">
        <f t="shared" si="12"/>
        <v>123265.53</v>
      </c>
      <c r="L39" s="41">
        <f t="shared" si="12"/>
        <v>256036.32999999996</v>
      </c>
      <c r="M39" s="49">
        <f t="shared" si="12"/>
        <v>-22000.95</v>
      </c>
    </row>
    <row r="40" spans="1:18" x14ac:dyDescent="0.35">
      <c r="A40" s="46" t="s">
        <v>105</v>
      </c>
      <c r="C40" s="40">
        <f t="shared" ref="C40:M40" si="13">C17-C31</f>
        <v>353344.73</v>
      </c>
      <c r="D40" s="119">
        <f t="shared" ref="D40" si="14">D17-D31</f>
        <v>0</v>
      </c>
      <c r="E40" s="41">
        <f t="shared" si="13"/>
        <v>-59861.549999999988</v>
      </c>
      <c r="F40" s="41">
        <f t="shared" si="13"/>
        <v>-174572.09</v>
      </c>
      <c r="G40" s="107">
        <f t="shared" si="13"/>
        <v>3008.1199999999953</v>
      </c>
      <c r="H40" s="40">
        <f t="shared" si="13"/>
        <v>-155680.5</v>
      </c>
      <c r="I40" s="41">
        <f t="shared" si="13"/>
        <v>-80038.699999999983</v>
      </c>
      <c r="J40" s="61">
        <f t="shared" si="13"/>
        <v>39914.950000000012</v>
      </c>
      <c r="K40" s="119">
        <f t="shared" si="13"/>
        <v>123387.25</v>
      </c>
      <c r="L40" s="41">
        <f t="shared" si="13"/>
        <v>377870.82</v>
      </c>
      <c r="M40" s="49">
        <f t="shared" si="13"/>
        <v>-181171.20000000001</v>
      </c>
    </row>
    <row r="41" spans="1:18" x14ac:dyDescent="0.35">
      <c r="A41" s="46" t="s">
        <v>106</v>
      </c>
      <c r="C41" s="40">
        <f t="shared" ref="C41:M41" si="15">C18-C32</f>
        <v>385630.91000000003</v>
      </c>
      <c r="D41" s="119">
        <f t="shared" ref="D41" si="16">D18-D32</f>
        <v>0</v>
      </c>
      <c r="E41" s="41">
        <f t="shared" si="15"/>
        <v>-165310.56999999998</v>
      </c>
      <c r="F41" s="41">
        <f t="shared" si="15"/>
        <v>-211420.88999999998</v>
      </c>
      <c r="G41" s="107">
        <f t="shared" si="15"/>
        <v>27684.729999999981</v>
      </c>
      <c r="H41" s="40">
        <f t="shared" si="15"/>
        <v>-89143.47000000003</v>
      </c>
      <c r="I41" s="41">
        <f t="shared" si="15"/>
        <v>42439.850000000006</v>
      </c>
      <c r="J41" s="61">
        <f t="shared" si="15"/>
        <v>-46175.26999999999</v>
      </c>
      <c r="K41" s="119">
        <f t="shared" si="15"/>
        <v>365587.86000000004</v>
      </c>
      <c r="L41" s="41">
        <f t="shared" si="15"/>
        <v>786717.69</v>
      </c>
      <c r="M41" s="49">
        <f t="shared" si="15"/>
        <v>-101053.35</v>
      </c>
    </row>
    <row r="42" spans="1:18" x14ac:dyDescent="0.35">
      <c r="A42" s="46" t="s">
        <v>107</v>
      </c>
      <c r="C42" s="40">
        <f t="shared" ref="C42:M42" si="17">C19-C33</f>
        <v>-212571.64</v>
      </c>
      <c r="D42" s="119">
        <f t="shared" ref="D42" si="18">D19-D33</f>
        <v>0</v>
      </c>
      <c r="E42" s="41">
        <f t="shared" si="17"/>
        <v>-10266.350000000075</v>
      </c>
      <c r="F42" s="41">
        <f t="shared" si="17"/>
        <v>-19674.429999999949</v>
      </c>
      <c r="G42" s="107">
        <f t="shared" si="17"/>
        <v>45357.340000000113</v>
      </c>
      <c r="H42" s="40">
        <f t="shared" si="17"/>
        <v>-33480.1</v>
      </c>
      <c r="I42" s="41">
        <f t="shared" si="17"/>
        <v>-20249.98</v>
      </c>
      <c r="J42" s="61">
        <f t="shared" si="17"/>
        <v>-53942.009999999995</v>
      </c>
      <c r="K42" s="119">
        <f t="shared" si="17"/>
        <v>67945.709999999992</v>
      </c>
      <c r="L42" s="41">
        <f t="shared" si="17"/>
        <v>177636.43000000002</v>
      </c>
      <c r="M42" s="49">
        <f t="shared" si="17"/>
        <v>-59912.46</v>
      </c>
    </row>
    <row r="43" spans="1:18" x14ac:dyDescent="0.35">
      <c r="C43" s="99"/>
      <c r="D43" s="146"/>
      <c r="E43" s="31"/>
      <c r="F43" s="31"/>
      <c r="G43" s="31"/>
      <c r="H43" s="28"/>
      <c r="I43" s="31"/>
      <c r="J43" s="11"/>
      <c r="K43" s="17"/>
      <c r="L43" s="17"/>
      <c r="M43" s="11"/>
    </row>
    <row r="44" spans="1:18" ht="15" thickBot="1" x14ac:dyDescent="0.4">
      <c r="A44" s="46" t="s">
        <v>52</v>
      </c>
      <c r="C44" s="103"/>
      <c r="D44" s="258"/>
      <c r="E44" s="31"/>
      <c r="F44" s="31"/>
      <c r="G44" s="31"/>
      <c r="H44" s="28"/>
      <c r="I44" s="31"/>
      <c r="J44" s="11"/>
      <c r="K44" s="17"/>
      <c r="L44" s="17"/>
      <c r="M44" s="11"/>
    </row>
    <row r="45" spans="1:18" x14ac:dyDescent="0.35">
      <c r="A45" s="46" t="s">
        <v>24</v>
      </c>
      <c r="B45" s="297">
        <v>717155.78000000038</v>
      </c>
      <c r="C45" s="41">
        <f t="shared" ref="C45:M45" si="19">B45+C38+B53</f>
        <v>1177465.5500000003</v>
      </c>
      <c r="D45" s="41">
        <f t="shared" ref="D45:D49" si="20">C45+D38+C53</f>
        <v>1162798.8300000003</v>
      </c>
      <c r="E45" s="41">
        <f t="shared" ref="E45:E49" si="21">D45+E38+D53</f>
        <v>1357989.2400000002</v>
      </c>
      <c r="F45" s="41">
        <f t="shared" si="19"/>
        <v>1395619.1300000004</v>
      </c>
      <c r="G45" s="107">
        <f t="shared" si="19"/>
        <v>1664592.61</v>
      </c>
      <c r="H45" s="40">
        <f t="shared" si="19"/>
        <v>1624960.5000000002</v>
      </c>
      <c r="I45" s="41">
        <f t="shared" si="19"/>
        <v>1777739.82</v>
      </c>
      <c r="J45" s="61">
        <f t="shared" si="19"/>
        <v>1901117.7000000002</v>
      </c>
      <c r="K45" s="119">
        <f t="shared" si="19"/>
        <v>2484486.35</v>
      </c>
      <c r="L45" s="41">
        <f t="shared" si="19"/>
        <v>2899490.33</v>
      </c>
      <c r="M45" s="49">
        <f t="shared" si="19"/>
        <v>2456213.73</v>
      </c>
    </row>
    <row r="46" spans="1:18" x14ac:dyDescent="0.35">
      <c r="A46" s="46" t="s">
        <v>104</v>
      </c>
      <c r="B46" s="299">
        <v>-180499.99216020203</v>
      </c>
      <c r="C46" s="41">
        <f t="shared" ref="C46:M46" si="22">B46+C39+B54</f>
        <v>-112567.70216020202</v>
      </c>
      <c r="D46" s="41">
        <f t="shared" si="20"/>
        <v>-111522.95216020202</v>
      </c>
      <c r="E46" s="41">
        <f t="shared" si="21"/>
        <v>487268.23783979804</v>
      </c>
      <c r="F46" s="41">
        <f t="shared" si="22"/>
        <v>448186.30783979804</v>
      </c>
      <c r="G46" s="107">
        <f t="shared" si="22"/>
        <v>520736.56783979805</v>
      </c>
      <c r="H46" s="40">
        <f t="shared" si="22"/>
        <v>542393.71783979796</v>
      </c>
      <c r="I46" s="41">
        <f t="shared" si="22"/>
        <v>578901.61783979798</v>
      </c>
      <c r="J46" s="61">
        <f t="shared" si="22"/>
        <v>590314.257839798</v>
      </c>
      <c r="K46" s="119">
        <f t="shared" si="22"/>
        <v>716507.85783979797</v>
      </c>
      <c r="L46" s="41">
        <f t="shared" si="22"/>
        <v>975816.03783979791</v>
      </c>
      <c r="M46" s="49">
        <f t="shared" si="22"/>
        <v>958050.81783979794</v>
      </c>
    </row>
    <row r="47" spans="1:18" x14ac:dyDescent="0.35">
      <c r="A47" s="46" t="s">
        <v>105</v>
      </c>
      <c r="B47" s="299">
        <v>1215122.7800000003</v>
      </c>
      <c r="C47" s="41">
        <f t="shared" ref="C47:M47" si="23">B47+C40+B55</f>
        <v>1568467.5100000002</v>
      </c>
      <c r="D47" s="41">
        <f t="shared" si="20"/>
        <v>1551787.1000000003</v>
      </c>
      <c r="E47" s="41">
        <f t="shared" si="21"/>
        <v>1491925.5500000003</v>
      </c>
      <c r="F47" s="41">
        <f t="shared" si="23"/>
        <v>1325657.4400000002</v>
      </c>
      <c r="G47" s="107">
        <f t="shared" si="23"/>
        <v>1336389.8</v>
      </c>
      <c r="H47" s="40">
        <f t="shared" si="23"/>
        <v>1188009.56</v>
      </c>
      <c r="I47" s="41">
        <f t="shared" si="23"/>
        <v>1114857.8400000001</v>
      </c>
      <c r="J47" s="61">
        <f t="shared" si="23"/>
        <v>1160765.3</v>
      </c>
      <c r="K47" s="119">
        <f t="shared" si="23"/>
        <v>1289852.2</v>
      </c>
      <c r="L47" s="41">
        <f t="shared" si="23"/>
        <v>1673859.08</v>
      </c>
      <c r="M47" s="49">
        <f t="shared" si="23"/>
        <v>1500106.78</v>
      </c>
    </row>
    <row r="48" spans="1:18" x14ac:dyDescent="0.35">
      <c r="A48" s="46" t="s">
        <v>106</v>
      </c>
      <c r="B48" s="299">
        <v>-278162.65999999986</v>
      </c>
      <c r="C48" s="41">
        <f t="shared" ref="C48:M48" si="24">B48+C41+B56</f>
        <v>107468.25000000017</v>
      </c>
      <c r="D48" s="41">
        <f t="shared" si="20"/>
        <v>106138.59000000017</v>
      </c>
      <c r="E48" s="41">
        <f t="shared" si="21"/>
        <v>-59171.979999999807</v>
      </c>
      <c r="F48" s="41">
        <f t="shared" si="24"/>
        <v>-270464.72999999975</v>
      </c>
      <c r="G48" s="107">
        <f t="shared" si="24"/>
        <v>-243680.66999999978</v>
      </c>
      <c r="H48" s="40">
        <f t="shared" si="24"/>
        <v>-334232.48999999976</v>
      </c>
      <c r="I48" s="41">
        <f t="shared" si="24"/>
        <v>-293368.56999999977</v>
      </c>
      <c r="J48" s="61">
        <f t="shared" si="24"/>
        <v>-341176.19999999972</v>
      </c>
      <c r="K48" s="119">
        <f t="shared" si="24"/>
        <v>22822.440000000322</v>
      </c>
      <c r="L48" s="41">
        <f t="shared" si="24"/>
        <v>808740.89000000025</v>
      </c>
      <c r="M48" s="49">
        <f t="shared" si="24"/>
        <v>709762.85000000033</v>
      </c>
    </row>
    <row r="49" spans="1:18" ht="15" thickBot="1" x14ac:dyDescent="0.4">
      <c r="A49" s="46" t="s">
        <v>107</v>
      </c>
      <c r="B49" s="298">
        <v>37650.262160202881</v>
      </c>
      <c r="C49" s="41">
        <f>B49+C42+B57</f>
        <v>-174921.37783979712</v>
      </c>
      <c r="D49" s="41">
        <f t="shared" si="20"/>
        <v>-174688.35783979713</v>
      </c>
      <c r="E49" s="41">
        <f t="shared" si="21"/>
        <v>-184954.70783979719</v>
      </c>
      <c r="F49" s="41">
        <f t="shared" ref="F49:M49" si="25">E49+F42+E57</f>
        <v>-205610.32783979713</v>
      </c>
      <c r="G49" s="107">
        <f t="shared" si="25"/>
        <v>-161323.23783979702</v>
      </c>
      <c r="H49" s="40">
        <f t="shared" si="25"/>
        <v>-195809.61783979702</v>
      </c>
      <c r="I49" s="41">
        <f t="shared" si="25"/>
        <v>-217033.84783979703</v>
      </c>
      <c r="J49" s="61">
        <f t="shared" si="25"/>
        <v>-272049.47783979704</v>
      </c>
      <c r="K49" s="119">
        <f t="shared" si="25"/>
        <v>-205328.21783979706</v>
      </c>
      <c r="L49" s="41">
        <f t="shared" si="25"/>
        <v>-28887.367839797036</v>
      </c>
      <c r="M49" s="49">
        <f t="shared" si="25"/>
        <v>-89387.89783979705</v>
      </c>
    </row>
    <row r="50" spans="1:18" x14ac:dyDescent="0.35">
      <c r="C50" s="99"/>
      <c r="D50" s="146"/>
      <c r="E50" s="31"/>
      <c r="F50" s="31"/>
      <c r="G50" s="31"/>
      <c r="H50" s="28"/>
      <c r="I50" s="31"/>
      <c r="J50" s="11"/>
      <c r="K50" s="17"/>
      <c r="L50" s="17"/>
      <c r="M50" s="11"/>
    </row>
    <row r="51" spans="1:18" x14ac:dyDescent="0.35">
      <c r="A51" s="39" t="s">
        <v>48</v>
      </c>
      <c r="B51" s="39"/>
      <c r="C51" s="103"/>
      <c r="D51" s="258"/>
      <c r="E51" s="83">
        <f>+'PCR Cycle 2'!E50</f>
        <v>5.4564799999999997E-3</v>
      </c>
      <c r="F51" s="83">
        <f>+'PCR Cycle 2'!F50</f>
        <v>5.4667700000000001E-3</v>
      </c>
      <c r="G51" s="83">
        <f>+'PCR Cycle 2'!G50</f>
        <v>5.46883E-3</v>
      </c>
      <c r="H51" s="84">
        <f>+'PCR Cycle 2'!H50</f>
        <v>5.4406000000000003E-3</v>
      </c>
      <c r="I51" s="83">
        <f>+'PCR Cycle 2'!I50</f>
        <v>5.1888699999999999E-3</v>
      </c>
      <c r="J51" s="92">
        <f>+'PCR Cycle 2'!J50</f>
        <v>4.9961500000000004E-3</v>
      </c>
      <c r="K51" s="83">
        <f>+'PCR Cycle 2'!K50</f>
        <v>4.9961500000000004E-3</v>
      </c>
      <c r="L51" s="83">
        <f>+'PCR Cycle 2'!L50</f>
        <v>4.9961500000000004E-3</v>
      </c>
      <c r="M51" s="92"/>
    </row>
    <row r="52" spans="1:18" x14ac:dyDescent="0.35">
      <c r="A52" s="39" t="s">
        <v>36</v>
      </c>
      <c r="B52" s="39"/>
      <c r="C52" s="99"/>
      <c r="D52" s="146"/>
      <c r="E52" s="31"/>
      <c r="F52" s="31"/>
      <c r="G52" s="31"/>
      <c r="H52" s="28"/>
      <c r="I52" s="31"/>
      <c r="J52" s="11"/>
      <c r="K52" s="17"/>
      <c r="L52" s="17"/>
      <c r="M52" s="11"/>
      <c r="N52" s="71"/>
    </row>
    <row r="53" spans="1:18" x14ac:dyDescent="0.35">
      <c r="A53" s="46" t="s">
        <v>24</v>
      </c>
      <c r="C53" s="301">
        <v>-14666.720000000001</v>
      </c>
      <c r="D53" s="119"/>
      <c r="E53" s="41">
        <f>ROUND((C45+C53+D53+E38/2)*E$51,2)</f>
        <v>6877.31</v>
      </c>
      <c r="F53" s="41">
        <f t="shared" ref="F53:L57" si="26">ROUND((E45+E53+F38/2)*F$51,2)</f>
        <v>7545.47</v>
      </c>
      <c r="G53" s="107">
        <f t="shared" si="26"/>
        <v>8388.52</v>
      </c>
      <c r="H53" s="40">
        <f t="shared" si="26"/>
        <v>8971.39</v>
      </c>
      <c r="I53" s="119">
        <f t="shared" si="26"/>
        <v>8851.36</v>
      </c>
      <c r="J53" s="61">
        <f t="shared" si="26"/>
        <v>9212.17</v>
      </c>
      <c r="K53" s="119">
        <f t="shared" si="26"/>
        <v>10978.58</v>
      </c>
      <c r="L53" s="119">
        <f t="shared" si="26"/>
        <v>13477</v>
      </c>
      <c r="M53" s="49"/>
      <c r="P53" s="47">
        <f t="shared" ref="P53:P57" si="27">-SUM(K53:M53)</f>
        <v>-24455.58</v>
      </c>
    </row>
    <row r="54" spans="1:18" x14ac:dyDescent="0.35">
      <c r="A54" s="46" t="s">
        <v>104</v>
      </c>
      <c r="C54" s="342">
        <v>1044.75</v>
      </c>
      <c r="D54" s="259"/>
      <c r="E54" s="41">
        <f t="shared" ref="E54:E57" si="28">ROUND((C46+C54+D54+E39/2)*E$51,2)</f>
        <v>1025.1199999999999</v>
      </c>
      <c r="F54" s="41">
        <f t="shared" si="26"/>
        <v>2559.7600000000002</v>
      </c>
      <c r="G54" s="107">
        <f t="shared" si="26"/>
        <v>2656.44</v>
      </c>
      <c r="H54" s="40">
        <f t="shared" si="26"/>
        <v>2899.26</v>
      </c>
      <c r="I54" s="119">
        <f t="shared" si="26"/>
        <v>2916.65</v>
      </c>
      <c r="J54" s="61">
        <f t="shared" si="26"/>
        <v>2928.07</v>
      </c>
      <c r="K54" s="119">
        <f t="shared" si="26"/>
        <v>3271.85</v>
      </c>
      <c r="L54" s="119">
        <f t="shared" si="26"/>
        <v>4235.7299999999996</v>
      </c>
      <c r="M54" s="49"/>
      <c r="P54" s="47">
        <f t="shared" si="27"/>
        <v>-7507.58</v>
      </c>
    </row>
    <row r="55" spans="1:18" x14ac:dyDescent="0.35">
      <c r="A55" s="46" t="s">
        <v>105</v>
      </c>
      <c r="C55" s="342">
        <v>-16680.41</v>
      </c>
      <c r="D55" s="259"/>
      <c r="E55" s="41">
        <f t="shared" si="28"/>
        <v>8303.98</v>
      </c>
      <c r="F55" s="41">
        <f t="shared" si="26"/>
        <v>7724.24</v>
      </c>
      <c r="G55" s="107">
        <f t="shared" si="26"/>
        <v>7300.26</v>
      </c>
      <c r="H55" s="40">
        <f t="shared" si="26"/>
        <v>6886.98</v>
      </c>
      <c r="I55" s="119">
        <f t="shared" si="26"/>
        <v>5992.51</v>
      </c>
      <c r="J55" s="61">
        <f t="shared" si="26"/>
        <v>5699.65</v>
      </c>
      <c r="K55" s="119">
        <f t="shared" si="26"/>
        <v>6136.06</v>
      </c>
      <c r="L55" s="119">
        <f t="shared" si="26"/>
        <v>7418.9</v>
      </c>
      <c r="M55" s="49"/>
      <c r="P55" s="47">
        <f t="shared" si="27"/>
        <v>-13554.96</v>
      </c>
    </row>
    <row r="56" spans="1:18" x14ac:dyDescent="0.35">
      <c r="A56" s="46" t="s">
        <v>106</v>
      </c>
      <c r="C56" s="342">
        <v>-1329.6599999999999</v>
      </c>
      <c r="D56" s="259"/>
      <c r="E56" s="41">
        <f t="shared" si="28"/>
        <v>128.13999999999999</v>
      </c>
      <c r="F56" s="41">
        <f t="shared" si="26"/>
        <v>-900.67</v>
      </c>
      <c r="G56" s="107">
        <f t="shared" si="26"/>
        <v>-1408.35</v>
      </c>
      <c r="H56" s="40">
        <f t="shared" si="26"/>
        <v>-1575.93</v>
      </c>
      <c r="I56" s="119">
        <f t="shared" si="26"/>
        <v>-1632.36</v>
      </c>
      <c r="J56" s="61">
        <f t="shared" si="26"/>
        <v>-1589.22</v>
      </c>
      <c r="K56" s="119">
        <f t="shared" si="26"/>
        <v>-799.24</v>
      </c>
      <c r="L56" s="119">
        <f t="shared" si="26"/>
        <v>2075.31</v>
      </c>
      <c r="M56" s="49"/>
      <c r="P56" s="47">
        <f t="shared" si="27"/>
        <v>-1276.07</v>
      </c>
    </row>
    <row r="57" spans="1:18" ht="15" thickBot="1" x14ac:dyDescent="0.4">
      <c r="A57" s="46" t="s">
        <v>107</v>
      </c>
      <c r="C57" s="343">
        <v>233.01999999999998</v>
      </c>
      <c r="D57" s="259"/>
      <c r="E57" s="41">
        <f t="shared" si="28"/>
        <v>-981.19</v>
      </c>
      <c r="F57" s="41">
        <f t="shared" si="26"/>
        <v>-1070.25</v>
      </c>
      <c r="G57" s="107">
        <f t="shared" si="26"/>
        <v>-1006.28</v>
      </c>
      <c r="H57" s="40">
        <f t="shared" si="26"/>
        <v>-974.25</v>
      </c>
      <c r="I57" s="119">
        <f t="shared" si="26"/>
        <v>-1073.6199999999999</v>
      </c>
      <c r="J57" s="61">
        <f t="shared" si="26"/>
        <v>-1224.45</v>
      </c>
      <c r="K57" s="119">
        <f t="shared" si="26"/>
        <v>-1195.58</v>
      </c>
      <c r="L57" s="119">
        <f t="shared" si="26"/>
        <v>-588.07000000000005</v>
      </c>
      <c r="M57" s="49"/>
      <c r="N57" s="292"/>
      <c r="O57" s="292"/>
      <c r="P57" s="47">
        <f t="shared" si="27"/>
        <v>1783.65</v>
      </c>
    </row>
    <row r="58" spans="1:18" ht="15.5" thickTop="1" thickBot="1" x14ac:dyDescent="0.4">
      <c r="A58" s="54" t="s">
        <v>22</v>
      </c>
      <c r="B58" s="54"/>
      <c r="C58" s="113">
        <v>0</v>
      </c>
      <c r="D58" s="260"/>
      <c r="E58" s="32">
        <f t="shared" ref="E58:M58" si="29">SUM(E53:E57)+SUM(E45:E49)-E61</f>
        <v>0</v>
      </c>
      <c r="F58" s="32">
        <f t="shared" si="29"/>
        <v>0</v>
      </c>
      <c r="G58" s="50">
        <f t="shared" si="29"/>
        <v>0</v>
      </c>
      <c r="H58" s="120">
        <f t="shared" si="29"/>
        <v>0</v>
      </c>
      <c r="I58" s="32">
        <f t="shared" si="29"/>
        <v>0</v>
      </c>
      <c r="J58" s="62">
        <f t="shared" si="29"/>
        <v>0</v>
      </c>
      <c r="K58" s="160">
        <f t="shared" si="29"/>
        <v>0</v>
      </c>
      <c r="L58" s="32">
        <f t="shared" si="29"/>
        <v>0</v>
      </c>
      <c r="M58" s="96">
        <f t="shared" si="29"/>
        <v>0</v>
      </c>
    </row>
    <row r="59" spans="1:18" ht="15.5" thickTop="1" thickBot="1" x14ac:dyDescent="0.4">
      <c r="A59" s="54" t="s">
        <v>23</v>
      </c>
      <c r="B59" s="54"/>
      <c r="C59" s="106">
        <v>0</v>
      </c>
      <c r="D59" s="261"/>
      <c r="E59" s="32">
        <f t="shared" ref="E59:J59" si="30">SUM(E53:E57)-E35</f>
        <v>0</v>
      </c>
      <c r="F59" s="32">
        <f t="shared" si="30"/>
        <v>0</v>
      </c>
      <c r="G59" s="50">
        <f t="shared" ref="G59:I59" si="31">SUM(G53:G57)-G35</f>
        <v>0</v>
      </c>
      <c r="H59" s="51">
        <f t="shared" si="31"/>
        <v>0</v>
      </c>
      <c r="I59" s="32">
        <f t="shared" si="31"/>
        <v>0</v>
      </c>
      <c r="J59" s="62">
        <f t="shared" si="30"/>
        <v>0</v>
      </c>
      <c r="K59" s="160">
        <f t="shared" ref="K59:M59" si="32">SUM(K53:K57)-K35</f>
        <v>0</v>
      </c>
      <c r="L59" s="32">
        <f t="shared" si="32"/>
        <v>0</v>
      </c>
      <c r="M59" s="96">
        <f t="shared" si="32"/>
        <v>0</v>
      </c>
    </row>
    <row r="60" spans="1:18" ht="15.5" thickTop="1" thickBot="1" x14ac:dyDescent="0.4">
      <c r="C60" s="99"/>
      <c r="D60" s="146"/>
      <c r="E60" s="17"/>
      <c r="F60" s="17"/>
      <c r="G60" s="17"/>
      <c r="H60" s="10"/>
      <c r="I60" s="17"/>
      <c r="J60" s="11"/>
      <c r="K60" s="17"/>
      <c r="L60" s="17"/>
      <c r="M60" s="11"/>
    </row>
    <row r="61" spans="1:18" ht="15" thickBot="1" x14ac:dyDescent="0.4">
      <c r="A61" s="46" t="s">
        <v>35</v>
      </c>
      <c r="B61" s="115">
        <f>SUM(B45:B49)</f>
        <v>1511266.1700000016</v>
      </c>
      <c r="C61" s="40">
        <f>(SUM(C15:C19)-SUM(C29:C33))+SUM(C53:C57)+B61</f>
        <v>2534513.2100000009</v>
      </c>
      <c r="D61" s="41">
        <f>(SUM(D15:D19)-SUM(D29:D33))+SUM(D53:D57)+C61</f>
        <v>2534513.2100000009</v>
      </c>
      <c r="E61" s="41">
        <f>(SUM(E15:E19)-SUM(E29:E33))+SUM(D53:E57)+C61</f>
        <v>3108409.7000000011</v>
      </c>
      <c r="F61" s="41">
        <f t="shared" ref="F61:M61" si="33">(SUM(F15:F19)-SUM(F29:F33))+SUM(F53:F57)+E61</f>
        <v>2709246.370000001</v>
      </c>
      <c r="G61" s="107">
        <f t="shared" si="33"/>
        <v>3132645.6600000011</v>
      </c>
      <c r="H61" s="40">
        <f t="shared" si="33"/>
        <v>2841529.120000001</v>
      </c>
      <c r="I61" s="41">
        <f t="shared" si="33"/>
        <v>2976151.4000000013</v>
      </c>
      <c r="J61" s="61">
        <f t="shared" si="33"/>
        <v>3053997.8000000017</v>
      </c>
      <c r="K61" s="119">
        <f t="shared" si="33"/>
        <v>4326732.3000000017</v>
      </c>
      <c r="L61" s="41">
        <f t="shared" si="33"/>
        <v>6355637.8400000017</v>
      </c>
      <c r="M61" s="61">
        <f t="shared" si="33"/>
        <v>5534746.2800000021</v>
      </c>
      <c r="R61" s="332"/>
    </row>
    <row r="62" spans="1:18" x14ac:dyDescent="0.35">
      <c r="A62" s="46" t="s">
        <v>12</v>
      </c>
      <c r="C62" s="116"/>
      <c r="D62" s="17"/>
      <c r="E62" s="56"/>
      <c r="F62" s="56"/>
      <c r="G62" s="56"/>
      <c r="H62" s="12"/>
      <c r="I62" s="56"/>
      <c r="J62" s="11"/>
      <c r="K62" s="17"/>
      <c r="L62" s="17"/>
      <c r="M62" s="11"/>
    </row>
    <row r="63" spans="1:18" ht="15" thickBot="1" x14ac:dyDescent="0.4">
      <c r="B63" s="17"/>
      <c r="C63" s="43"/>
      <c r="D63" s="44"/>
      <c r="E63" s="44"/>
      <c r="F63" s="44"/>
      <c r="G63" s="44"/>
      <c r="H63" s="43"/>
      <c r="I63" s="44"/>
      <c r="J63" s="45"/>
      <c r="K63" s="44"/>
      <c r="L63" s="44"/>
      <c r="M63" s="45"/>
    </row>
    <row r="64" spans="1:18" x14ac:dyDescent="0.35">
      <c r="D64" s="47"/>
    </row>
    <row r="65" spans="1:13" x14ac:dyDescent="0.35">
      <c r="A65" s="69" t="s">
        <v>11</v>
      </c>
      <c r="B65" s="69"/>
      <c r="C65" s="69"/>
      <c r="D65" s="69"/>
    </row>
    <row r="66" spans="1:13" ht="81" customHeight="1" x14ac:dyDescent="0.35">
      <c r="A66" s="381" t="s">
        <v>312</v>
      </c>
      <c r="B66" s="387"/>
      <c r="C66" s="387"/>
      <c r="D66" s="387"/>
      <c r="E66" s="387"/>
      <c r="F66" s="387"/>
      <c r="G66" s="387"/>
      <c r="H66" s="387"/>
      <c r="I66" s="387"/>
      <c r="J66" s="387"/>
      <c r="K66" s="229"/>
      <c r="L66" s="229"/>
      <c r="M66" s="229"/>
    </row>
    <row r="67" spans="1:13" ht="59.25" customHeight="1" x14ac:dyDescent="0.35">
      <c r="A67" s="381" t="s">
        <v>324</v>
      </c>
      <c r="B67" s="387"/>
      <c r="C67" s="387"/>
      <c r="D67" s="387"/>
      <c r="E67" s="387"/>
      <c r="F67" s="387"/>
      <c r="G67" s="387"/>
      <c r="H67" s="387"/>
      <c r="I67" s="387"/>
      <c r="J67" s="387"/>
      <c r="K67" s="229"/>
      <c r="L67" s="229"/>
      <c r="M67" s="229"/>
    </row>
    <row r="68" spans="1:13" ht="63.75" customHeight="1" x14ac:dyDescent="0.35">
      <c r="A68" s="381" t="s">
        <v>252</v>
      </c>
      <c r="B68" s="387"/>
      <c r="C68" s="387"/>
      <c r="D68" s="387"/>
      <c r="E68" s="387"/>
      <c r="F68" s="387"/>
      <c r="G68" s="387"/>
      <c r="H68" s="387"/>
      <c r="I68" s="387"/>
      <c r="J68" s="387"/>
      <c r="K68" s="229"/>
      <c r="L68" s="229"/>
      <c r="M68" s="229"/>
    </row>
    <row r="69" spans="1:13" x14ac:dyDescent="0.35">
      <c r="A69" s="381" t="s">
        <v>258</v>
      </c>
      <c r="B69" s="387"/>
      <c r="C69" s="387"/>
      <c r="D69" s="387"/>
      <c r="E69" s="387"/>
      <c r="F69" s="387"/>
      <c r="G69" s="387"/>
      <c r="H69" s="387"/>
      <c r="I69" s="387"/>
      <c r="J69" s="387"/>
    </row>
    <row r="70" spans="1:13" x14ac:dyDescent="0.35">
      <c r="A70" s="63" t="s">
        <v>285</v>
      </c>
      <c r="B70" s="3"/>
      <c r="C70" s="3"/>
      <c r="D70" s="3"/>
      <c r="J70" s="4"/>
    </row>
    <row r="71" spans="1:13" x14ac:dyDescent="0.35">
      <c r="A71" s="3" t="s">
        <v>50</v>
      </c>
      <c r="B71" s="3"/>
      <c r="C71" s="3"/>
      <c r="D71" s="3"/>
      <c r="J71" s="4"/>
    </row>
    <row r="72" spans="1:13" x14ac:dyDescent="0.35">
      <c r="A72" s="335"/>
    </row>
    <row r="73" spans="1:13" ht="33.75" customHeight="1" x14ac:dyDescent="0.35">
      <c r="A73" s="377"/>
      <c r="B73" s="377"/>
      <c r="C73" s="377"/>
      <c r="D73" s="377"/>
      <c r="E73" s="377"/>
      <c r="F73" s="377"/>
      <c r="G73" s="377"/>
    </row>
    <row r="75" spans="1:13" ht="31.5" customHeight="1" x14ac:dyDescent="0.35">
      <c r="A75" s="377"/>
      <c r="B75" s="377"/>
      <c r="C75" s="377"/>
      <c r="D75" s="377"/>
      <c r="E75" s="377"/>
      <c r="F75" s="377"/>
      <c r="G75" s="377"/>
    </row>
    <row r="81" spans="14:14" x14ac:dyDescent="0.35">
      <c r="N81" s="8"/>
    </row>
  </sheetData>
  <mergeCells count="9">
    <mergeCell ref="K11:M11"/>
    <mergeCell ref="A66:J66"/>
    <mergeCell ref="A67:J67"/>
    <mergeCell ref="A75:G75"/>
    <mergeCell ref="A73:G73"/>
    <mergeCell ref="A68:J68"/>
    <mergeCell ref="E11:G11"/>
    <mergeCell ref="H11:J11"/>
    <mergeCell ref="A69:J69"/>
  </mergeCells>
  <pageMargins left="0.2" right="0.2" top="0.75" bottom="0.25" header="0.3" footer="0.3"/>
  <pageSetup scale="42" orientation="landscape" r:id="rId1"/>
  <headerFooter>
    <oddHeader>&amp;C&amp;F &amp;A&amp;R&amp;"Arial"&amp;10&amp;K000000CONFIDENTIAL</oddHeader>
    <oddFooter>&amp;R&amp;1#&amp;"Calibri"&amp;10&amp;KA80000Internal Use Only</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04F8D-5DDA-4043-8094-E35F198FC98E}">
  <sheetPr>
    <pageSetUpPr fitToPage="1"/>
  </sheetPr>
  <dimension ref="A1:AJ81"/>
  <sheetViews>
    <sheetView zoomScale="85" zoomScaleNormal="85" workbookViewId="0">
      <selection activeCell="Q14" sqref="Q14:Q23"/>
    </sheetView>
  </sheetViews>
  <sheetFormatPr defaultColWidth="9.1796875" defaultRowHeight="14.5" outlineLevelCol="1" x14ac:dyDescent="0.35"/>
  <cols>
    <col min="1" max="1" width="54.54296875" style="46" customWidth="1"/>
    <col min="2" max="2" width="14.7265625" style="46" customWidth="1"/>
    <col min="3" max="3" width="15" style="46" customWidth="1"/>
    <col min="4" max="4" width="15" style="46" hidden="1" customWidth="1" outlineLevel="1"/>
    <col min="5" max="5" width="15.26953125" style="46" customWidth="1" collapsed="1"/>
    <col min="6" max="6" width="15.81640625" style="46" customWidth="1"/>
    <col min="7" max="7" width="17.54296875" style="46" customWidth="1"/>
    <col min="8" max="9" width="13.26953125" style="46" customWidth="1"/>
    <col min="10" max="10" width="15.7265625" style="46" customWidth="1"/>
    <col min="11" max="12" width="12.54296875" style="46" bestFit="1" customWidth="1"/>
    <col min="13" max="13" width="14.453125" style="46" customWidth="1"/>
    <col min="14" max="14" width="15" style="46" bestFit="1" customWidth="1"/>
    <col min="15" max="15" width="16.26953125" style="46" bestFit="1" customWidth="1"/>
    <col min="16" max="16" width="16.26953125" style="46" hidden="1" customWidth="1" outlineLevel="1"/>
    <col min="17" max="17" width="16.1796875" style="46" customWidth="1" collapsed="1"/>
    <col min="18" max="18" width="17.26953125" style="46" bestFit="1" customWidth="1"/>
    <col min="19" max="19" width="17.453125" style="46" customWidth="1"/>
    <col min="20" max="20" width="15.54296875" style="46" customWidth="1"/>
    <col min="21" max="21" width="13" style="46" customWidth="1"/>
    <col min="22" max="22" width="9.1796875" style="46"/>
    <col min="23" max="23" width="14.26953125" style="46" bestFit="1" customWidth="1"/>
    <col min="24" max="16384" width="9.1796875" style="46"/>
  </cols>
  <sheetData>
    <row r="1" spans="1:36" x14ac:dyDescent="0.35">
      <c r="A1" s="3" t="str">
        <f>+'PPC Cycle 3'!A1</f>
        <v>Evergy Metro, Inc. - DSIM Rider Update Filed 12/01/2024</v>
      </c>
      <c r="B1" s="3"/>
      <c r="C1" s="3"/>
      <c r="D1" s="3"/>
    </row>
    <row r="2" spans="1:36" x14ac:dyDescent="0.35">
      <c r="E2" s="3" t="s">
        <v>251</v>
      </c>
    </row>
    <row r="3" spans="1:36" ht="29" x14ac:dyDescent="0.35">
      <c r="E3" s="48" t="s">
        <v>45</v>
      </c>
      <c r="F3" s="48" t="s">
        <v>44</v>
      </c>
      <c r="G3" s="70" t="s">
        <v>2</v>
      </c>
      <c r="H3" s="48" t="s">
        <v>3</v>
      </c>
      <c r="I3" s="70" t="s">
        <v>54</v>
      </c>
      <c r="J3" s="48" t="s">
        <v>10</v>
      </c>
      <c r="K3" s="48" t="s">
        <v>4</v>
      </c>
    </row>
    <row r="4" spans="1:36" x14ac:dyDescent="0.35">
      <c r="A4" s="20" t="s">
        <v>24</v>
      </c>
      <c r="E4" s="22">
        <f>SUM(C29:M29)</f>
        <v>12099.529999999999</v>
      </c>
      <c r="F4" s="133">
        <f>SUM(C22:M22)</f>
        <v>1422237876.8789501</v>
      </c>
      <c r="G4" s="22">
        <f>SUM(C15:L15)</f>
        <v>0</v>
      </c>
      <c r="H4" s="22">
        <f>G4-E4</f>
        <v>-12099.529999999999</v>
      </c>
      <c r="I4" s="22">
        <f>+B45</f>
        <v>39392.199999999997</v>
      </c>
      <c r="J4" s="22">
        <f>SUM(C53:L53)</f>
        <v>0</v>
      </c>
      <c r="K4" s="25">
        <f>SUM(H4:J4)</f>
        <v>27292.67</v>
      </c>
      <c r="L4" s="47">
        <f>+K4-M45</f>
        <v>0</v>
      </c>
    </row>
    <row r="5" spans="1:36" x14ac:dyDescent="0.35">
      <c r="A5" s="20" t="s">
        <v>104</v>
      </c>
      <c r="E5" s="22">
        <f>SUM(C30:M30)</f>
        <v>0</v>
      </c>
      <c r="F5" s="133">
        <f>SUM(C23:M23)</f>
        <v>337666501.98459995</v>
      </c>
      <c r="G5" s="22">
        <f>SUM(C16:L16)</f>
        <v>0</v>
      </c>
      <c r="H5" s="22">
        <f>G5-E5</f>
        <v>0</v>
      </c>
      <c r="I5" s="22">
        <f>+B46</f>
        <v>2884.6499999999996</v>
      </c>
      <c r="J5" s="22">
        <f>SUM(C54:L54)</f>
        <v>0</v>
      </c>
      <c r="K5" s="25">
        <f>SUM(H5:J5)</f>
        <v>2884.6499999999996</v>
      </c>
      <c r="L5" s="47">
        <f t="shared" ref="L5:L7" si="0">+K5-M46</f>
        <v>0</v>
      </c>
    </row>
    <row r="6" spans="1:36" x14ac:dyDescent="0.35">
      <c r="A6" s="20" t="s">
        <v>105</v>
      </c>
      <c r="E6" s="22">
        <f>SUM(C31:M31)</f>
        <v>5052.75</v>
      </c>
      <c r="F6" s="133">
        <f>SUM(C24:M24)</f>
        <v>573089759.45376658</v>
      </c>
      <c r="G6" s="22">
        <f>SUM(C17:L17)</f>
        <v>0</v>
      </c>
      <c r="H6" s="22">
        <f>G6-E6</f>
        <v>-5052.75</v>
      </c>
      <c r="I6" s="22">
        <f>+B47</f>
        <v>7264.87</v>
      </c>
      <c r="J6" s="22">
        <f>SUM(C55:L55)</f>
        <v>0</v>
      </c>
      <c r="K6" s="25">
        <f>SUM(H6:J6)</f>
        <v>2212.12</v>
      </c>
      <c r="L6" s="47">
        <f t="shared" si="0"/>
        <v>0</v>
      </c>
    </row>
    <row r="7" spans="1:36" x14ac:dyDescent="0.35">
      <c r="A7" s="20" t="s">
        <v>106</v>
      </c>
      <c r="E7" s="22">
        <f>SUM(C32:M32)</f>
        <v>8223.49</v>
      </c>
      <c r="F7" s="133">
        <f>SUM(C25:M25)</f>
        <v>937488273.44379997</v>
      </c>
      <c r="G7" s="22">
        <f>SUM(C18:L18)</f>
        <v>0</v>
      </c>
      <c r="H7" s="22">
        <f>G7-E7</f>
        <v>-8223.49</v>
      </c>
      <c r="I7" s="22">
        <f>+B48</f>
        <v>12162.75</v>
      </c>
      <c r="J7" s="22">
        <f>SUM(C56:L56)</f>
        <v>0</v>
      </c>
      <c r="K7" s="25">
        <f>SUM(H7:J7)</f>
        <v>3939.26</v>
      </c>
      <c r="L7" s="47">
        <f t="shared" si="0"/>
        <v>0</v>
      </c>
    </row>
    <row r="8" spans="1:36" ht="15" thickBot="1" x14ac:dyDescent="0.4">
      <c r="A8" s="20" t="s">
        <v>107</v>
      </c>
      <c r="E8" s="22">
        <f>SUM(C33:M33)</f>
        <v>4576.1899999999996</v>
      </c>
      <c r="F8" s="133">
        <f>SUM(C26:M26)</f>
        <v>259886064.32229999</v>
      </c>
      <c r="G8" s="22">
        <f>SUM(C19:L19)</f>
        <v>0</v>
      </c>
      <c r="H8" s="22">
        <f>G8-E8</f>
        <v>-4576.1899999999996</v>
      </c>
      <c r="I8" s="22">
        <f>+B49</f>
        <v>12803.18</v>
      </c>
      <c r="J8" s="22">
        <f>SUM(C57:L57)</f>
        <v>0</v>
      </c>
      <c r="K8" s="25">
        <f>SUM(H8:J8)</f>
        <v>8226.9900000000016</v>
      </c>
      <c r="L8" s="47">
        <f>+K8-M49</f>
        <v>0</v>
      </c>
    </row>
    <row r="9" spans="1:36" ht="15.5" thickTop="1" thickBot="1" x14ac:dyDescent="0.4">
      <c r="E9" s="27">
        <f t="shared" ref="E9:I9" si="1">SUM(E4:E8)</f>
        <v>29951.959999999995</v>
      </c>
      <c r="F9" s="27">
        <f t="shared" si="1"/>
        <v>3530368476.0834169</v>
      </c>
      <c r="G9" s="27">
        <f t="shared" si="1"/>
        <v>0</v>
      </c>
      <c r="H9" s="27">
        <f t="shared" si="1"/>
        <v>-29951.959999999995</v>
      </c>
      <c r="I9" s="27">
        <f t="shared" si="1"/>
        <v>74507.649999999994</v>
      </c>
      <c r="J9" s="27">
        <f>SUM(J4:J8)</f>
        <v>0</v>
      </c>
      <c r="K9" s="27">
        <f>SUM(K4:K8)</f>
        <v>44555.69</v>
      </c>
    </row>
    <row r="10" spans="1:36" ht="15.5" thickTop="1" thickBot="1" x14ac:dyDescent="0.4"/>
    <row r="11" spans="1:36" ht="96.75" customHeight="1" thickBot="1" x14ac:dyDescent="0.4">
      <c r="B11" s="114" t="str">
        <f>+'PCR Cycle 2'!B14</f>
        <v>Cumulative Over/Under Carryover From 06/01/2024 Filing</v>
      </c>
      <c r="C11" s="264" t="str">
        <f>+'PCR Cycle 2'!C14</f>
        <v>Reverse May 2024 - July 2024 Forecast From 06/01/2024 Filing</v>
      </c>
      <c r="D11" s="264"/>
      <c r="E11" s="382" t="s">
        <v>32</v>
      </c>
      <c r="F11" s="382"/>
      <c r="G11" s="383"/>
      <c r="H11" s="384" t="s">
        <v>32</v>
      </c>
      <c r="I11" s="385"/>
      <c r="J11" s="386"/>
      <c r="K11" s="378" t="s">
        <v>8</v>
      </c>
      <c r="L11" s="379"/>
      <c r="M11" s="380"/>
      <c r="P11" s="287" t="s">
        <v>236</v>
      </c>
    </row>
    <row r="12" spans="1:36" x14ac:dyDescent="0.35">
      <c r="C12" s="14"/>
      <c r="D12" s="19"/>
      <c r="E12" s="19">
        <f>+'PCR Cycle 2'!E15</f>
        <v>45443</v>
      </c>
      <c r="F12" s="19">
        <f>+'PCR Cycle 2'!F15</f>
        <v>45473</v>
      </c>
      <c r="G12" s="19">
        <f>+'PCR Cycle 2'!G15</f>
        <v>45504</v>
      </c>
      <c r="H12" s="14">
        <f>+'PCR Cycle 2'!H15</f>
        <v>45535</v>
      </c>
      <c r="I12" s="19">
        <f>+'PCR Cycle 2'!I15</f>
        <v>45565</v>
      </c>
      <c r="J12" s="15">
        <f>+'PCR Cycle 2'!J15</f>
        <v>45596</v>
      </c>
      <c r="K12" s="19">
        <f>+'PCR Cycle 2'!K15</f>
        <v>45626</v>
      </c>
      <c r="L12" s="19">
        <f>+'PCR Cycle 2'!L15</f>
        <v>45657</v>
      </c>
      <c r="M12" s="95">
        <f>+'PCR Cycle 2'!M15</f>
        <v>45688</v>
      </c>
      <c r="AA12" s="1"/>
      <c r="AB12" s="1"/>
      <c r="AC12" s="1"/>
      <c r="AD12" s="1"/>
      <c r="AE12" s="1"/>
      <c r="AF12" s="1"/>
      <c r="AG12" s="1"/>
      <c r="AH12" s="1"/>
      <c r="AI12" s="1"/>
      <c r="AJ12" s="1"/>
    </row>
    <row r="13" spans="1:36" x14ac:dyDescent="0.35">
      <c r="C13" s="98"/>
      <c r="D13" s="254"/>
      <c r="E13" s="31"/>
      <c r="F13" s="31"/>
      <c r="G13" s="31"/>
      <c r="H13" s="28"/>
      <c r="I13" s="31"/>
      <c r="J13" s="11"/>
      <c r="K13" s="31"/>
      <c r="L13" s="31"/>
      <c r="M13" s="29"/>
      <c r="P13" s="47"/>
    </row>
    <row r="14" spans="1:36" x14ac:dyDescent="0.35">
      <c r="A14" s="46" t="s">
        <v>137</v>
      </c>
      <c r="C14" s="99"/>
      <c r="D14" s="146"/>
      <c r="E14" s="31"/>
      <c r="F14" s="31"/>
      <c r="G14" s="31"/>
      <c r="H14" s="28"/>
      <c r="I14" s="31"/>
      <c r="J14" s="162"/>
      <c r="K14" s="17"/>
      <c r="L14" s="17"/>
      <c r="M14" s="11"/>
      <c r="P14" s="47"/>
    </row>
    <row r="15" spans="1:36" x14ac:dyDescent="0.35">
      <c r="A15" s="46" t="s">
        <v>24</v>
      </c>
      <c r="C15" s="97">
        <v>0</v>
      </c>
      <c r="D15" s="253"/>
      <c r="E15" s="108"/>
      <c r="F15" s="108"/>
      <c r="G15" s="108"/>
      <c r="H15" s="288"/>
      <c r="I15" s="340"/>
      <c r="J15" s="340"/>
      <c r="K15" s="291"/>
      <c r="L15" s="135"/>
      <c r="M15" s="76"/>
      <c r="P15" s="47">
        <f>-SUM(K15:M15)</f>
        <v>0</v>
      </c>
    </row>
    <row r="16" spans="1:36" x14ac:dyDescent="0.35">
      <c r="A16" s="46" t="s">
        <v>104</v>
      </c>
      <c r="C16" s="97">
        <v>0</v>
      </c>
      <c r="D16" s="253"/>
      <c r="E16" s="108"/>
      <c r="F16" s="108"/>
      <c r="G16" s="108"/>
      <c r="H16" s="288"/>
      <c r="I16" s="340"/>
      <c r="J16" s="340"/>
      <c r="K16" s="291"/>
      <c r="L16" s="135"/>
      <c r="M16" s="76"/>
      <c r="P16" s="47">
        <f t="shared" ref="P16:P19" si="2">-SUM(K16:M16)</f>
        <v>0</v>
      </c>
      <c r="Q16" s="251" t="e">
        <f>SUM(E16:J16)/SUM($E$16:$J$19)</f>
        <v>#DIV/0!</v>
      </c>
    </row>
    <row r="17" spans="1:17" x14ac:dyDescent="0.35">
      <c r="A17" s="46" t="s">
        <v>105</v>
      </c>
      <c r="C17" s="97">
        <v>0</v>
      </c>
      <c r="D17" s="253"/>
      <c r="E17" s="108"/>
      <c r="F17" s="108"/>
      <c r="G17" s="108"/>
      <c r="H17" s="288"/>
      <c r="I17" s="340"/>
      <c r="J17" s="340"/>
      <c r="K17" s="291"/>
      <c r="L17" s="135"/>
      <c r="M17" s="76"/>
      <c r="P17" s="47">
        <f t="shared" si="2"/>
        <v>0</v>
      </c>
      <c r="Q17" s="251" t="e">
        <f t="shared" ref="Q17:Q19" si="3">SUM(E17:J17)/SUM($E$16:$J$19)</f>
        <v>#DIV/0!</v>
      </c>
    </row>
    <row r="18" spans="1:17" x14ac:dyDescent="0.35">
      <c r="A18" s="46" t="s">
        <v>106</v>
      </c>
      <c r="C18" s="97">
        <v>0</v>
      </c>
      <c r="D18" s="253"/>
      <c r="E18" s="108"/>
      <c r="F18" s="108"/>
      <c r="G18" s="108"/>
      <c r="H18" s="288"/>
      <c r="I18" s="340"/>
      <c r="J18" s="340"/>
      <c r="K18" s="291"/>
      <c r="L18" s="135"/>
      <c r="M18" s="76"/>
      <c r="P18" s="47">
        <f t="shared" si="2"/>
        <v>0</v>
      </c>
      <c r="Q18" s="251" t="e">
        <f t="shared" si="3"/>
        <v>#DIV/0!</v>
      </c>
    </row>
    <row r="19" spans="1:17" x14ac:dyDescent="0.35">
      <c r="A19" s="46" t="s">
        <v>107</v>
      </c>
      <c r="C19" s="97">
        <v>0</v>
      </c>
      <c r="D19" s="253"/>
      <c r="E19" s="108"/>
      <c r="F19" s="108"/>
      <c r="G19" s="108"/>
      <c r="H19" s="288"/>
      <c r="I19" s="340"/>
      <c r="J19" s="340"/>
      <c r="K19" s="291"/>
      <c r="L19" s="135"/>
      <c r="M19" s="76"/>
      <c r="P19" s="47">
        <f t="shared" si="2"/>
        <v>0</v>
      </c>
      <c r="Q19" s="251" t="e">
        <f t="shared" si="3"/>
        <v>#DIV/0!</v>
      </c>
    </row>
    <row r="20" spans="1:17" x14ac:dyDescent="0.35">
      <c r="C20" s="99"/>
      <c r="D20" s="146"/>
      <c r="E20" s="313"/>
      <c r="F20" s="313"/>
      <c r="G20" s="254"/>
      <c r="H20" s="98"/>
      <c r="I20" s="254"/>
      <c r="J20" s="254"/>
      <c r="K20" s="28"/>
      <c r="L20" s="17"/>
      <c r="M20" s="11"/>
    </row>
    <row r="21" spans="1:17" x14ac:dyDescent="0.35">
      <c r="A21" s="39" t="s">
        <v>46</v>
      </c>
      <c r="B21" s="39"/>
      <c r="C21" s="101"/>
      <c r="D21" s="255"/>
      <c r="E21" s="31"/>
      <c r="F21" s="31"/>
      <c r="G21" s="31"/>
      <c r="H21" s="28"/>
      <c r="I21" s="31"/>
      <c r="J21" s="11"/>
      <c r="K21" s="17"/>
      <c r="L21" s="17"/>
      <c r="M21" s="11"/>
    </row>
    <row r="22" spans="1:17" x14ac:dyDescent="0.35">
      <c r="A22" s="46" t="s">
        <v>24</v>
      </c>
      <c r="C22" s="341">
        <v>-657358351</v>
      </c>
      <c r="D22" s="256"/>
      <c r="E22" s="110">
        <f>+'PCR Cycle 2'!E27</f>
        <v>153239284.89905</v>
      </c>
      <c r="F22" s="110">
        <f>+'PCR Cycle 2'!F27</f>
        <v>210846674.27977499</v>
      </c>
      <c r="G22" s="110">
        <f>+'PCR Cycle 2'!G27</f>
        <v>297215222.53432494</v>
      </c>
      <c r="H22" s="288">
        <f>+'PCR Cycle 2'!H27</f>
        <v>286260248.13420004</v>
      </c>
      <c r="I22" s="340">
        <f>+'PCR Cycle 2'!I27</f>
        <v>255273952.1169</v>
      </c>
      <c r="J22" s="176">
        <f>+'PCR Cycle 2'!J27</f>
        <v>201939088.9147</v>
      </c>
      <c r="K22" s="172">
        <f>+'PCR Cycle 2'!K27</f>
        <v>167074289</v>
      </c>
      <c r="L22" s="136">
        <f>+'PCR Cycle 2'!L27</f>
        <v>239068877</v>
      </c>
      <c r="M22" s="77">
        <f>+'PCR Cycle 2'!M27</f>
        <v>268678591</v>
      </c>
      <c r="P22" s="47">
        <f>-SUM(K22:M22)</f>
        <v>-674821757</v>
      </c>
    </row>
    <row r="23" spans="1:17" x14ac:dyDescent="0.35">
      <c r="A23" s="46" t="s">
        <v>104</v>
      </c>
      <c r="C23" s="341">
        <v>-162787241</v>
      </c>
      <c r="D23" s="256"/>
      <c r="E23" s="110">
        <f>+'PCR Cycle 2'!E28</f>
        <v>46560109.629100002</v>
      </c>
      <c r="F23" s="110">
        <f>+'PCR Cycle 2'!F28</f>
        <v>53859029.526499979</v>
      </c>
      <c r="G23" s="110">
        <f>+'PCR Cycle 2'!G28</f>
        <v>62593563.4212</v>
      </c>
      <c r="H23" s="288">
        <f>+'PCR Cycle 2'!H28</f>
        <v>61218366.141400002</v>
      </c>
      <c r="I23" s="340">
        <f>+'PCR Cycle 2'!I28</f>
        <v>60723433.253599994</v>
      </c>
      <c r="J23" s="176">
        <f>+'PCR Cycle 2'!J28</f>
        <v>56246827.012800001</v>
      </c>
      <c r="K23" s="172">
        <f>+'PCR Cycle 2'!K28</f>
        <v>49738579</v>
      </c>
      <c r="L23" s="136">
        <f>+'PCR Cycle 2'!L28</f>
        <v>54511459</v>
      </c>
      <c r="M23" s="77">
        <f>+'PCR Cycle 2'!M28</f>
        <v>55002376</v>
      </c>
      <c r="P23" s="47">
        <f t="shared" ref="P23:P26" si="4">-SUM(K23:M23)</f>
        <v>-159252414</v>
      </c>
    </row>
    <row r="24" spans="1:17" x14ac:dyDescent="0.35">
      <c r="A24" s="46" t="s">
        <v>105</v>
      </c>
      <c r="C24" s="341">
        <v>-286235085</v>
      </c>
      <c r="D24" s="256"/>
      <c r="E24" s="110">
        <f>+'PCR Cycle 2'!E29</f>
        <v>80438413.420566693</v>
      </c>
      <c r="F24" s="110">
        <f>+'PCR Cycle 2'!F29</f>
        <v>90499639.286300018</v>
      </c>
      <c r="G24" s="110">
        <f>+'PCR Cycle 2'!G29</f>
        <v>106261076.09569998</v>
      </c>
      <c r="H24" s="288">
        <f>+'PCR Cycle 2'!H29</f>
        <v>102925993.0899</v>
      </c>
      <c r="I24" s="340">
        <f>+'PCR Cycle 2'!I29</f>
        <v>100768422.81480001</v>
      </c>
      <c r="J24" s="176">
        <f>+'PCR Cycle 2'!J29</f>
        <v>96410730.746499971</v>
      </c>
      <c r="K24" s="172">
        <f>+'PCR Cycle 2'!K29</f>
        <v>88082196</v>
      </c>
      <c r="L24" s="136">
        <f>+'PCR Cycle 2'!L29</f>
        <v>96534503</v>
      </c>
      <c r="M24" s="77">
        <f>+'PCR Cycle 2'!M29</f>
        <v>97403870</v>
      </c>
      <c r="P24" s="47">
        <f t="shared" si="4"/>
        <v>-282020569</v>
      </c>
    </row>
    <row r="25" spans="1:17" x14ac:dyDescent="0.35">
      <c r="A25" s="46" t="s">
        <v>106</v>
      </c>
      <c r="C25" s="341">
        <v>-455019756</v>
      </c>
      <c r="D25" s="256"/>
      <c r="E25" s="110">
        <f>+'PCR Cycle 2'!E30</f>
        <v>143005435.02040002</v>
      </c>
      <c r="F25" s="110">
        <f>+'PCR Cycle 2'!F30</f>
        <v>145949547.34579995</v>
      </c>
      <c r="G25" s="110">
        <f>+'PCR Cycle 2'!G30</f>
        <v>164265592.85449997</v>
      </c>
      <c r="H25" s="288">
        <f>+'PCR Cycle 2'!H30</f>
        <v>160549625.93380001</v>
      </c>
      <c r="I25" s="340">
        <f>+'PCR Cycle 2'!I30</f>
        <v>165231923.7969</v>
      </c>
      <c r="J25" s="176">
        <f>+'PCR Cycle 2'!J30</f>
        <v>156338420.49240002</v>
      </c>
      <c r="K25" s="172">
        <f>+'PCR Cycle 2'!K30</f>
        <v>142785031</v>
      </c>
      <c r="L25" s="136">
        <f>+'PCR Cycle 2'!L30</f>
        <v>156486586</v>
      </c>
      <c r="M25" s="77">
        <f>+'PCR Cycle 2'!M30</f>
        <v>157895867</v>
      </c>
      <c r="P25" s="47">
        <f t="shared" si="4"/>
        <v>-457167484</v>
      </c>
    </row>
    <row r="26" spans="1:17" x14ac:dyDescent="0.35">
      <c r="A26" s="46" t="s">
        <v>107</v>
      </c>
      <c r="C26" s="341">
        <v>-120889513</v>
      </c>
      <c r="D26" s="256"/>
      <c r="E26" s="110">
        <f>+'PCR Cycle 2'!E31</f>
        <v>38353635.6259</v>
      </c>
      <c r="F26" s="110">
        <f>+'PCR Cycle 2'!F31</f>
        <v>31926396.805000003</v>
      </c>
      <c r="G26" s="110">
        <f>+'PCR Cycle 2'!G31</f>
        <v>50741690.576499999</v>
      </c>
      <c r="H26" s="288">
        <f>+'PCR Cycle 2'!H31</f>
        <v>43563811.763799995</v>
      </c>
      <c r="I26" s="340">
        <f>+'PCR Cycle 2'!I31</f>
        <v>37736677.327199996</v>
      </c>
      <c r="J26" s="176">
        <f>+'PCR Cycle 2'!J31</f>
        <v>49957863.223899998</v>
      </c>
      <c r="K26" s="172">
        <f>+'PCR Cycle 2'!K31</f>
        <v>40132413</v>
      </c>
      <c r="L26" s="136">
        <f>+'PCR Cycle 2'!L31</f>
        <v>43983492</v>
      </c>
      <c r="M26" s="77">
        <f>+'PCR Cycle 2'!M31</f>
        <v>44379597</v>
      </c>
      <c r="P26" s="47">
        <f t="shared" si="4"/>
        <v>-128495502</v>
      </c>
    </row>
    <row r="27" spans="1:17" x14ac:dyDescent="0.35">
      <c r="C27" s="99"/>
      <c r="D27" s="146"/>
      <c r="E27" s="31"/>
      <c r="F27" s="31"/>
      <c r="G27" s="31"/>
      <c r="H27" s="28"/>
      <c r="I27" s="31"/>
      <c r="J27" s="11"/>
      <c r="K27" s="17"/>
      <c r="L27" s="17"/>
      <c r="M27" s="11"/>
    </row>
    <row r="28" spans="1:17" x14ac:dyDescent="0.35">
      <c r="A28" s="46" t="s">
        <v>33</v>
      </c>
      <c r="C28" s="99"/>
      <c r="D28" s="146"/>
      <c r="E28" s="18"/>
      <c r="F28" s="18"/>
      <c r="G28" s="18"/>
      <c r="H28" s="91"/>
      <c r="I28" s="18"/>
      <c r="J28" s="11"/>
      <c r="K28" s="57"/>
      <c r="L28" s="57"/>
      <c r="M28" s="58"/>
      <c r="N28" s="63" t="s">
        <v>49</v>
      </c>
      <c r="O28" s="39"/>
      <c r="P28" s="39"/>
    </row>
    <row r="29" spans="1:17" x14ac:dyDescent="0.35">
      <c r="A29" s="46" t="s">
        <v>24</v>
      </c>
      <c r="C29" s="97">
        <v>0</v>
      </c>
      <c r="D29" s="253"/>
      <c r="E29" s="108"/>
      <c r="F29" s="108"/>
      <c r="G29" s="108">
        <f>'[5]July 2024'!$G128+'[5]July 2024'!$G136</f>
        <v>0</v>
      </c>
      <c r="H29" s="182">
        <f>'[5]August 2024'!$G128+'[5]August 2024'!$G136</f>
        <v>808.59</v>
      </c>
      <c r="I29" s="55">
        <f>'[5]September 2024'!$G128+'[5]September 2024'!$G136</f>
        <v>2523.39</v>
      </c>
      <c r="J29" s="174">
        <f>'[5]October 2024'!$G128+'[5]October 2024'!$G136</f>
        <v>2019.33</v>
      </c>
      <c r="K29" s="119">
        <f>ROUND(K22*$N29,2)</f>
        <v>1670.74</v>
      </c>
      <c r="L29" s="41">
        <f t="shared" ref="L29:M29" si="5">ROUND(L22*$N29,2)</f>
        <v>2390.69</v>
      </c>
      <c r="M29" s="61">
        <f t="shared" si="5"/>
        <v>2686.79</v>
      </c>
      <c r="N29" s="72">
        <v>1.0000000000000001E-5</v>
      </c>
      <c r="P29" s="47">
        <f>-SUM(K29:M29)</f>
        <v>-6748.22</v>
      </c>
    </row>
    <row r="30" spans="1:17" x14ac:dyDescent="0.35">
      <c r="A30" s="46" t="s">
        <v>104</v>
      </c>
      <c r="C30" s="97">
        <v>0</v>
      </c>
      <c r="D30" s="253"/>
      <c r="E30" s="108"/>
      <c r="F30" s="108"/>
      <c r="G30" s="108">
        <f>'[5]July 2024'!$G129+'[5]July 2024'!$G137</f>
        <v>0</v>
      </c>
      <c r="H30" s="182">
        <f>'[5]August 2024'!$G129+'[5]August 2024'!$G137</f>
        <v>0</v>
      </c>
      <c r="I30" s="55">
        <f>'[5]September 2024'!$G129+'[5]September 2024'!$G137</f>
        <v>0</v>
      </c>
      <c r="J30" s="174">
        <f>'[5]October 2024'!$G129+'[5]October 2024'!$G137</f>
        <v>0</v>
      </c>
      <c r="K30" s="119">
        <f t="shared" ref="K30:M32" si="6">ROUND(K23*$N30,2)</f>
        <v>0</v>
      </c>
      <c r="L30" s="41">
        <f t="shared" si="6"/>
        <v>0</v>
      </c>
      <c r="M30" s="61">
        <f t="shared" si="6"/>
        <v>0</v>
      </c>
      <c r="N30" s="72">
        <v>0</v>
      </c>
      <c r="P30" s="47">
        <f t="shared" ref="P30:P33" si="7">-SUM(K30:M30)</f>
        <v>0</v>
      </c>
    </row>
    <row r="31" spans="1:17" x14ac:dyDescent="0.35">
      <c r="A31" s="46" t="s">
        <v>105</v>
      </c>
      <c r="C31" s="97">
        <v>0</v>
      </c>
      <c r="D31" s="253"/>
      <c r="E31" s="108"/>
      <c r="F31" s="108"/>
      <c r="G31" s="108">
        <f>'[5]July 2024'!$G130+'[5]July 2024'!$G138</f>
        <v>0</v>
      </c>
      <c r="H31" s="182">
        <f>'[5]August 2024'!$G130+'[5]August 2024'!$G138</f>
        <v>270.11</v>
      </c>
      <c r="I31" s="55">
        <f>'[5]September 2024'!$G130+'[5]September 2024'!$G138</f>
        <v>1003.15</v>
      </c>
      <c r="J31" s="174">
        <f>'[5]October 2024'!$G130+'[5]October 2024'!$G138</f>
        <v>959.28</v>
      </c>
      <c r="K31" s="119">
        <f t="shared" si="6"/>
        <v>880.82</v>
      </c>
      <c r="L31" s="41">
        <f t="shared" si="6"/>
        <v>965.35</v>
      </c>
      <c r="M31" s="61">
        <f t="shared" si="6"/>
        <v>974.04</v>
      </c>
      <c r="N31" s="72">
        <v>1.0000000000000001E-5</v>
      </c>
      <c r="P31" s="47">
        <f t="shared" si="7"/>
        <v>-2820.21</v>
      </c>
    </row>
    <row r="32" spans="1:17" x14ac:dyDescent="0.35">
      <c r="A32" s="46" t="s">
        <v>106</v>
      </c>
      <c r="C32" s="97">
        <v>0</v>
      </c>
      <c r="D32" s="253"/>
      <c r="E32" s="108"/>
      <c r="F32" s="108"/>
      <c r="G32" s="108">
        <f>'[5]July 2024'!$G131+'[5]July 2024'!$G139</f>
        <v>0</v>
      </c>
      <c r="H32" s="182">
        <f>'[5]August 2024'!$G131+'[5]August 2024'!$G139</f>
        <v>449.22</v>
      </c>
      <c r="I32" s="55">
        <f>'[5]September 2024'!$G131+'[5]September 2024'!$G139</f>
        <v>1634.19</v>
      </c>
      <c r="J32" s="174">
        <f>'[5]October 2024'!$G131+'[5]October 2024'!$G139</f>
        <v>1568.4</v>
      </c>
      <c r="K32" s="119">
        <f t="shared" si="6"/>
        <v>1427.85</v>
      </c>
      <c r="L32" s="41">
        <f t="shared" si="6"/>
        <v>1564.87</v>
      </c>
      <c r="M32" s="61">
        <f t="shared" si="6"/>
        <v>1578.96</v>
      </c>
      <c r="N32" s="72">
        <v>1.0000000000000001E-5</v>
      </c>
      <c r="P32" s="47">
        <f t="shared" si="7"/>
        <v>-4571.68</v>
      </c>
    </row>
    <row r="33" spans="1:16" x14ac:dyDescent="0.35">
      <c r="A33" s="46" t="s">
        <v>107</v>
      </c>
      <c r="C33" s="97">
        <v>0</v>
      </c>
      <c r="D33" s="253"/>
      <c r="E33" s="108"/>
      <c r="F33" s="108"/>
      <c r="G33" s="108">
        <f>'[5]July 2024'!$G132+'[5]July 2024'!$G140</f>
        <v>0</v>
      </c>
      <c r="H33" s="182">
        <f>'[5]August 2024'!$G132+'[5]August 2024'!$G140</f>
        <v>256.39</v>
      </c>
      <c r="I33" s="55">
        <f>'[5]September 2024'!$G132+'[5]September 2024'!$G140</f>
        <v>750.73</v>
      </c>
      <c r="J33" s="174">
        <f>'[5]October 2024'!$G132+'[5]October 2024'!$G140</f>
        <v>999.16</v>
      </c>
      <c r="K33" s="119">
        <f>ROUND(K26*$N33,2)</f>
        <v>802.65</v>
      </c>
      <c r="L33" s="41">
        <f>ROUND(L26*$N33,2)</f>
        <v>879.67</v>
      </c>
      <c r="M33" s="61">
        <f>ROUND(M26*$N33,2)</f>
        <v>887.59</v>
      </c>
      <c r="N33" s="72">
        <v>2.0000000000000002E-5</v>
      </c>
      <c r="P33" s="47">
        <f t="shared" si="7"/>
        <v>-2569.91</v>
      </c>
    </row>
    <row r="34" spans="1:16" x14ac:dyDescent="0.35">
      <c r="C34" s="67"/>
      <c r="D34" s="68"/>
      <c r="E34" s="18"/>
      <c r="F34" s="18"/>
      <c r="G34" s="18"/>
      <c r="H34" s="91"/>
      <c r="I34" s="18"/>
      <c r="J34" s="11"/>
      <c r="K34" s="56"/>
      <c r="L34" s="56"/>
      <c r="M34" s="13"/>
      <c r="N34" s="4"/>
    </row>
    <row r="35" spans="1:16" ht="15" thickBot="1" x14ac:dyDescent="0.4">
      <c r="A35" s="46" t="s">
        <v>14</v>
      </c>
      <c r="C35" s="102">
        <v>0</v>
      </c>
      <c r="D35" s="257"/>
      <c r="E35" s="111">
        <v>0</v>
      </c>
      <c r="F35" s="111">
        <v>0</v>
      </c>
      <c r="G35" s="112">
        <v>0</v>
      </c>
      <c r="H35" s="26">
        <v>0</v>
      </c>
      <c r="I35" s="118">
        <v>0</v>
      </c>
      <c r="J35" s="175">
        <v>0</v>
      </c>
      <c r="K35" s="173">
        <f>ROUND((SUM(J45:J49)+SUM(J53:J57)+SUM(K38:K42)/2)*K$51,2)</f>
        <v>0</v>
      </c>
      <c r="L35" s="137">
        <f>ROUND((SUM(K45:K49)+SUM(K53:K57)+SUM(L38:L42)/2)*L$51,2)</f>
        <v>0</v>
      </c>
      <c r="M35" s="81"/>
      <c r="P35" s="47">
        <f t="shared" ref="P35" si="8">-SUM(K35:M35)</f>
        <v>0</v>
      </c>
    </row>
    <row r="36" spans="1:16" x14ac:dyDescent="0.35">
      <c r="C36" s="99"/>
      <c r="D36" s="146"/>
      <c r="E36" s="31"/>
      <c r="F36" s="31"/>
      <c r="G36" s="31"/>
      <c r="H36" s="28"/>
      <c r="I36" s="31"/>
      <c r="J36" s="11"/>
      <c r="K36" s="17"/>
      <c r="L36" s="17"/>
      <c r="M36" s="11"/>
    </row>
    <row r="37" spans="1:16" x14ac:dyDescent="0.35">
      <c r="A37" s="46" t="s">
        <v>51</v>
      </c>
      <c r="C37" s="99"/>
      <c r="D37" s="146"/>
      <c r="E37" s="31"/>
      <c r="F37" s="31"/>
      <c r="G37" s="31"/>
      <c r="H37" s="28"/>
      <c r="I37" s="31"/>
      <c r="J37" s="11"/>
      <c r="K37" s="17"/>
      <c r="L37" s="17"/>
      <c r="M37" s="11"/>
    </row>
    <row r="38" spans="1:16" x14ac:dyDescent="0.35">
      <c r="A38" s="46" t="s">
        <v>24</v>
      </c>
      <c r="C38" s="40">
        <f t="shared" ref="C38:M42" si="9">C15-C29</f>
        <v>0</v>
      </c>
      <c r="D38" s="119">
        <f t="shared" si="9"/>
        <v>0</v>
      </c>
      <c r="E38" s="41">
        <f t="shared" si="9"/>
        <v>0</v>
      </c>
      <c r="F38" s="41">
        <f t="shared" si="9"/>
        <v>0</v>
      </c>
      <c r="G38" s="107">
        <f t="shared" si="9"/>
        <v>0</v>
      </c>
      <c r="H38" s="40">
        <f t="shared" si="9"/>
        <v>-808.59</v>
      </c>
      <c r="I38" s="41">
        <f t="shared" si="9"/>
        <v>-2523.39</v>
      </c>
      <c r="J38" s="61">
        <f t="shared" si="9"/>
        <v>-2019.33</v>
      </c>
      <c r="K38" s="119">
        <f t="shared" si="9"/>
        <v>-1670.74</v>
      </c>
      <c r="L38" s="41">
        <f t="shared" si="9"/>
        <v>-2390.69</v>
      </c>
      <c r="M38" s="49">
        <f t="shared" si="9"/>
        <v>-2686.79</v>
      </c>
    </row>
    <row r="39" spans="1:16" x14ac:dyDescent="0.35">
      <c r="A39" s="46" t="s">
        <v>104</v>
      </c>
      <c r="C39" s="40">
        <f t="shared" si="9"/>
        <v>0</v>
      </c>
      <c r="D39" s="119">
        <f t="shared" si="9"/>
        <v>0</v>
      </c>
      <c r="E39" s="41">
        <f t="shared" si="9"/>
        <v>0</v>
      </c>
      <c r="F39" s="41">
        <f t="shared" si="9"/>
        <v>0</v>
      </c>
      <c r="G39" s="107">
        <f t="shared" si="9"/>
        <v>0</v>
      </c>
      <c r="H39" s="40">
        <f t="shared" si="9"/>
        <v>0</v>
      </c>
      <c r="I39" s="41">
        <f t="shared" si="9"/>
        <v>0</v>
      </c>
      <c r="J39" s="61">
        <f t="shared" si="9"/>
        <v>0</v>
      </c>
      <c r="K39" s="119">
        <f t="shared" si="9"/>
        <v>0</v>
      </c>
      <c r="L39" s="41">
        <f t="shared" si="9"/>
        <v>0</v>
      </c>
      <c r="M39" s="49">
        <f t="shared" si="9"/>
        <v>0</v>
      </c>
    </row>
    <row r="40" spans="1:16" x14ac:dyDescent="0.35">
      <c r="A40" s="46" t="s">
        <v>105</v>
      </c>
      <c r="C40" s="40">
        <f t="shared" si="9"/>
        <v>0</v>
      </c>
      <c r="D40" s="119">
        <f t="shared" si="9"/>
        <v>0</v>
      </c>
      <c r="E40" s="41">
        <f t="shared" si="9"/>
        <v>0</v>
      </c>
      <c r="F40" s="41">
        <f t="shared" si="9"/>
        <v>0</v>
      </c>
      <c r="G40" s="107">
        <f t="shared" si="9"/>
        <v>0</v>
      </c>
      <c r="H40" s="40">
        <f t="shared" si="9"/>
        <v>-270.11</v>
      </c>
      <c r="I40" s="41">
        <f t="shared" si="9"/>
        <v>-1003.15</v>
      </c>
      <c r="J40" s="61">
        <f t="shared" si="9"/>
        <v>-959.28</v>
      </c>
      <c r="K40" s="119">
        <f t="shared" si="9"/>
        <v>-880.82</v>
      </c>
      <c r="L40" s="41">
        <f t="shared" si="9"/>
        <v>-965.35</v>
      </c>
      <c r="M40" s="49">
        <f t="shared" si="9"/>
        <v>-974.04</v>
      </c>
    </row>
    <row r="41" spans="1:16" x14ac:dyDescent="0.35">
      <c r="A41" s="46" t="s">
        <v>106</v>
      </c>
      <c r="C41" s="40">
        <f t="shared" si="9"/>
        <v>0</v>
      </c>
      <c r="D41" s="119">
        <f t="shared" si="9"/>
        <v>0</v>
      </c>
      <c r="E41" s="41">
        <f t="shared" si="9"/>
        <v>0</v>
      </c>
      <c r="F41" s="41">
        <f t="shared" si="9"/>
        <v>0</v>
      </c>
      <c r="G41" s="107">
        <f t="shared" si="9"/>
        <v>0</v>
      </c>
      <c r="H41" s="40">
        <f t="shared" si="9"/>
        <v>-449.22</v>
      </c>
      <c r="I41" s="41">
        <f t="shared" si="9"/>
        <v>-1634.19</v>
      </c>
      <c r="J41" s="61">
        <f t="shared" si="9"/>
        <v>-1568.4</v>
      </c>
      <c r="K41" s="119">
        <f t="shared" si="9"/>
        <v>-1427.85</v>
      </c>
      <c r="L41" s="41">
        <f t="shared" si="9"/>
        <v>-1564.87</v>
      </c>
      <c r="M41" s="49">
        <f t="shared" si="9"/>
        <v>-1578.96</v>
      </c>
    </row>
    <row r="42" spans="1:16" x14ac:dyDescent="0.35">
      <c r="A42" s="46" t="s">
        <v>107</v>
      </c>
      <c r="C42" s="40">
        <f t="shared" si="9"/>
        <v>0</v>
      </c>
      <c r="D42" s="119">
        <f t="shared" si="9"/>
        <v>0</v>
      </c>
      <c r="E42" s="41">
        <f t="shared" si="9"/>
        <v>0</v>
      </c>
      <c r="F42" s="41">
        <f t="shared" si="9"/>
        <v>0</v>
      </c>
      <c r="G42" s="107">
        <f t="shared" si="9"/>
        <v>0</v>
      </c>
      <c r="H42" s="40">
        <f t="shared" si="9"/>
        <v>-256.39</v>
      </c>
      <c r="I42" s="41">
        <f t="shared" si="9"/>
        <v>-750.73</v>
      </c>
      <c r="J42" s="61">
        <f t="shared" si="9"/>
        <v>-999.16</v>
      </c>
      <c r="K42" s="119">
        <f t="shared" si="9"/>
        <v>-802.65</v>
      </c>
      <c r="L42" s="41">
        <f t="shared" si="9"/>
        <v>-879.67</v>
      </c>
      <c r="M42" s="49">
        <f t="shared" si="9"/>
        <v>-887.59</v>
      </c>
    </row>
    <row r="43" spans="1:16" x14ac:dyDescent="0.35">
      <c r="C43" s="99"/>
      <c r="D43" s="146"/>
      <c r="E43" s="31"/>
      <c r="F43" s="31"/>
      <c r="G43" s="31"/>
      <c r="H43" s="28"/>
      <c r="I43" s="31"/>
      <c r="J43" s="11"/>
      <c r="K43" s="17"/>
      <c r="L43" s="17"/>
      <c r="M43" s="11"/>
    </row>
    <row r="44" spans="1:16" ht="15" thickBot="1" x14ac:dyDescent="0.4">
      <c r="A44" s="46" t="s">
        <v>52</v>
      </c>
      <c r="C44" s="103"/>
      <c r="D44" s="258"/>
      <c r="E44" s="31"/>
      <c r="F44" s="31"/>
      <c r="G44" s="31"/>
      <c r="H44" s="28"/>
      <c r="I44" s="31"/>
      <c r="J44" s="11"/>
      <c r="K44" s="17"/>
      <c r="L44" s="17"/>
      <c r="M44" s="11"/>
    </row>
    <row r="45" spans="1:16" x14ac:dyDescent="0.35">
      <c r="A45" s="46" t="s">
        <v>24</v>
      </c>
      <c r="B45" s="297">
        <v>39392.199999999997</v>
      </c>
      <c r="C45" s="41">
        <f t="shared" ref="C45:M49" si="10">B45+C38+B53</f>
        <v>39392.199999999997</v>
      </c>
      <c r="D45" s="41">
        <f t="shared" si="10"/>
        <v>39392.199999999997</v>
      </c>
      <c r="E45" s="41">
        <f t="shared" si="10"/>
        <v>39392.199999999997</v>
      </c>
      <c r="F45" s="41">
        <f t="shared" si="10"/>
        <v>39392.199999999997</v>
      </c>
      <c r="G45" s="107">
        <f t="shared" si="10"/>
        <v>39392.199999999997</v>
      </c>
      <c r="H45" s="40">
        <f t="shared" si="10"/>
        <v>38583.61</v>
      </c>
      <c r="I45" s="41">
        <f t="shared" si="10"/>
        <v>36060.22</v>
      </c>
      <c r="J45" s="61">
        <f t="shared" si="10"/>
        <v>34040.89</v>
      </c>
      <c r="K45" s="119">
        <f t="shared" si="10"/>
        <v>32370.149999999998</v>
      </c>
      <c r="L45" s="41">
        <f t="shared" si="10"/>
        <v>29979.46</v>
      </c>
      <c r="M45" s="49">
        <f t="shared" si="10"/>
        <v>27292.67</v>
      </c>
    </row>
    <row r="46" spans="1:16" x14ac:dyDescent="0.35">
      <c r="A46" s="46" t="s">
        <v>104</v>
      </c>
      <c r="B46" s="299">
        <v>2884.6499999999996</v>
      </c>
      <c r="C46" s="41">
        <f t="shared" si="10"/>
        <v>2884.6499999999996</v>
      </c>
      <c r="D46" s="41">
        <f t="shared" si="10"/>
        <v>2884.6499999999996</v>
      </c>
      <c r="E46" s="41">
        <f t="shared" si="10"/>
        <v>2884.6499999999996</v>
      </c>
      <c r="F46" s="41">
        <f t="shared" si="10"/>
        <v>2884.6499999999996</v>
      </c>
      <c r="G46" s="107">
        <f t="shared" si="10"/>
        <v>2884.6499999999996</v>
      </c>
      <c r="H46" s="40">
        <f t="shared" si="10"/>
        <v>2884.6499999999996</v>
      </c>
      <c r="I46" s="41">
        <f t="shared" si="10"/>
        <v>2884.6499999999996</v>
      </c>
      <c r="J46" s="61">
        <f t="shared" si="10"/>
        <v>2884.6499999999996</v>
      </c>
      <c r="K46" s="119">
        <f t="shared" si="10"/>
        <v>2884.6499999999996</v>
      </c>
      <c r="L46" s="41">
        <f t="shared" si="10"/>
        <v>2884.6499999999996</v>
      </c>
      <c r="M46" s="49">
        <f t="shared" si="10"/>
        <v>2884.6499999999996</v>
      </c>
    </row>
    <row r="47" spans="1:16" x14ac:dyDescent="0.35">
      <c r="A47" s="46" t="s">
        <v>105</v>
      </c>
      <c r="B47" s="299">
        <v>7264.87</v>
      </c>
      <c r="C47" s="41">
        <f t="shared" si="10"/>
        <v>7264.87</v>
      </c>
      <c r="D47" s="41">
        <f t="shared" si="10"/>
        <v>7264.87</v>
      </c>
      <c r="E47" s="41">
        <f t="shared" si="10"/>
        <v>7264.87</v>
      </c>
      <c r="F47" s="41">
        <f t="shared" si="10"/>
        <v>7264.87</v>
      </c>
      <c r="G47" s="107">
        <f t="shared" si="10"/>
        <v>7264.87</v>
      </c>
      <c r="H47" s="40">
        <f t="shared" si="10"/>
        <v>6994.76</v>
      </c>
      <c r="I47" s="41">
        <f t="shared" si="10"/>
        <v>5991.6100000000006</v>
      </c>
      <c r="J47" s="61">
        <f t="shared" si="10"/>
        <v>5032.3300000000008</v>
      </c>
      <c r="K47" s="119">
        <f t="shared" si="10"/>
        <v>4151.5100000000011</v>
      </c>
      <c r="L47" s="41">
        <f t="shared" si="10"/>
        <v>3186.1600000000012</v>
      </c>
      <c r="M47" s="49">
        <f t="shared" si="10"/>
        <v>2212.1200000000013</v>
      </c>
    </row>
    <row r="48" spans="1:16" x14ac:dyDescent="0.35">
      <c r="A48" s="46" t="s">
        <v>106</v>
      </c>
      <c r="B48" s="299">
        <v>12162.75</v>
      </c>
      <c r="C48" s="41">
        <f t="shared" si="10"/>
        <v>12162.75</v>
      </c>
      <c r="D48" s="41">
        <f t="shared" si="10"/>
        <v>12162.75</v>
      </c>
      <c r="E48" s="41">
        <f t="shared" si="10"/>
        <v>12162.75</v>
      </c>
      <c r="F48" s="41">
        <f t="shared" si="10"/>
        <v>12162.75</v>
      </c>
      <c r="G48" s="107">
        <f t="shared" si="10"/>
        <v>12162.75</v>
      </c>
      <c r="H48" s="40">
        <f t="shared" si="10"/>
        <v>11713.53</v>
      </c>
      <c r="I48" s="41">
        <f t="shared" si="10"/>
        <v>10079.34</v>
      </c>
      <c r="J48" s="61">
        <f t="shared" si="10"/>
        <v>8510.94</v>
      </c>
      <c r="K48" s="119">
        <f t="shared" si="10"/>
        <v>7083.09</v>
      </c>
      <c r="L48" s="41">
        <f t="shared" si="10"/>
        <v>5518.22</v>
      </c>
      <c r="M48" s="49">
        <f t="shared" si="10"/>
        <v>3939.26</v>
      </c>
    </row>
    <row r="49" spans="1:18" ht="15" thickBot="1" x14ac:dyDescent="0.4">
      <c r="A49" s="46" t="s">
        <v>107</v>
      </c>
      <c r="B49" s="298">
        <v>12803.18</v>
      </c>
      <c r="C49" s="41">
        <f>B49+C42+B57</f>
        <v>12803.18</v>
      </c>
      <c r="D49" s="41">
        <f t="shared" si="10"/>
        <v>12803.18</v>
      </c>
      <c r="E49" s="41">
        <f t="shared" si="10"/>
        <v>12803.18</v>
      </c>
      <c r="F49" s="41">
        <f t="shared" si="10"/>
        <v>12803.18</v>
      </c>
      <c r="G49" s="107">
        <f t="shared" si="10"/>
        <v>12803.18</v>
      </c>
      <c r="H49" s="40">
        <f t="shared" si="10"/>
        <v>12546.79</v>
      </c>
      <c r="I49" s="41">
        <f t="shared" si="10"/>
        <v>11796.060000000001</v>
      </c>
      <c r="J49" s="61">
        <f t="shared" si="10"/>
        <v>10796.900000000001</v>
      </c>
      <c r="K49" s="119">
        <f t="shared" si="10"/>
        <v>9994.2500000000018</v>
      </c>
      <c r="L49" s="41">
        <f t="shared" si="10"/>
        <v>9114.5800000000017</v>
      </c>
      <c r="M49" s="49">
        <f t="shared" si="10"/>
        <v>8226.9900000000016</v>
      </c>
    </row>
    <row r="50" spans="1:18" x14ac:dyDescent="0.35">
      <c r="C50" s="99"/>
      <c r="D50" s="146"/>
      <c r="E50" s="31"/>
      <c r="F50" s="31"/>
      <c r="G50" s="31"/>
      <c r="H50" s="28"/>
      <c r="I50" s="31"/>
      <c r="J50" s="11"/>
      <c r="K50" s="17"/>
      <c r="L50" s="17"/>
      <c r="M50" s="11"/>
    </row>
    <row r="51" spans="1:18" x14ac:dyDescent="0.35">
      <c r="A51" s="39" t="s">
        <v>48</v>
      </c>
      <c r="B51" s="39"/>
      <c r="C51" s="103"/>
      <c r="D51" s="258"/>
      <c r="E51" s="320">
        <v>0</v>
      </c>
      <c r="F51" s="320">
        <v>0</v>
      </c>
      <c r="G51" s="320">
        <v>0</v>
      </c>
      <c r="H51" s="321">
        <v>0</v>
      </c>
      <c r="I51" s="320">
        <v>0</v>
      </c>
      <c r="J51" s="322">
        <v>0</v>
      </c>
      <c r="K51" s="320">
        <v>0</v>
      </c>
      <c r="L51" s="320">
        <v>0</v>
      </c>
      <c r="M51" s="92"/>
    </row>
    <row r="52" spans="1:18" x14ac:dyDescent="0.35">
      <c r="A52" s="39" t="s">
        <v>36</v>
      </c>
      <c r="B52" s="39"/>
      <c r="C52" s="99"/>
      <c r="D52" s="146"/>
      <c r="E52" s="31"/>
      <c r="F52" s="31"/>
      <c r="G52" s="31"/>
      <c r="H52" s="28"/>
      <c r="I52" s="31"/>
      <c r="J52" s="11"/>
      <c r="K52" s="17"/>
      <c r="L52" s="17"/>
      <c r="M52" s="11"/>
      <c r="N52" s="71"/>
    </row>
    <row r="53" spans="1:18" x14ac:dyDescent="0.35">
      <c r="A53" s="46" t="s">
        <v>24</v>
      </c>
      <c r="C53" s="301">
        <v>0</v>
      </c>
      <c r="D53" s="119"/>
      <c r="E53" s="41">
        <f>ROUND((C45+C53+D53+E38/2)*E$51,2)</f>
        <v>0</v>
      </c>
      <c r="F53" s="41">
        <f t="shared" ref="F53:L57" si="11">ROUND((E45+E53+F38/2)*F$51,2)</f>
        <v>0</v>
      </c>
      <c r="G53" s="107">
        <f t="shared" si="11"/>
        <v>0</v>
      </c>
      <c r="H53" s="40">
        <f t="shared" si="11"/>
        <v>0</v>
      </c>
      <c r="I53" s="119">
        <f t="shared" si="11"/>
        <v>0</v>
      </c>
      <c r="J53" s="61">
        <f t="shared" si="11"/>
        <v>0</v>
      </c>
      <c r="K53" s="119">
        <f t="shared" si="11"/>
        <v>0</v>
      </c>
      <c r="L53" s="119">
        <f t="shared" si="11"/>
        <v>0</v>
      </c>
      <c r="M53" s="49"/>
      <c r="P53" s="47">
        <f t="shared" ref="P53:P57" si="12">-SUM(K53:M53)</f>
        <v>0</v>
      </c>
    </row>
    <row r="54" spans="1:18" x14ac:dyDescent="0.35">
      <c r="A54" s="46" t="s">
        <v>104</v>
      </c>
      <c r="C54" s="342">
        <v>0</v>
      </c>
      <c r="D54" s="259"/>
      <c r="E54" s="41">
        <f t="shared" ref="E54:E57" si="13">ROUND((C46+C54+D54+E39/2)*E$51,2)</f>
        <v>0</v>
      </c>
      <c r="F54" s="41">
        <f t="shared" si="11"/>
        <v>0</v>
      </c>
      <c r="G54" s="107">
        <f t="shared" si="11"/>
        <v>0</v>
      </c>
      <c r="H54" s="40">
        <f t="shared" si="11"/>
        <v>0</v>
      </c>
      <c r="I54" s="119">
        <f t="shared" si="11"/>
        <v>0</v>
      </c>
      <c r="J54" s="61">
        <f t="shared" si="11"/>
        <v>0</v>
      </c>
      <c r="K54" s="119">
        <f t="shared" si="11"/>
        <v>0</v>
      </c>
      <c r="L54" s="119">
        <f t="shared" si="11"/>
        <v>0</v>
      </c>
      <c r="M54" s="49"/>
      <c r="P54" s="47">
        <f t="shared" si="12"/>
        <v>0</v>
      </c>
    </row>
    <row r="55" spans="1:18" x14ac:dyDescent="0.35">
      <c r="A55" s="46" t="s">
        <v>105</v>
      </c>
      <c r="C55" s="342">
        <v>0</v>
      </c>
      <c r="D55" s="259"/>
      <c r="E55" s="41">
        <f t="shared" si="13"/>
        <v>0</v>
      </c>
      <c r="F55" s="41">
        <f t="shared" si="11"/>
        <v>0</v>
      </c>
      <c r="G55" s="107">
        <f t="shared" si="11"/>
        <v>0</v>
      </c>
      <c r="H55" s="40">
        <f t="shared" si="11"/>
        <v>0</v>
      </c>
      <c r="I55" s="119">
        <f t="shared" si="11"/>
        <v>0</v>
      </c>
      <c r="J55" s="61">
        <f t="shared" si="11"/>
        <v>0</v>
      </c>
      <c r="K55" s="119">
        <f t="shared" si="11"/>
        <v>0</v>
      </c>
      <c r="L55" s="119">
        <f t="shared" si="11"/>
        <v>0</v>
      </c>
      <c r="M55" s="49"/>
      <c r="P55" s="47">
        <f t="shared" si="12"/>
        <v>0</v>
      </c>
    </row>
    <row r="56" spans="1:18" x14ac:dyDescent="0.35">
      <c r="A56" s="46" t="s">
        <v>106</v>
      </c>
      <c r="C56" s="342">
        <v>0</v>
      </c>
      <c r="D56" s="259"/>
      <c r="E56" s="41">
        <f t="shared" si="13"/>
        <v>0</v>
      </c>
      <c r="F56" s="41">
        <f t="shared" si="11"/>
        <v>0</v>
      </c>
      <c r="G56" s="107">
        <f t="shared" si="11"/>
        <v>0</v>
      </c>
      <c r="H56" s="40">
        <f t="shared" si="11"/>
        <v>0</v>
      </c>
      <c r="I56" s="119">
        <f t="shared" si="11"/>
        <v>0</v>
      </c>
      <c r="J56" s="61">
        <f t="shared" si="11"/>
        <v>0</v>
      </c>
      <c r="K56" s="119">
        <f t="shared" si="11"/>
        <v>0</v>
      </c>
      <c r="L56" s="119">
        <f t="shared" si="11"/>
        <v>0</v>
      </c>
      <c r="M56" s="49"/>
      <c r="P56" s="47">
        <f t="shared" si="12"/>
        <v>0</v>
      </c>
    </row>
    <row r="57" spans="1:18" ht="15" thickBot="1" x14ac:dyDescent="0.4">
      <c r="A57" s="46" t="s">
        <v>107</v>
      </c>
      <c r="C57" s="343">
        <v>0</v>
      </c>
      <c r="D57" s="259"/>
      <c r="E57" s="41">
        <f t="shared" si="13"/>
        <v>0</v>
      </c>
      <c r="F57" s="41">
        <f t="shared" si="11"/>
        <v>0</v>
      </c>
      <c r="G57" s="107">
        <f t="shared" si="11"/>
        <v>0</v>
      </c>
      <c r="H57" s="40">
        <f t="shared" si="11"/>
        <v>0</v>
      </c>
      <c r="I57" s="119">
        <f t="shared" si="11"/>
        <v>0</v>
      </c>
      <c r="J57" s="61">
        <f t="shared" si="11"/>
        <v>0</v>
      </c>
      <c r="K57" s="119">
        <f t="shared" si="11"/>
        <v>0</v>
      </c>
      <c r="L57" s="119">
        <f t="shared" si="11"/>
        <v>0</v>
      </c>
      <c r="M57" s="49"/>
      <c r="N57" s="292"/>
      <c r="O57" s="292"/>
      <c r="P57" s="47">
        <f t="shared" si="12"/>
        <v>0</v>
      </c>
    </row>
    <row r="58" spans="1:18" ht="15.5" thickTop="1" thickBot="1" x14ac:dyDescent="0.4">
      <c r="A58" s="54" t="s">
        <v>22</v>
      </c>
      <c r="B58" s="54"/>
      <c r="C58" s="113">
        <v>0</v>
      </c>
      <c r="D58" s="260"/>
      <c r="E58" s="32">
        <f t="shared" ref="E58:M58" si="14">SUM(E53:E57)+SUM(E45:E49)-E61</f>
        <v>0</v>
      </c>
      <c r="F58" s="32">
        <f t="shared" si="14"/>
        <v>0</v>
      </c>
      <c r="G58" s="50">
        <f t="shared" si="14"/>
        <v>0</v>
      </c>
      <c r="H58" s="120">
        <f t="shared" si="14"/>
        <v>0</v>
      </c>
      <c r="I58" s="32">
        <f t="shared" si="14"/>
        <v>0</v>
      </c>
      <c r="J58" s="62">
        <f t="shared" si="14"/>
        <v>0</v>
      </c>
      <c r="K58" s="160">
        <f t="shared" si="14"/>
        <v>0</v>
      </c>
      <c r="L58" s="32">
        <f t="shared" si="14"/>
        <v>0</v>
      </c>
      <c r="M58" s="96">
        <f t="shared" si="14"/>
        <v>0</v>
      </c>
    </row>
    <row r="59" spans="1:18" ht="15.5" thickTop="1" thickBot="1" x14ac:dyDescent="0.4">
      <c r="A59" s="54" t="s">
        <v>23</v>
      </c>
      <c r="B59" s="54"/>
      <c r="C59" s="106">
        <v>0</v>
      </c>
      <c r="D59" s="261"/>
      <c r="E59" s="32">
        <f t="shared" ref="E59:J59" si="15">SUM(E53:E57)-E35</f>
        <v>0</v>
      </c>
      <c r="F59" s="32">
        <f t="shared" si="15"/>
        <v>0</v>
      </c>
      <c r="G59" s="50">
        <f t="shared" ref="G59:I59" si="16">SUM(G53:G57)-G35</f>
        <v>0</v>
      </c>
      <c r="H59" s="51">
        <f t="shared" si="16"/>
        <v>0</v>
      </c>
      <c r="I59" s="32">
        <f t="shared" si="16"/>
        <v>0</v>
      </c>
      <c r="J59" s="62">
        <f t="shared" si="15"/>
        <v>0</v>
      </c>
      <c r="K59" s="160">
        <f t="shared" ref="K59:M59" si="17">SUM(K53:K57)-K35</f>
        <v>0</v>
      </c>
      <c r="L59" s="32">
        <f t="shared" si="17"/>
        <v>0</v>
      </c>
      <c r="M59" s="96">
        <f t="shared" si="17"/>
        <v>0</v>
      </c>
    </row>
    <row r="60" spans="1:18" ht="15.5" thickTop="1" thickBot="1" x14ac:dyDescent="0.4">
      <c r="C60" s="99"/>
      <c r="D60" s="146"/>
      <c r="E60" s="17"/>
      <c r="F60" s="17"/>
      <c r="G60" s="17"/>
      <c r="H60" s="10"/>
      <c r="I60" s="17"/>
      <c r="J60" s="11"/>
      <c r="K60" s="17"/>
      <c r="L60" s="17"/>
      <c r="M60" s="11"/>
    </row>
    <row r="61" spans="1:18" ht="15" thickBot="1" x14ac:dyDescent="0.4">
      <c r="A61" s="46" t="s">
        <v>35</v>
      </c>
      <c r="B61" s="115">
        <f>SUM(B45:B49)</f>
        <v>74507.649999999994</v>
      </c>
      <c r="C61" s="40">
        <f>(SUM(C15:C19)-SUM(C29:C33))+SUM(C53:C57)+B61</f>
        <v>74507.649999999994</v>
      </c>
      <c r="D61" s="41">
        <f>(SUM(D15:D19)-SUM(D29:D33))+SUM(D53:D57)+C61</f>
        <v>74507.649999999994</v>
      </c>
      <c r="E61" s="41">
        <f>(SUM(E15:E19)-SUM(E29:E33))+SUM(D53:E57)+C61</f>
        <v>74507.649999999994</v>
      </c>
      <c r="F61" s="41">
        <f t="shared" ref="F61:M61" si="18">(SUM(F15:F19)-SUM(F29:F33))+SUM(F53:F57)+E61</f>
        <v>74507.649999999994</v>
      </c>
      <c r="G61" s="107">
        <f t="shared" si="18"/>
        <v>74507.649999999994</v>
      </c>
      <c r="H61" s="40">
        <f t="shared" si="18"/>
        <v>72723.34</v>
      </c>
      <c r="I61" s="41">
        <f t="shared" si="18"/>
        <v>66811.88</v>
      </c>
      <c r="J61" s="61">
        <f t="shared" si="18"/>
        <v>61265.710000000006</v>
      </c>
      <c r="K61" s="119">
        <f t="shared" si="18"/>
        <v>56483.650000000009</v>
      </c>
      <c r="L61" s="41">
        <f t="shared" si="18"/>
        <v>50683.070000000007</v>
      </c>
      <c r="M61" s="61">
        <f t="shared" si="18"/>
        <v>44555.69000000001</v>
      </c>
      <c r="R61" s="332"/>
    </row>
    <row r="62" spans="1:18" x14ac:dyDescent="0.35">
      <c r="A62" s="46" t="s">
        <v>12</v>
      </c>
      <c r="C62" s="116"/>
      <c r="D62" s="17"/>
      <c r="E62" s="56"/>
      <c r="F62" s="56"/>
      <c r="G62" s="56"/>
      <c r="H62" s="12"/>
      <c r="I62" s="56"/>
      <c r="J62" s="11"/>
      <c r="K62" s="17"/>
      <c r="L62" s="17"/>
      <c r="M62" s="11"/>
    </row>
    <row r="63" spans="1:18" ht="15" thickBot="1" x14ac:dyDescent="0.4">
      <c r="B63" s="17"/>
      <c r="C63" s="43"/>
      <c r="D63" s="44"/>
      <c r="E63" s="44"/>
      <c r="F63" s="44"/>
      <c r="G63" s="44"/>
      <c r="H63" s="43"/>
      <c r="I63" s="44"/>
      <c r="J63" s="45"/>
      <c r="K63" s="44"/>
      <c r="L63" s="44"/>
      <c r="M63" s="45"/>
    </row>
    <row r="64" spans="1:18" x14ac:dyDescent="0.35">
      <c r="D64" s="47"/>
    </row>
    <row r="65" spans="1:13" x14ac:dyDescent="0.35">
      <c r="A65" s="69" t="s">
        <v>11</v>
      </c>
      <c r="B65" s="69"/>
      <c r="C65" s="69"/>
      <c r="D65" s="69"/>
    </row>
    <row r="66" spans="1:13" ht="29.25" customHeight="1" x14ac:dyDescent="0.35">
      <c r="A66" s="381" t="s">
        <v>308</v>
      </c>
      <c r="B66" s="381"/>
      <c r="C66" s="381"/>
      <c r="D66" s="381"/>
      <c r="E66" s="381"/>
      <c r="F66" s="381"/>
      <c r="G66" s="381"/>
      <c r="H66" s="381"/>
      <c r="I66" s="381"/>
      <c r="J66" s="381"/>
      <c r="K66" s="310"/>
      <c r="L66" s="310"/>
      <c r="M66" s="310"/>
    </row>
    <row r="67" spans="1:13" ht="60.75" customHeight="1" x14ac:dyDescent="0.35">
      <c r="A67" s="381" t="s">
        <v>324</v>
      </c>
      <c r="B67" s="387"/>
      <c r="C67" s="387"/>
      <c r="D67" s="387"/>
      <c r="E67" s="387"/>
      <c r="F67" s="387"/>
      <c r="G67" s="387"/>
      <c r="H67" s="387"/>
      <c r="I67" s="387"/>
      <c r="J67" s="387"/>
      <c r="K67" s="310"/>
      <c r="L67" s="310"/>
      <c r="M67" s="310"/>
    </row>
    <row r="68" spans="1:13" ht="57" customHeight="1" x14ac:dyDescent="0.35">
      <c r="A68" s="381" t="s">
        <v>252</v>
      </c>
      <c r="B68" s="387"/>
      <c r="C68" s="387"/>
      <c r="D68" s="387"/>
      <c r="E68" s="387"/>
      <c r="F68" s="387"/>
      <c r="G68" s="387"/>
      <c r="H68" s="387"/>
      <c r="I68" s="387"/>
      <c r="J68" s="387"/>
      <c r="K68" s="310"/>
      <c r="L68" s="310"/>
      <c r="M68" s="310"/>
    </row>
    <row r="69" spans="1:13" x14ac:dyDescent="0.35">
      <c r="A69" s="381" t="s">
        <v>258</v>
      </c>
      <c r="B69" s="381"/>
      <c r="C69" s="381"/>
      <c r="D69" s="381"/>
      <c r="E69" s="381"/>
      <c r="F69" s="381"/>
      <c r="G69" s="381"/>
      <c r="H69" s="381"/>
      <c r="I69" s="381"/>
      <c r="J69" s="381"/>
    </row>
    <row r="70" spans="1:13" x14ac:dyDescent="0.35">
      <c r="A70" s="63" t="s">
        <v>261</v>
      </c>
      <c r="B70" s="63"/>
      <c r="C70" s="328"/>
      <c r="D70" s="63"/>
      <c r="E70" s="39"/>
      <c r="F70" s="39"/>
      <c r="G70" s="39"/>
      <c r="H70" s="39"/>
      <c r="I70" s="39"/>
      <c r="J70" s="323"/>
    </row>
    <row r="71" spans="1:13" x14ac:dyDescent="0.35">
      <c r="A71" s="63" t="s">
        <v>50</v>
      </c>
      <c r="B71" s="63"/>
      <c r="C71" s="63"/>
      <c r="D71" s="63"/>
      <c r="E71" s="39"/>
      <c r="F71" s="39"/>
      <c r="G71" s="39"/>
      <c r="H71" s="39"/>
      <c r="I71" s="39"/>
      <c r="J71" s="323"/>
    </row>
    <row r="72" spans="1:13" x14ac:dyDescent="0.35">
      <c r="A72" s="3"/>
    </row>
    <row r="73" spans="1:13" ht="33.75" customHeight="1" x14ac:dyDescent="0.35">
      <c r="A73" s="377"/>
      <c r="B73" s="377"/>
      <c r="C73" s="377"/>
      <c r="D73" s="377"/>
      <c r="E73" s="377"/>
      <c r="F73" s="377"/>
      <c r="G73" s="377"/>
    </row>
    <row r="75" spans="1:13" ht="31.5" customHeight="1" x14ac:dyDescent="0.35">
      <c r="A75" s="377"/>
      <c r="B75" s="377"/>
      <c r="C75" s="377"/>
      <c r="D75" s="377"/>
      <c r="E75" s="377"/>
      <c r="F75" s="377"/>
      <c r="G75" s="377"/>
    </row>
    <row r="81" spans="14:14" x14ac:dyDescent="0.35">
      <c r="N81" s="8"/>
    </row>
  </sheetData>
  <mergeCells count="9">
    <mergeCell ref="A73:G73"/>
    <mergeCell ref="A75:G75"/>
    <mergeCell ref="E11:G11"/>
    <mergeCell ref="H11:J11"/>
    <mergeCell ref="K11:M11"/>
    <mergeCell ref="A66:J66"/>
    <mergeCell ref="A67:J67"/>
    <mergeCell ref="A68:J68"/>
    <mergeCell ref="A69:J69"/>
  </mergeCells>
  <pageMargins left="0.2" right="0.2" top="0.75" bottom="0.25" header="0.3" footer="0.3"/>
  <pageSetup scale="42" orientation="landscape" r:id="rId1"/>
  <headerFooter>
    <oddHeader>&amp;C&amp;F &amp;A&amp;R&amp;"Arial"&amp;10&amp;K000000CONFIDENTIAL</oddHeader>
    <oddFooter>&amp;R&amp;1#&amp;"Calibri"&amp;10&amp;KA80000Internal Use Only</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42"/>
  <sheetViews>
    <sheetView workbookViewId="0">
      <selection activeCell="H2" sqref="H2"/>
    </sheetView>
  </sheetViews>
  <sheetFormatPr defaultRowHeight="14.5" x14ac:dyDescent="0.35"/>
  <cols>
    <col min="1" max="1" width="24.7265625" customWidth="1"/>
    <col min="2" max="2" width="16.1796875" customWidth="1"/>
    <col min="3" max="3" width="15.1796875" customWidth="1"/>
  </cols>
  <sheetData>
    <row r="1" spans="1:23" s="46" customFormat="1" x14ac:dyDescent="0.35">
      <c r="A1" s="3" t="str">
        <f>+'PPC Cycle 3'!A1</f>
        <v>Evergy Metro, Inc. - DSIM Rider Update Filed 12/01/2024</v>
      </c>
    </row>
    <row r="2" spans="1:23" x14ac:dyDescent="0.35">
      <c r="A2" s="9" t="str">
        <f>SUBSTITUTE(+'PPC Cycle 3'!A2,"Cycle 3","Cycle 2")</f>
        <v>Projections for Cycle 2 January 2025 - December 2025 DSIM</v>
      </c>
      <c r="H2" s="39"/>
    </row>
    <row r="3" spans="1:23" s="46" customFormat="1" x14ac:dyDescent="0.35">
      <c r="A3" s="9"/>
    </row>
    <row r="4" spans="1:23" ht="40.5" customHeight="1" x14ac:dyDescent="0.35">
      <c r="B4" s="374" t="s">
        <v>63</v>
      </c>
      <c r="C4" s="374"/>
    </row>
    <row r="5" spans="1:23" ht="29" x14ac:dyDescent="0.35">
      <c r="B5" s="147" t="s">
        <v>64</v>
      </c>
      <c r="C5" s="6" t="s">
        <v>29</v>
      </c>
    </row>
    <row r="6" spans="1:23" x14ac:dyDescent="0.35">
      <c r="A6" s="20" t="s">
        <v>24</v>
      </c>
      <c r="B6" s="23">
        <f>SUM(0)</f>
        <v>0</v>
      </c>
      <c r="C6" s="86">
        <f>ROUND(SUM(0),2)</f>
        <v>0</v>
      </c>
    </row>
    <row r="7" spans="1:23" x14ac:dyDescent="0.35">
      <c r="A7" s="30" t="s">
        <v>25</v>
      </c>
      <c r="B7" s="23">
        <f>+B14</f>
        <v>0</v>
      </c>
      <c r="C7" s="86">
        <f>+C14</f>
        <v>0</v>
      </c>
    </row>
    <row r="8" spans="1:23" x14ac:dyDescent="0.35">
      <c r="A8" s="20" t="s">
        <v>5</v>
      </c>
      <c r="B8" s="24">
        <f>SUM(B6:B7)</f>
        <v>0</v>
      </c>
      <c r="C8" s="22">
        <f>SUM(C6:C7)</f>
        <v>0</v>
      </c>
    </row>
    <row r="9" spans="1:23" s="46" customFormat="1" x14ac:dyDescent="0.35">
      <c r="A9" s="20"/>
    </row>
    <row r="10" spans="1:23" s="46" customFormat="1" x14ac:dyDescent="0.35">
      <c r="A10" s="20" t="s">
        <v>104</v>
      </c>
      <c r="B10" s="23">
        <f>SUM(0)</f>
        <v>0</v>
      </c>
      <c r="C10" s="86">
        <f>ROUND(SUM(0),2)</f>
        <v>0</v>
      </c>
    </row>
    <row r="11" spans="1:23" s="46" customFormat="1" x14ac:dyDescent="0.35">
      <c r="A11" s="20" t="s">
        <v>105</v>
      </c>
      <c r="B11" s="23">
        <f t="shared" ref="B11:B13" si="0">SUM(0)</f>
        <v>0</v>
      </c>
      <c r="C11" s="86">
        <f t="shared" ref="C11:C13" si="1">ROUND(SUM(0),2)</f>
        <v>0</v>
      </c>
    </row>
    <row r="12" spans="1:23" s="46" customFormat="1" x14ac:dyDescent="0.35">
      <c r="A12" s="20" t="s">
        <v>106</v>
      </c>
      <c r="B12" s="23">
        <f t="shared" si="0"/>
        <v>0</v>
      </c>
      <c r="C12" s="86">
        <f t="shared" si="1"/>
        <v>0</v>
      </c>
    </row>
    <row r="13" spans="1:23" s="46" customFormat="1" x14ac:dyDescent="0.35">
      <c r="A13" s="20" t="s">
        <v>107</v>
      </c>
      <c r="B13" s="23">
        <f t="shared" si="0"/>
        <v>0</v>
      </c>
      <c r="C13" s="86">
        <f t="shared" si="1"/>
        <v>0</v>
      </c>
    </row>
    <row r="14" spans="1:23" x14ac:dyDescent="0.35">
      <c r="A14" s="30" t="s">
        <v>109</v>
      </c>
      <c r="B14" s="24">
        <f>SUM(B10:B13)</f>
        <v>0</v>
      </c>
      <c r="C14" s="22">
        <f>SUM(C10:C13)</f>
        <v>0</v>
      </c>
    </row>
    <row r="15" spans="1:23" x14ac:dyDescent="0.35">
      <c r="A15" s="46"/>
      <c r="B15" s="46"/>
      <c r="C15" s="46"/>
    </row>
    <row r="16" spans="1:23" x14ac:dyDescent="0.35">
      <c r="A16" s="69" t="s">
        <v>30</v>
      </c>
      <c r="B16" s="20"/>
      <c r="C16" s="21"/>
      <c r="N16" s="1"/>
      <c r="O16" s="1"/>
      <c r="P16" s="1"/>
      <c r="Q16" s="1"/>
      <c r="R16" s="1"/>
      <c r="S16" s="1"/>
      <c r="T16" s="1"/>
      <c r="U16" s="1"/>
      <c r="V16" s="1"/>
      <c r="W16" s="1"/>
    </row>
    <row r="17" spans="1:13" s="39" customFormat="1" ht="27" customHeight="1" x14ac:dyDescent="0.35">
      <c r="A17" s="373" t="s">
        <v>224</v>
      </c>
      <c r="B17" s="373"/>
      <c r="C17" s="373"/>
      <c r="D17" s="373"/>
      <c r="E17" s="373"/>
      <c r="F17" s="373"/>
      <c r="G17" s="373"/>
      <c r="H17" s="373"/>
      <c r="I17" s="373"/>
      <c r="J17" s="373"/>
      <c r="K17" s="373"/>
      <c r="L17" s="373"/>
      <c r="M17" s="373"/>
    </row>
    <row r="18" spans="1:13" s="39" customFormat="1" x14ac:dyDescent="0.35">
      <c r="A18" s="375" t="s">
        <v>172</v>
      </c>
      <c r="B18" s="375"/>
      <c r="C18" s="375"/>
      <c r="D18" s="375"/>
      <c r="E18" s="375"/>
      <c r="F18" s="375"/>
      <c r="G18" s="375"/>
      <c r="H18" s="375"/>
      <c r="I18" s="375"/>
      <c r="J18" s="375"/>
      <c r="K18" s="375"/>
      <c r="L18" s="375"/>
      <c r="M18" s="375"/>
    </row>
    <row r="38" spans="2:3" x14ac:dyDescent="0.35">
      <c r="B38" s="8"/>
      <c r="C38" s="8"/>
    </row>
    <row r="42" spans="2:3" x14ac:dyDescent="0.35">
      <c r="B42" s="8"/>
      <c r="C42" s="8"/>
    </row>
  </sheetData>
  <mergeCells count="3">
    <mergeCell ref="B4:C4"/>
    <mergeCell ref="A17:M17"/>
    <mergeCell ref="A18:M18"/>
  </mergeCells>
  <pageMargins left="0.2" right="0.2" top="0.75" bottom="0.25" header="0.3" footer="0.3"/>
  <pageSetup scale="92" orientation="landscape" r:id="rId1"/>
  <headerFooter>
    <oddHeader>&amp;C&amp;F &amp;A&amp;R&amp;"Arial"&amp;10&amp;K000000CONFIDENTIAL</oddHeader>
    <oddFooter>&amp;R&amp;1#&amp;"Calibri"&amp;10&amp;KA80000Internal Use Only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83B6732D9B8AC45B92AC23C294CFAF4" ma:contentTypeVersion="9" ma:contentTypeDescription="Create a new document." ma:contentTypeScope="" ma:versionID="2b9da5bd67b9b7389bdefcad276919ed">
  <xsd:schema xmlns:xsd="http://www.w3.org/2001/XMLSchema" xmlns:xs="http://www.w3.org/2001/XMLSchema" xmlns:p="http://schemas.microsoft.com/office/2006/metadata/properties" xmlns:ns1="http://schemas.microsoft.com/sharepoint/v3" xmlns:ns2="ac490600-4b8a-4089-8db0-d3461bbed9a9" targetNamespace="http://schemas.microsoft.com/office/2006/metadata/properties" ma:root="true" ma:fieldsID="a9c2dfec1e50c60fa3191e8fa64e0b09" ns1:_="" ns2:_="">
    <xsd:import namespace="http://schemas.microsoft.com/sharepoint/v3"/>
    <xsd:import namespace="ac490600-4b8a-4089-8db0-d3461bbed9a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c490600-4b8a-4089-8db0-d3461bbed9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4FE36353-2D23-4413-BFF3-128FB6002D9C}">
  <ds:schemaRefs>
    <ds:schemaRef ds:uri="http://schemas.microsoft.com/sharepoint/v3/contenttype/forms"/>
  </ds:schemaRefs>
</ds:datastoreItem>
</file>

<file path=customXml/itemProps2.xml><?xml version="1.0" encoding="utf-8"?>
<ds:datastoreItem xmlns:ds="http://schemas.openxmlformats.org/officeDocument/2006/customXml" ds:itemID="{CD834673-4C9E-4BAF-9DD0-0BADA02B25A3}"/>
</file>

<file path=customXml/itemProps3.xml><?xml version="1.0" encoding="utf-8"?>
<ds:datastoreItem xmlns:ds="http://schemas.openxmlformats.org/officeDocument/2006/customXml" ds:itemID="{BBE680F6-EEBC-41A4-AEB5-0B773B5EACA2}">
  <ds:schemaRefs>
    <ds:schemaRef ds:uri="http://www.w3.org/XML/1998/namespace"/>
    <ds:schemaRef ds:uri="http://schemas.microsoft.com/office/2006/documentManagement/types"/>
    <ds:schemaRef ds:uri="http://purl.org/dc/dcmitype/"/>
    <ds:schemaRef ds:uri="http://schemas.openxmlformats.org/package/2006/metadata/core-properties"/>
    <ds:schemaRef ds:uri="http://purl.org/dc/terms/"/>
    <ds:schemaRef ds:uri="http://schemas.microsoft.com/office/2006/metadata/properties"/>
    <ds:schemaRef ds:uri="37C40F9E-044B-4F26-A90E-5C1316E52537"/>
    <ds:schemaRef ds:uri="http://purl.org/dc/elements/1.1/"/>
    <ds:schemaRef ds:uri="c85253b9-0a55-49a1-98ad-b5b6252d7079"/>
    <ds:schemaRef ds:uri="f450f658-75db-4c0c-ab7c-769d36713cbc"/>
  </ds:schemaRefs>
</ds:datastoreItem>
</file>

<file path=docMetadata/LabelInfo.xml><?xml version="1.0" encoding="utf-8"?>
<clbl:labelList xmlns:clbl="http://schemas.microsoft.com/office/2020/mipLabelMetadata">
  <clbl:label id="{d275ac46-98b9-4d64-949f-e82ee8dc823c}" enabled="1" method="Standard" siteId="{9ef58ab0-3510-4d99-8d3e-3c9e02ebab7f}" contentBits="3"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5</vt:i4>
      </vt:variant>
    </vt:vector>
  </HeadingPairs>
  <TitlesOfParts>
    <vt:vector size="27" baseType="lpstr">
      <vt:lpstr>Index Table of Contents</vt:lpstr>
      <vt:lpstr>Tariff Tables</vt:lpstr>
      <vt:lpstr>DSIM Cycle Tables</vt:lpstr>
      <vt:lpstr>PPC Cycle 3</vt:lpstr>
      <vt:lpstr>PPC Cycle 4</vt:lpstr>
      <vt:lpstr>PCR Cycle 2</vt:lpstr>
      <vt:lpstr>PCR Cycle 3</vt:lpstr>
      <vt:lpstr>PCR Cycle 4</vt:lpstr>
      <vt:lpstr>PTD Cycle 2</vt:lpstr>
      <vt:lpstr>PTD Cycle 3</vt:lpstr>
      <vt:lpstr>PTD Cycle 4</vt:lpstr>
      <vt:lpstr>TDR Cycle 2</vt:lpstr>
      <vt:lpstr>TDR Cycle 3</vt:lpstr>
      <vt:lpstr>EO Cycle 2</vt:lpstr>
      <vt:lpstr>EO Cycle 3</vt:lpstr>
      <vt:lpstr>EO Cycle 4</vt:lpstr>
      <vt:lpstr>EOR Cycle 2</vt:lpstr>
      <vt:lpstr>EOR Cycle 3</vt:lpstr>
      <vt:lpstr>OA Cycle 2</vt:lpstr>
      <vt:lpstr>OA Cycle 3</vt:lpstr>
      <vt:lpstr>OAR Cycle 2</vt:lpstr>
      <vt:lpstr>OAR Cycle 3</vt:lpstr>
      <vt:lpstr>'DSIM Cycle Tables'!_Hlk167809025</vt:lpstr>
      <vt:lpstr>'DSIM Cycle Tables'!_Hlk530143575</vt:lpstr>
      <vt:lpstr>'PCR Cycle 2'!Print_Area</vt:lpstr>
      <vt:lpstr>'PCR Cycle 3'!Print_Area</vt:lpstr>
      <vt:lpstr>'PCR Cycle 4'!Print_Area</vt:lpstr>
    </vt:vector>
  </TitlesOfParts>
  <Company>Ameren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Unspecified User</dc:creator>
  <cp:lastModifiedBy>Shelley Jordan</cp:lastModifiedBy>
  <cp:lastPrinted>2019-05-23T21:26:27Z</cp:lastPrinted>
  <dcterms:created xsi:type="dcterms:W3CDTF">2013-08-12T19:20:10Z</dcterms:created>
  <dcterms:modified xsi:type="dcterms:W3CDTF">2024-12-02T22:06:15Z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0x010100683B6732D9B8AC45B92AC23C294CFAF4</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d275ac46-98b9-4d64-949f-e82ee8dc823c_Enabled">
    <vt:lpwstr>true</vt:lpwstr>
  </property>
  <property fmtid="{D5CDD505-2E9C-101B-9397-08002B2CF9AE}" pid="6" name="MSIP_Label_d275ac46-98b9-4d64-949f-e82ee8dc823c_SetDate">
    <vt:lpwstr>2022-11-08T16:12:26Z</vt:lpwstr>
  </property>
  <property fmtid="{D5CDD505-2E9C-101B-9397-08002B2CF9AE}" pid="7" name="MSIP_Label_d275ac46-98b9-4d64-949f-e82ee8dc823c_Method">
    <vt:lpwstr>Standard</vt:lpwstr>
  </property>
  <property fmtid="{D5CDD505-2E9C-101B-9397-08002B2CF9AE}" pid="8" name="MSIP_Label_d275ac46-98b9-4d64-949f-e82ee8dc823c_Name">
    <vt:lpwstr>d275ac46-98b9-4d64-949f-e82ee8dc823c</vt:lpwstr>
  </property>
  <property fmtid="{D5CDD505-2E9C-101B-9397-08002B2CF9AE}" pid="9" name="MSIP_Label_d275ac46-98b9-4d64-949f-e82ee8dc823c_SiteId">
    <vt:lpwstr>9ef58ab0-3510-4d99-8d3e-3c9e02ebab7f</vt:lpwstr>
  </property>
  <property fmtid="{D5CDD505-2E9C-101B-9397-08002B2CF9AE}" pid="10" name="MSIP_Label_d275ac46-98b9-4d64-949f-e82ee8dc823c_ActionId">
    <vt:lpwstr>3b16a19c-818e-496b-92b9-7f026d43a0db</vt:lpwstr>
  </property>
  <property fmtid="{D5CDD505-2E9C-101B-9397-08002B2CF9AE}" pid="11" name="MSIP_Label_d275ac46-98b9-4d64-949f-e82ee8dc823c_ContentBits">
    <vt:lpwstr>3</vt:lpwstr>
  </property>
</Properties>
</file>