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4-12\"/>
    </mc:Choice>
  </mc:AlternateContent>
  <xr:revisionPtr revIDLastSave="0" documentId="8_{856BBC7C-F2E8-4A07-922E-EF7655B156CD}" xr6:coauthVersionLast="47" xr6:coauthVersionMax="47" xr10:uidLastSave="{00000000-0000-0000-0000-000000000000}"/>
  <bookViews>
    <workbookView xWindow="43170" yWindow="0" windowWidth="14430" windowHeight="15480" tabRatio="910" activeTab="1" xr2:uid="{8690212B-B535-4FDF-9D1C-29C7613AE015}"/>
  </bookViews>
  <sheets>
    <sheet name="Index Table of Contents" sheetId="32" r:id="rId1"/>
    <sheet name="Tariff Tables" sheetId="5" r:id="rId2"/>
    <sheet name="DSIM Cycle Tables" sheetId="20" r:id="rId3"/>
    <sheet name="PPC Cycle 3" sheetId="18" r:id="rId4"/>
    <sheet name="PPC Cycle 4" sheetId="38" r:id="rId5"/>
    <sheet name="PCR Cycle 2" sheetId="15" r:id="rId6"/>
    <sheet name="PCR Cycle 3" sheetId="22" r:id="rId7"/>
    <sheet name="PCR Cycle 4" sheetId="35" r:id="rId8"/>
    <sheet name="PTD Cycle 2" sheetId="12" r:id="rId9"/>
    <sheet name="PTD Cycle 3" sheetId="19" r:id="rId10"/>
    <sheet name="PTD Cycle 4" sheetId="37" r:id="rId11"/>
    <sheet name="TDR Cycle 2" sheetId="16" r:id="rId12"/>
    <sheet name="TDR Cycle 3" sheetId="24" r:id="rId13"/>
    <sheet name="EO Cycle 2" sheetId="8" r:id="rId14"/>
    <sheet name="EO Cycle 3" sheetId="28" r:id="rId15"/>
    <sheet name="EO Cycle 4" sheetId="36" r:id="rId16"/>
    <sheet name="EOR Cycle 2" sheetId="23" r:id="rId17"/>
    <sheet name="EOR Cycle 3" sheetId="29" r:id="rId18"/>
    <sheet name="OA Cycle 2" sheetId="10" r:id="rId19"/>
    <sheet name="OA Cycle 3" sheetId="30" r:id="rId20"/>
    <sheet name="OAR Cycle 2" sheetId="13" r:id="rId21"/>
    <sheet name="OAR Cycle 3" sheetId="31"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Print_Area" localSheetId="5">'PCR Cycle 2'!$A$1:$N$64</definedName>
    <definedName name="_xlnm.Print_Area" localSheetId="6">'PCR Cycle 3'!$A$1:$O$64</definedName>
    <definedName name="_xlnm.Print_Area" localSheetId="7">'PCR Cycle 4'!$A$1:$O$64</definedName>
    <definedName name="ServClassMapping">#REF!</definedName>
    <definedName name="solver_adj" localSheetId="5" hidden="1">'PCR Cycle 2'!$E$47</definedName>
    <definedName name="solver_adj" localSheetId="6" hidden="1">'PCR Cycle 3'!$F$45</definedName>
    <definedName name="solver_adj" localSheetId="7" hidden="1">'PCR Cycle 4'!$F$45</definedName>
    <definedName name="solver_adj" localSheetId="11" hidden="1">'TDR Cycle 2'!#REF!</definedName>
    <definedName name="solver_adj" localSheetId="12" hidden="1">'TDR Cycle 3'!#REF!</definedName>
    <definedName name="solver_cvg" localSheetId="5" hidden="1">0.0001</definedName>
    <definedName name="solver_cvg" localSheetId="6" hidden="1">0.0001</definedName>
    <definedName name="solver_cvg" localSheetId="7" hidden="1">0.0001</definedName>
    <definedName name="solver_cvg" localSheetId="11" hidden="1">0.0001</definedName>
    <definedName name="solver_cvg" localSheetId="12" hidden="1">0.0001</definedName>
    <definedName name="solver_drv" localSheetId="5" hidden="1">1</definedName>
    <definedName name="solver_drv" localSheetId="6" hidden="1">1</definedName>
    <definedName name="solver_drv" localSheetId="7" hidden="1">1</definedName>
    <definedName name="solver_drv" localSheetId="11" hidden="1">2</definedName>
    <definedName name="solver_drv" localSheetId="12" hidden="1">2</definedName>
    <definedName name="solver_eng" localSheetId="5" hidden="1">1</definedName>
    <definedName name="solver_eng" localSheetId="6" hidden="1">1</definedName>
    <definedName name="solver_eng" localSheetId="7" hidden="1">1</definedName>
    <definedName name="solver_eng" localSheetId="11" hidden="1">1</definedName>
    <definedName name="solver_eng" localSheetId="12" hidden="1">1</definedName>
    <definedName name="solver_est" localSheetId="5" hidden="1">1</definedName>
    <definedName name="solver_est" localSheetId="6" hidden="1">1</definedName>
    <definedName name="solver_est" localSheetId="7" hidden="1">1</definedName>
    <definedName name="solver_est" localSheetId="11" hidden="1">1</definedName>
    <definedName name="solver_est" localSheetId="12" hidden="1">1</definedName>
    <definedName name="solver_itr" localSheetId="5" hidden="1">2147483647</definedName>
    <definedName name="solver_itr" localSheetId="6" hidden="1">2147483647</definedName>
    <definedName name="solver_itr" localSheetId="7" hidden="1">2147483647</definedName>
    <definedName name="solver_itr" localSheetId="11" hidden="1">2147483647</definedName>
    <definedName name="solver_itr" localSheetId="12" hidden="1">2147483647</definedName>
    <definedName name="solver_mip" localSheetId="5" hidden="1">2147483647</definedName>
    <definedName name="solver_mip" localSheetId="6" hidden="1">2147483647</definedName>
    <definedName name="solver_mip" localSheetId="7" hidden="1">2147483647</definedName>
    <definedName name="solver_mip" localSheetId="11" hidden="1">2147483647</definedName>
    <definedName name="solver_mip" localSheetId="12" hidden="1">2147483647</definedName>
    <definedName name="solver_mni" localSheetId="5" hidden="1">30</definedName>
    <definedName name="solver_mni" localSheetId="6" hidden="1">30</definedName>
    <definedName name="solver_mni" localSheetId="7" hidden="1">30</definedName>
    <definedName name="solver_mni" localSheetId="11" hidden="1">30</definedName>
    <definedName name="solver_mni" localSheetId="12" hidden="1">30</definedName>
    <definedName name="solver_mrt" localSheetId="5" hidden="1">0.075</definedName>
    <definedName name="solver_mrt" localSheetId="6" hidden="1">0.075</definedName>
    <definedName name="solver_mrt" localSheetId="7" hidden="1">0.075</definedName>
    <definedName name="solver_mrt" localSheetId="11" hidden="1">0.075</definedName>
    <definedName name="solver_mrt" localSheetId="12" hidden="1">0.075</definedName>
    <definedName name="solver_msl" localSheetId="5" hidden="1">2</definedName>
    <definedName name="solver_msl" localSheetId="6" hidden="1">2</definedName>
    <definedName name="solver_msl" localSheetId="7" hidden="1">2</definedName>
    <definedName name="solver_msl" localSheetId="11" hidden="1">2</definedName>
    <definedName name="solver_msl" localSheetId="12" hidden="1">2</definedName>
    <definedName name="solver_neg" localSheetId="5" hidden="1">1</definedName>
    <definedName name="solver_neg" localSheetId="6" hidden="1">1</definedName>
    <definedName name="solver_neg" localSheetId="7" hidden="1">1</definedName>
    <definedName name="solver_neg" localSheetId="11" hidden="1">1</definedName>
    <definedName name="solver_neg" localSheetId="12" hidden="1">1</definedName>
    <definedName name="solver_nod" localSheetId="5" hidden="1">2147483647</definedName>
    <definedName name="solver_nod" localSheetId="6" hidden="1">2147483647</definedName>
    <definedName name="solver_nod" localSheetId="7" hidden="1">2147483647</definedName>
    <definedName name="solver_nod" localSheetId="11" hidden="1">2147483647</definedName>
    <definedName name="solver_nod" localSheetId="12" hidden="1">2147483647</definedName>
    <definedName name="solver_num" localSheetId="5" hidden="1">0</definedName>
    <definedName name="solver_num" localSheetId="6" hidden="1">0</definedName>
    <definedName name="solver_num" localSheetId="7" hidden="1">0</definedName>
    <definedName name="solver_num" localSheetId="11" hidden="1">0</definedName>
    <definedName name="solver_num" localSheetId="12" hidden="1">0</definedName>
    <definedName name="solver_nwt" localSheetId="5" hidden="1">1</definedName>
    <definedName name="solver_nwt" localSheetId="6" hidden="1">1</definedName>
    <definedName name="solver_nwt" localSheetId="7" hidden="1">1</definedName>
    <definedName name="solver_nwt" localSheetId="11" hidden="1">1</definedName>
    <definedName name="solver_nwt" localSheetId="12" hidden="1">1</definedName>
    <definedName name="solver_opt" localSheetId="5" hidden="1">'PCR Cycle 2'!$E$52</definedName>
    <definedName name="solver_opt" localSheetId="6" hidden="1">'PCR Cycle 3'!$F$52</definedName>
    <definedName name="solver_opt" localSheetId="7" hidden="1">'PCR Cycle 4'!$F$52</definedName>
    <definedName name="solver_opt" localSheetId="11" hidden="1">'TDR Cycle 2'!#REF!</definedName>
    <definedName name="solver_opt" localSheetId="12" hidden="1">'TDR Cycle 3'!#REF!</definedName>
    <definedName name="solver_pre" localSheetId="5" hidden="1">0.000001</definedName>
    <definedName name="solver_pre" localSheetId="6" hidden="1">0.000001</definedName>
    <definedName name="solver_pre" localSheetId="7" hidden="1">0.000001</definedName>
    <definedName name="solver_pre" localSheetId="11" hidden="1">0.000001</definedName>
    <definedName name="solver_pre" localSheetId="12" hidden="1">0.000001</definedName>
    <definedName name="solver_rbv" localSheetId="5" hidden="1">1</definedName>
    <definedName name="solver_rbv" localSheetId="6" hidden="1">1</definedName>
    <definedName name="solver_rbv" localSheetId="7" hidden="1">1</definedName>
    <definedName name="solver_rbv" localSheetId="11" hidden="1">2</definedName>
    <definedName name="solver_rbv" localSheetId="12" hidden="1">2</definedName>
    <definedName name="solver_rlx" localSheetId="5" hidden="1">2</definedName>
    <definedName name="solver_rlx" localSheetId="6" hidden="1">2</definedName>
    <definedName name="solver_rlx" localSheetId="7" hidden="1">2</definedName>
    <definedName name="solver_rlx" localSheetId="11" hidden="1">2</definedName>
    <definedName name="solver_rlx" localSheetId="12" hidden="1">2</definedName>
    <definedName name="solver_rsd" localSheetId="5" hidden="1">0</definedName>
    <definedName name="solver_rsd" localSheetId="6" hidden="1">0</definedName>
    <definedName name="solver_rsd" localSheetId="7" hidden="1">0</definedName>
    <definedName name="solver_rsd" localSheetId="11" hidden="1">0</definedName>
    <definedName name="solver_rsd" localSheetId="12" hidden="1">0</definedName>
    <definedName name="solver_scl" localSheetId="5" hidden="1">1</definedName>
    <definedName name="solver_scl" localSheetId="6" hidden="1">1</definedName>
    <definedName name="solver_scl" localSheetId="7" hidden="1">1</definedName>
    <definedName name="solver_scl" localSheetId="11" hidden="1">2</definedName>
    <definedName name="solver_scl" localSheetId="12" hidden="1">2</definedName>
    <definedName name="solver_sho" localSheetId="5" hidden="1">2</definedName>
    <definedName name="solver_sho" localSheetId="6" hidden="1">2</definedName>
    <definedName name="solver_sho" localSheetId="7" hidden="1">2</definedName>
    <definedName name="solver_sho" localSheetId="11" hidden="1">2</definedName>
    <definedName name="solver_sho" localSheetId="12" hidden="1">2</definedName>
    <definedName name="solver_ssz" localSheetId="5" hidden="1">100</definedName>
    <definedName name="solver_ssz" localSheetId="6" hidden="1">100</definedName>
    <definedName name="solver_ssz" localSheetId="7" hidden="1">100</definedName>
    <definedName name="solver_ssz" localSheetId="11" hidden="1">100</definedName>
    <definedName name="solver_ssz" localSheetId="12" hidden="1">100</definedName>
    <definedName name="solver_tim" localSheetId="5" hidden="1">2147483647</definedName>
    <definedName name="solver_tim" localSheetId="6" hidden="1">2147483647</definedName>
    <definedName name="solver_tim" localSheetId="7" hidden="1">2147483647</definedName>
    <definedName name="solver_tim" localSheetId="11" hidden="1">2147483647</definedName>
    <definedName name="solver_tim" localSheetId="12" hidden="1">2147483647</definedName>
    <definedName name="solver_tol" localSheetId="5" hidden="1">0.01</definedName>
    <definedName name="solver_tol" localSheetId="6" hidden="1">0.01</definedName>
    <definedName name="solver_tol" localSheetId="7" hidden="1">0.01</definedName>
    <definedName name="solver_tol" localSheetId="11" hidden="1">0.01</definedName>
    <definedName name="solver_tol" localSheetId="12" hidden="1">0.01</definedName>
    <definedName name="solver_typ" localSheetId="5" hidden="1">3</definedName>
    <definedName name="solver_typ" localSheetId="6" hidden="1">3</definedName>
    <definedName name="solver_typ" localSheetId="7" hidden="1">3</definedName>
    <definedName name="solver_typ" localSheetId="11" hidden="1">3</definedName>
    <definedName name="solver_typ" localSheetId="12" hidden="1">3</definedName>
    <definedName name="solver_val" localSheetId="5" hidden="1">0</definedName>
    <definedName name="solver_val" localSheetId="6" hidden="1">0</definedName>
    <definedName name="solver_val" localSheetId="7" hidden="1">0</definedName>
    <definedName name="solver_val" localSheetId="11" hidden="1">23888.44</definedName>
    <definedName name="solver_val" localSheetId="12" hidden="1">23888.44</definedName>
    <definedName name="solver_ver" localSheetId="5" hidden="1">3</definedName>
    <definedName name="solver_ver" localSheetId="6" hidden="1">3</definedName>
    <definedName name="solver_ver" localSheetId="7" hidden="1">3</definedName>
    <definedName name="solver_ver" localSheetId="11" hidden="1">3</definedName>
    <definedName name="solver_ver" localSheetId="12"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3" i="5" l="1"/>
  <c r="Z20" i="5"/>
  <c r="Y23" i="5"/>
  <c r="X23" i="5"/>
  <c r="X22" i="5"/>
  <c r="B9" i="19"/>
  <c r="B6" i="19"/>
  <c r="B7" i="19"/>
  <c r="B8" i="19" l="1"/>
  <c r="K47" i="15" l="1"/>
  <c r="L45" i="16"/>
  <c r="K45" i="16"/>
  <c r="J31" i="31"/>
  <c r="K45" i="31"/>
  <c r="J45" i="31"/>
  <c r="I45" i="31"/>
  <c r="H45" i="31"/>
  <c r="G45" i="31"/>
  <c r="F45" i="31"/>
  <c r="E45" i="31"/>
  <c r="D45" i="31"/>
  <c r="K35" i="13"/>
  <c r="J35" i="13"/>
  <c r="I35" i="13"/>
  <c r="H35" i="13"/>
  <c r="G35" i="13"/>
  <c r="F35" i="13"/>
  <c r="E35" i="13"/>
  <c r="D35" i="13"/>
  <c r="L40" i="29"/>
  <c r="K40" i="29"/>
  <c r="J40" i="29"/>
  <c r="I40" i="29"/>
  <c r="H40" i="29"/>
  <c r="G40" i="29"/>
  <c r="F40" i="29"/>
  <c r="E40" i="29"/>
  <c r="K43" i="23"/>
  <c r="J43" i="23"/>
  <c r="I43" i="23"/>
  <c r="H43" i="23"/>
  <c r="G43" i="23"/>
  <c r="F43" i="23"/>
  <c r="E43" i="23"/>
  <c r="D43" i="23"/>
  <c r="L46" i="24"/>
  <c r="K46" i="24"/>
  <c r="D8" i="38"/>
  <c r="D7" i="38"/>
  <c r="D6" i="38"/>
  <c r="D5" i="38"/>
  <c r="I32" i="24" l="1"/>
  <c r="A2" i="36" l="1"/>
  <c r="D5" i="37"/>
  <c r="A2" i="37"/>
  <c r="J29" i="35" l="1"/>
  <c r="J28" i="35"/>
  <c r="J27" i="35"/>
  <c r="J26" i="35"/>
  <c r="I29" i="35"/>
  <c r="I28" i="35"/>
  <c r="I27" i="35"/>
  <c r="I26" i="35"/>
  <c r="H29" i="35"/>
  <c r="H28" i="35"/>
  <c r="H27" i="35"/>
  <c r="H26" i="35"/>
  <c r="G29" i="35"/>
  <c r="G28" i="35"/>
  <c r="G27" i="35"/>
  <c r="G26" i="35"/>
  <c r="J31" i="22"/>
  <c r="H31" i="22"/>
  <c r="E31" i="22"/>
  <c r="J29" i="22"/>
  <c r="J28" i="22"/>
  <c r="J27" i="22"/>
  <c r="J26" i="22"/>
  <c r="I29" i="22"/>
  <c r="I28" i="22"/>
  <c r="I27" i="22"/>
  <c r="I26" i="22"/>
  <c r="H29" i="22"/>
  <c r="H28" i="22"/>
  <c r="H27" i="22"/>
  <c r="H26" i="22"/>
  <c r="G29" i="22"/>
  <c r="G28" i="22"/>
  <c r="G27" i="22"/>
  <c r="G26" i="22"/>
  <c r="F29" i="22"/>
  <c r="F28" i="22"/>
  <c r="F27" i="22"/>
  <c r="F26" i="22"/>
  <c r="E29" i="22"/>
  <c r="E28" i="22"/>
  <c r="E27" i="22"/>
  <c r="E26" i="22"/>
  <c r="M20" i="22" l="1"/>
  <c r="M20" i="35" s="1"/>
  <c r="L20" i="22"/>
  <c r="L20" i="35" s="1"/>
  <c r="K20" i="22"/>
  <c r="K20" i="35" s="1"/>
  <c r="M23" i="22" l="1"/>
  <c r="M23" i="35" s="1"/>
  <c r="M22" i="22"/>
  <c r="M22" i="35" s="1"/>
  <c r="L21" i="22"/>
  <c r="L21" i="35" s="1"/>
  <c r="L23" i="22"/>
  <c r="L23" i="35" s="1"/>
  <c r="L22" i="22"/>
  <c r="L22" i="35" s="1"/>
  <c r="M21" i="22"/>
  <c r="M21" i="35" s="1"/>
  <c r="K23" i="22"/>
  <c r="K23" i="35" s="1"/>
  <c r="K22" i="22"/>
  <c r="K22" i="35" s="1"/>
  <c r="K21" i="22"/>
  <c r="K21" i="35" s="1"/>
  <c r="J22" i="22" l="1"/>
  <c r="J22" i="35" s="1"/>
  <c r="J21" i="22"/>
  <c r="J21" i="35" s="1"/>
  <c r="J23" i="22"/>
  <c r="J23" i="35" s="1"/>
  <c r="I22" i="22"/>
  <c r="I22" i="35" s="1"/>
  <c r="I21" i="22"/>
  <c r="I21" i="35" s="1"/>
  <c r="I20" i="22"/>
  <c r="I20" i="35" s="1"/>
  <c r="I23" i="22"/>
  <c r="I23" i="35" s="1"/>
  <c r="H23" i="22" l="1"/>
  <c r="H23" i="35" s="1"/>
  <c r="H22" i="22"/>
  <c r="H22" i="35" s="1"/>
  <c r="H21" i="22"/>
  <c r="H21" i="35" s="1"/>
  <c r="J20" i="22" l="1"/>
  <c r="J20" i="35" s="1"/>
  <c r="H20" i="22" l="1"/>
  <c r="H20" i="35" s="1"/>
  <c r="G22" i="22" l="1"/>
  <c r="G22" i="35" s="1"/>
  <c r="G23" i="22"/>
  <c r="G23" i="35" s="1"/>
  <c r="G21" i="22"/>
  <c r="G21" i="35" s="1"/>
  <c r="G20" i="22" l="1"/>
  <c r="G20" i="35" s="1"/>
  <c r="F23" i="22" l="1"/>
  <c r="F23" i="35" s="1"/>
  <c r="F22" i="22"/>
  <c r="F22" i="35" s="1"/>
  <c r="F21" i="22"/>
  <c r="F21" i="35" s="1"/>
  <c r="F20" i="22"/>
  <c r="F20" i="35" s="1"/>
  <c r="E23" i="22"/>
  <c r="E23" i="35" s="1"/>
  <c r="E22" i="22"/>
  <c r="E22" i="35" s="1"/>
  <c r="E21" i="22"/>
  <c r="E21" i="35" s="1"/>
  <c r="E20" i="22"/>
  <c r="E20" i="35" s="1"/>
  <c r="L14" i="22"/>
  <c r="L15" i="22"/>
  <c r="L16" i="22"/>
  <c r="L17" i="22"/>
  <c r="K17" i="22" l="1"/>
  <c r="K16" i="22"/>
  <c r="K15" i="22"/>
  <c r="K14" i="22"/>
  <c r="J17" i="22"/>
  <c r="J16" i="22"/>
  <c r="J15" i="22"/>
  <c r="J14" i="22"/>
  <c r="I17" i="22"/>
  <c r="I16" i="22"/>
  <c r="I15" i="22"/>
  <c r="I14" i="22"/>
  <c r="H17" i="22"/>
  <c r="H16" i="22"/>
  <c r="H15" i="22"/>
  <c r="H14" i="22"/>
  <c r="G17" i="22"/>
  <c r="G16" i="22"/>
  <c r="G15" i="22"/>
  <c r="G14" i="22"/>
  <c r="F17" i="22"/>
  <c r="F16" i="22"/>
  <c r="F15" i="22"/>
  <c r="F14" i="22"/>
  <c r="E17" i="22"/>
  <c r="E16" i="22"/>
  <c r="E15" i="22"/>
  <c r="E14" i="22"/>
  <c r="I35" i="15"/>
  <c r="I34" i="15"/>
  <c r="I33" i="15"/>
  <c r="H37" i="15"/>
  <c r="G37" i="15"/>
  <c r="F37" i="15"/>
  <c r="E37" i="15"/>
  <c r="D37" i="15"/>
  <c r="I32" i="15"/>
  <c r="H35" i="15"/>
  <c r="H34" i="15"/>
  <c r="H33" i="15"/>
  <c r="H32" i="15"/>
  <c r="G35" i="15"/>
  <c r="G34" i="15"/>
  <c r="G33" i="15"/>
  <c r="G32" i="15"/>
  <c r="F35" i="15"/>
  <c r="F34" i="15"/>
  <c r="F33" i="15"/>
  <c r="F32" i="15"/>
  <c r="E35" i="15"/>
  <c r="E34" i="15"/>
  <c r="E33" i="15"/>
  <c r="E32" i="15"/>
  <c r="D35" i="15"/>
  <c r="D34" i="15"/>
  <c r="D33" i="15"/>
  <c r="D32" i="15"/>
  <c r="C8" i="38"/>
  <c r="C7" i="38"/>
  <c r="C6" i="38"/>
  <c r="A2" i="38"/>
  <c r="D8" i="18"/>
  <c r="D7" i="18"/>
  <c r="D6" i="18"/>
  <c r="D5" i="18"/>
  <c r="D9" i="38" l="1"/>
  <c r="C5" i="38"/>
  <c r="B5" i="18"/>
  <c r="B5" i="38" s="1"/>
  <c r="C9" i="38" l="1"/>
  <c r="B8" i="18"/>
  <c r="B8" i="38" s="1"/>
  <c r="B7" i="18" l="1"/>
  <c r="B7" i="38" s="1"/>
  <c r="B6" i="18"/>
  <c r="B6" i="38" s="1"/>
  <c r="B9" i="38" l="1"/>
  <c r="D32" i="24" l="1"/>
  <c r="J18" i="24" l="1"/>
  <c r="J17" i="24"/>
  <c r="J16" i="24"/>
  <c r="J15" i="24"/>
  <c r="I18" i="24"/>
  <c r="I17" i="24"/>
  <c r="I16" i="24"/>
  <c r="I15" i="24"/>
  <c r="H18" i="24"/>
  <c r="H17" i="24"/>
  <c r="H16" i="24"/>
  <c r="H15" i="24"/>
  <c r="G18" i="24"/>
  <c r="G17" i="24"/>
  <c r="G16" i="24"/>
  <c r="G15" i="24"/>
  <c r="F18" i="24"/>
  <c r="F17" i="24"/>
  <c r="F16" i="24"/>
  <c r="F15" i="24"/>
  <c r="E18" i="24"/>
  <c r="E17" i="24"/>
  <c r="E16" i="24"/>
  <c r="E15" i="24"/>
  <c r="I35" i="16"/>
  <c r="H35" i="16"/>
  <c r="F35" i="16"/>
  <c r="E21" i="16" l="1"/>
  <c r="E20" i="16"/>
  <c r="E19" i="16"/>
  <c r="E18" i="16"/>
  <c r="F21" i="16"/>
  <c r="F20" i="16"/>
  <c r="F19" i="16"/>
  <c r="F18" i="16"/>
  <c r="G21" i="16"/>
  <c r="G20" i="16"/>
  <c r="G19" i="16"/>
  <c r="G18" i="16"/>
  <c r="A1" i="37"/>
  <c r="H18" i="16" l="1"/>
  <c r="H21" i="16"/>
  <c r="H20" i="16"/>
  <c r="H19" i="16"/>
  <c r="I18" i="16"/>
  <c r="I21" i="16"/>
  <c r="I20" i="16"/>
  <c r="I19" i="16"/>
  <c r="J18" i="16"/>
  <c r="J21" i="16"/>
  <c r="J20" i="16"/>
  <c r="J19" i="16"/>
  <c r="A2" i="12"/>
  <c r="A2" i="10"/>
  <c r="C12" i="36"/>
  <c r="D12" i="36"/>
  <c r="E12" i="36"/>
  <c r="C13" i="36"/>
  <c r="D13" i="36"/>
  <c r="E13" i="36"/>
  <c r="C14" i="36"/>
  <c r="D14" i="36"/>
  <c r="E14" i="36"/>
  <c r="B13" i="36"/>
  <c r="B14" i="36"/>
  <c r="C8" i="36"/>
  <c r="D8" i="36"/>
  <c r="E8" i="36"/>
  <c r="E48" i="36"/>
  <c r="D48" i="36"/>
  <c r="C48" i="36"/>
  <c r="B48" i="36"/>
  <c r="F47" i="36"/>
  <c r="G47" i="36" s="1"/>
  <c r="F46" i="36"/>
  <c r="G46" i="36" s="1"/>
  <c r="F45" i="36"/>
  <c r="G45" i="36" s="1"/>
  <c r="E43" i="36"/>
  <c r="D43" i="36"/>
  <c r="C43" i="36"/>
  <c r="B43" i="36"/>
  <c r="F42" i="36"/>
  <c r="F41" i="36"/>
  <c r="E37" i="36"/>
  <c r="D37" i="36"/>
  <c r="C37" i="36"/>
  <c r="B37" i="36"/>
  <c r="F36" i="36"/>
  <c r="G36" i="36" s="1"/>
  <c r="F35" i="36"/>
  <c r="G35" i="36" s="1"/>
  <c r="F34" i="36"/>
  <c r="G34" i="36" s="1"/>
  <c r="E32" i="36"/>
  <c r="D32" i="36"/>
  <c r="C32" i="36"/>
  <c r="B32" i="36"/>
  <c r="F31" i="36"/>
  <c r="F30" i="36"/>
  <c r="E26" i="36"/>
  <c r="D26" i="36"/>
  <c r="C26" i="36"/>
  <c r="B26" i="36"/>
  <c r="F25" i="36"/>
  <c r="G25" i="36" s="1"/>
  <c r="F24" i="36"/>
  <c r="G24" i="36" s="1"/>
  <c r="F23" i="36"/>
  <c r="G23" i="36" s="1"/>
  <c r="E21" i="36"/>
  <c r="D21" i="36"/>
  <c r="C21" i="36"/>
  <c r="B21" i="36"/>
  <c r="F20" i="36"/>
  <c r="F19" i="36"/>
  <c r="A1" i="36"/>
  <c r="J26" i="29"/>
  <c r="I26" i="29"/>
  <c r="H26" i="29"/>
  <c r="G26" i="29"/>
  <c r="F26" i="29"/>
  <c r="E26" i="29"/>
  <c r="D26" i="29"/>
  <c r="F32" i="36" l="1"/>
  <c r="F43" i="36"/>
  <c r="F21" i="36"/>
  <c r="G20" i="36"/>
  <c r="G26" i="36"/>
  <c r="G31" i="36"/>
  <c r="G37" i="36"/>
  <c r="G48" i="36"/>
  <c r="G42" i="36"/>
  <c r="F26" i="36"/>
  <c r="F37" i="36"/>
  <c r="F48" i="36"/>
  <c r="G19" i="36"/>
  <c r="G30" i="36"/>
  <c r="G41" i="36"/>
  <c r="B8" i="36"/>
  <c r="B12" i="36"/>
  <c r="G43" i="36" l="1"/>
  <c r="G32" i="36"/>
  <c r="G21" i="36"/>
  <c r="B15" i="36"/>
  <c r="B9" i="36" s="1"/>
  <c r="B10" i="36" l="1"/>
  <c r="I29" i="23" l="1"/>
  <c r="H29" i="23"/>
  <c r="G29" i="23"/>
  <c r="F29" i="23"/>
  <c r="E29" i="23"/>
  <c r="D29" i="23"/>
  <c r="K27" i="23" l="1"/>
  <c r="J27" i="23"/>
  <c r="I27" i="23"/>
  <c r="H27" i="23"/>
  <c r="K26" i="23"/>
  <c r="J26" i="23"/>
  <c r="I26" i="23"/>
  <c r="H26" i="23"/>
  <c r="K25" i="23"/>
  <c r="J25" i="23"/>
  <c r="I25" i="23"/>
  <c r="H25" i="23"/>
  <c r="K24" i="23"/>
  <c r="J24" i="23"/>
  <c r="I24" i="23"/>
  <c r="H24" i="23"/>
  <c r="G27" i="23"/>
  <c r="G26" i="23"/>
  <c r="G25" i="23"/>
  <c r="G24" i="23"/>
  <c r="F27" i="23"/>
  <c r="E27" i="23"/>
  <c r="F26" i="23"/>
  <c r="E26" i="23"/>
  <c r="F25" i="23"/>
  <c r="E25" i="23"/>
  <c r="F24" i="23"/>
  <c r="E24" i="23"/>
  <c r="D27" i="23"/>
  <c r="D26" i="23"/>
  <c r="D25" i="23"/>
  <c r="D24" i="23"/>
  <c r="D18" i="23" l="1"/>
  <c r="D21" i="23"/>
  <c r="D20" i="23"/>
  <c r="D19" i="23"/>
  <c r="E18" i="23"/>
  <c r="E21" i="23"/>
  <c r="E20" i="23"/>
  <c r="E19" i="23"/>
  <c r="F18" i="23"/>
  <c r="F21" i="23"/>
  <c r="F20" i="23"/>
  <c r="F19" i="23"/>
  <c r="G18" i="23"/>
  <c r="G21" i="23"/>
  <c r="G20" i="23"/>
  <c r="G19" i="23"/>
  <c r="H18" i="23"/>
  <c r="H21" i="23"/>
  <c r="H20" i="23"/>
  <c r="H19" i="23"/>
  <c r="I18" i="23"/>
  <c r="I21" i="23"/>
  <c r="I20" i="23"/>
  <c r="I19" i="23"/>
  <c r="B103" i="28"/>
  <c r="B97" i="28" s="1"/>
  <c r="B98" i="28" s="1"/>
  <c r="E69" i="28"/>
  <c r="E68" i="28"/>
  <c r="E67" i="28"/>
  <c r="E63" i="28"/>
  <c r="E58" i="28"/>
  <c r="E57" i="28"/>
  <c r="E56" i="28"/>
  <c r="E52" i="28"/>
  <c r="E47" i="28"/>
  <c r="E46" i="28"/>
  <c r="E45" i="28"/>
  <c r="E41" i="28"/>
  <c r="E36" i="28"/>
  <c r="E35" i="28"/>
  <c r="E34" i="28"/>
  <c r="E30" i="28"/>
  <c r="E25" i="28"/>
  <c r="E24" i="28"/>
  <c r="E23" i="28"/>
  <c r="E19" i="28"/>
  <c r="D69" i="28"/>
  <c r="D68" i="28"/>
  <c r="D67" i="28"/>
  <c r="D63" i="28"/>
  <c r="D58" i="28"/>
  <c r="D57" i="28"/>
  <c r="D56" i="28"/>
  <c r="D52" i="28"/>
  <c r="D47" i="28"/>
  <c r="D46" i="28"/>
  <c r="D45" i="28"/>
  <c r="D41" i="28"/>
  <c r="D36" i="28"/>
  <c r="D35" i="28"/>
  <c r="D34" i="28"/>
  <c r="D30" i="28"/>
  <c r="D25" i="28"/>
  <c r="D24" i="28"/>
  <c r="D23" i="28"/>
  <c r="D19" i="28"/>
  <c r="C69" i="28"/>
  <c r="C68" i="28"/>
  <c r="C67" i="28"/>
  <c r="C63" i="28"/>
  <c r="C58" i="28"/>
  <c r="C57" i="28"/>
  <c r="C56" i="28"/>
  <c r="C52" i="28"/>
  <c r="C47" i="28"/>
  <c r="C46" i="28"/>
  <c r="C45" i="28"/>
  <c r="C41" i="28"/>
  <c r="C36" i="28"/>
  <c r="C35" i="28"/>
  <c r="C34" i="28"/>
  <c r="C30" i="28"/>
  <c r="C25" i="28"/>
  <c r="C24" i="28"/>
  <c r="C23" i="28"/>
  <c r="C19" i="28"/>
  <c r="B113" i="28"/>
  <c r="B112" i="28"/>
  <c r="B111" i="28"/>
  <c r="B107" i="28"/>
  <c r="B80" i="28"/>
  <c r="B79" i="28"/>
  <c r="B78" i="28"/>
  <c r="B74" i="28"/>
  <c r="B69" i="28"/>
  <c r="B68" i="28"/>
  <c r="B67" i="28"/>
  <c r="B63" i="28"/>
  <c r="B25" i="28"/>
  <c r="B24" i="28"/>
  <c r="B23" i="28"/>
  <c r="B19" i="28"/>
  <c r="C85" i="28" l="1"/>
  <c r="C91" i="28"/>
  <c r="D85" i="28"/>
  <c r="C90" i="28" l="1"/>
  <c r="D90" i="28"/>
  <c r="D91" i="28"/>
  <c r="D89" i="28" l="1"/>
  <c r="C89" i="28"/>
  <c r="C74" i="28" l="1"/>
  <c r="C79" i="28" l="1"/>
  <c r="C96" i="28"/>
  <c r="D74" i="28"/>
  <c r="C80" i="28"/>
  <c r="C101" i="28" l="1"/>
  <c r="D79" i="28"/>
  <c r="C102" i="28"/>
  <c r="D80" i="28"/>
  <c r="D102" i="28" l="1"/>
  <c r="D96" i="28"/>
  <c r="D101" i="28"/>
  <c r="D100" i="28" l="1"/>
  <c r="D103" i="28" s="1"/>
  <c r="D97" i="28" s="1"/>
  <c r="D98" i="28" s="1"/>
  <c r="C100" i="28"/>
  <c r="D15" i="36" l="1"/>
  <c r="D9" i="36" s="1"/>
  <c r="D10" i="36" s="1"/>
  <c r="C103" i="28"/>
  <c r="C97" i="28" s="1"/>
  <c r="C78" i="28"/>
  <c r="D78" i="28"/>
  <c r="C15" i="36" l="1"/>
  <c r="C9" i="36" s="1"/>
  <c r="C98" i="28"/>
  <c r="C10" i="36" l="1"/>
  <c r="E74" i="28" l="1"/>
  <c r="D21" i="29" s="1"/>
  <c r="D29" i="29" s="1"/>
  <c r="E79" i="28" l="1"/>
  <c r="D23" i="29" s="1"/>
  <c r="D31" i="29" s="1"/>
  <c r="E80" i="28"/>
  <c r="D24" i="29" s="1"/>
  <c r="D32" i="29" s="1"/>
  <c r="E85" i="28" l="1"/>
  <c r="E78" i="28"/>
  <c r="D22" i="29" s="1"/>
  <c r="D30" i="29" s="1"/>
  <c r="E90" i="28" l="1"/>
  <c r="E91" i="28"/>
  <c r="E89" i="28" l="1"/>
  <c r="E96" i="28" l="1"/>
  <c r="F96" i="28" s="1"/>
  <c r="G96" i="28" s="1"/>
  <c r="F13" i="36" l="1"/>
  <c r="F8" i="36"/>
  <c r="E101" i="28"/>
  <c r="F101" i="28" s="1"/>
  <c r="G101" i="28" s="1"/>
  <c r="E102" i="28" l="1"/>
  <c r="F102" i="28" s="1"/>
  <c r="G102" i="28" s="1"/>
  <c r="G8" i="36"/>
  <c r="F14" i="36" l="1"/>
  <c r="E100" i="28" l="1"/>
  <c r="E15" i="36" l="1"/>
  <c r="E9" i="36" s="1"/>
  <c r="F12" i="36"/>
  <c r="F15" i="36" s="1"/>
  <c r="E103" i="28"/>
  <c r="E97" i="28" s="1"/>
  <c r="F100" i="28"/>
  <c r="G100" i="28" s="1"/>
  <c r="G12" i="36" l="1"/>
  <c r="F9" i="36"/>
  <c r="F10" i="36" s="1"/>
  <c r="E10" i="36"/>
  <c r="F97" i="28"/>
  <c r="G97" i="28" s="1"/>
  <c r="E98" i="28"/>
  <c r="F103" i="28"/>
  <c r="G103" i="28"/>
  <c r="G14" i="36" l="1"/>
  <c r="G13" i="36"/>
  <c r="G15" i="36" s="1"/>
  <c r="G9" i="36" s="1"/>
  <c r="G10" i="36" s="1"/>
  <c r="G98" i="28"/>
  <c r="F98" i="28"/>
  <c r="A2" i="8" l="1"/>
  <c r="G80" i="8"/>
  <c r="G86" i="8"/>
  <c r="G85" i="8"/>
  <c r="G84" i="8"/>
  <c r="G70" i="8"/>
  <c r="G76" i="8"/>
  <c r="G75" i="8"/>
  <c r="G74" i="8"/>
  <c r="G60" i="8"/>
  <c r="G66" i="8"/>
  <c r="G65" i="8"/>
  <c r="G64" i="8"/>
  <c r="J15" i="29"/>
  <c r="J18" i="29"/>
  <c r="J17" i="29"/>
  <c r="J16" i="29"/>
  <c r="I15" i="29"/>
  <c r="I18" i="29"/>
  <c r="I17" i="29"/>
  <c r="I16" i="29"/>
  <c r="H15" i="29"/>
  <c r="H18" i="29"/>
  <c r="H17" i="29"/>
  <c r="H16" i="29"/>
  <c r="G15" i="29"/>
  <c r="G18" i="29"/>
  <c r="G17" i="29"/>
  <c r="G16" i="29"/>
  <c r="F15" i="29"/>
  <c r="F18" i="29"/>
  <c r="F17" i="29"/>
  <c r="F16" i="29"/>
  <c r="E15" i="29"/>
  <c r="E18" i="29"/>
  <c r="E17" i="29"/>
  <c r="E16" i="29"/>
  <c r="I18" i="13"/>
  <c r="H25" i="13"/>
  <c r="F25" i="13"/>
  <c r="D18" i="13" l="1"/>
  <c r="D19" i="13"/>
  <c r="E18" i="13"/>
  <c r="E19" i="13"/>
  <c r="F18" i="13"/>
  <c r="F19" i="13"/>
  <c r="G18" i="13"/>
  <c r="G19" i="13"/>
  <c r="H18" i="13"/>
  <c r="H19" i="13"/>
  <c r="I19" i="13"/>
  <c r="F29" i="31"/>
  <c r="F28" i="31"/>
  <c r="F27" i="31"/>
  <c r="F26" i="31"/>
  <c r="J45" i="22" l="1"/>
  <c r="I47" i="15" s="1"/>
  <c r="I45" i="22"/>
  <c r="H45" i="22"/>
  <c r="G45" i="22"/>
  <c r="F45" i="22"/>
  <c r="E45" i="22"/>
  <c r="I20" i="31" l="1"/>
  <c r="I23" i="31"/>
  <c r="I22" i="31"/>
  <c r="I21" i="31"/>
  <c r="H20" i="31"/>
  <c r="H23" i="31"/>
  <c r="H22" i="31"/>
  <c r="H21" i="31"/>
  <c r="G20" i="31"/>
  <c r="G23" i="31"/>
  <c r="G22" i="31"/>
  <c r="G21" i="31"/>
  <c r="F20" i="31"/>
  <c r="F23" i="31"/>
  <c r="F22" i="31"/>
  <c r="F21" i="31"/>
  <c r="E20" i="31"/>
  <c r="E23" i="31"/>
  <c r="E22" i="31"/>
  <c r="E21" i="31"/>
  <c r="D20" i="31"/>
  <c r="D23" i="31"/>
  <c r="D22" i="31"/>
  <c r="D21" i="31"/>
  <c r="K10" i="15" l="1"/>
  <c r="K9" i="15"/>
  <c r="K8" i="15"/>
  <c r="C7" i="18"/>
  <c r="C14" i="5" s="1"/>
  <c r="J6" i="5" s="1"/>
  <c r="C6" i="18"/>
  <c r="C13" i="5" s="1"/>
  <c r="C5" i="18"/>
  <c r="C12" i="5" s="1"/>
  <c r="C8" i="18"/>
  <c r="C15" i="5" s="1"/>
  <c r="J7" i="5" s="1"/>
  <c r="B108" i="28" l="1"/>
  <c r="F107" i="28"/>
  <c r="G107" i="28" s="1"/>
  <c r="E108" i="28"/>
  <c r="D114" i="28"/>
  <c r="C114" i="28"/>
  <c r="D108" i="28"/>
  <c r="D109" i="28" s="1"/>
  <c r="F85" i="28" l="1"/>
  <c r="G85" i="28" s="1"/>
  <c r="B114" i="28"/>
  <c r="F91" i="28"/>
  <c r="G91" i="28" s="1"/>
  <c r="F113" i="28"/>
  <c r="G113" i="28" s="1"/>
  <c r="F112" i="28"/>
  <c r="G112" i="28" s="1"/>
  <c r="E109" i="28"/>
  <c r="F111" i="28"/>
  <c r="G111" i="28" s="1"/>
  <c r="C108" i="28"/>
  <c r="C109" i="28" s="1"/>
  <c r="B86" i="28"/>
  <c r="B87" i="28" s="1"/>
  <c r="C86" i="28"/>
  <c r="C87" i="28" s="1"/>
  <c r="B92" i="28"/>
  <c r="B109" i="28"/>
  <c r="E114" i="28"/>
  <c r="D92" i="28"/>
  <c r="F90" i="28"/>
  <c r="G90" i="28" s="1"/>
  <c r="E92" i="28"/>
  <c r="E86" i="28"/>
  <c r="E87" i="28" s="1"/>
  <c r="F89" i="28"/>
  <c r="G89" i="28" s="1"/>
  <c r="D86" i="28"/>
  <c r="D87" i="28" s="1"/>
  <c r="C92" i="28"/>
  <c r="F114" i="28" l="1"/>
  <c r="G114" i="28"/>
  <c r="F108" i="28"/>
  <c r="G108" i="28" s="1"/>
  <c r="F92" i="28"/>
  <c r="G92" i="28"/>
  <c r="F86" i="28"/>
  <c r="G86" i="28" s="1"/>
  <c r="G109" i="28" l="1"/>
  <c r="F109" i="28"/>
  <c r="G87" i="28"/>
  <c r="F87" i="28"/>
  <c r="G56" i="8" l="1"/>
  <c r="G51" i="8" s="1"/>
  <c r="G55" i="8"/>
  <c r="G54" i="8"/>
  <c r="G50" i="8"/>
  <c r="E24" i="20" l="1"/>
  <c r="E23" i="20"/>
  <c r="E22" i="20"/>
  <c r="E21" i="20"/>
  <c r="B54" i="35"/>
  <c r="C54" i="35" s="1"/>
  <c r="M52" i="35"/>
  <c r="H37" i="35"/>
  <c r="G37" i="35"/>
  <c r="D37" i="35"/>
  <c r="C37" i="35"/>
  <c r="C43" i="35" s="1"/>
  <c r="F36" i="35"/>
  <c r="E36" i="35"/>
  <c r="D36" i="35"/>
  <c r="C36" i="35"/>
  <c r="C42" i="35" s="1"/>
  <c r="J35" i="35"/>
  <c r="D35" i="35"/>
  <c r="C35" i="35"/>
  <c r="C41" i="35" s="1"/>
  <c r="I34" i="35"/>
  <c r="E34" i="35"/>
  <c r="D34" i="35"/>
  <c r="C34" i="35"/>
  <c r="C40" i="35" s="1"/>
  <c r="F37" i="35"/>
  <c r="M26" i="35"/>
  <c r="L26" i="35"/>
  <c r="K26" i="35"/>
  <c r="P17" i="35"/>
  <c r="J37" i="35"/>
  <c r="I37" i="35"/>
  <c r="G7" i="35"/>
  <c r="J36" i="35"/>
  <c r="I36" i="35"/>
  <c r="H36" i="35"/>
  <c r="G36" i="35"/>
  <c r="G6" i="35"/>
  <c r="G5" i="35"/>
  <c r="I35" i="35"/>
  <c r="H35" i="35"/>
  <c r="G35" i="35"/>
  <c r="F35" i="35"/>
  <c r="E35" i="35"/>
  <c r="P14" i="35"/>
  <c r="J34" i="35"/>
  <c r="H34" i="35"/>
  <c r="G34" i="35"/>
  <c r="F34" i="35"/>
  <c r="E11" i="35"/>
  <c r="C10" i="35"/>
  <c r="B10" i="35"/>
  <c r="I7" i="35"/>
  <c r="I6" i="35"/>
  <c r="I5" i="35"/>
  <c r="I4" i="35"/>
  <c r="A1" i="35"/>
  <c r="P26" i="35" l="1"/>
  <c r="E49" i="35"/>
  <c r="I8" i="35"/>
  <c r="K34" i="35"/>
  <c r="P20" i="35"/>
  <c r="L34" i="35"/>
  <c r="F4" i="35"/>
  <c r="E48" i="35"/>
  <c r="D41" i="35"/>
  <c r="E41" i="35" s="1"/>
  <c r="E4" i="35"/>
  <c r="M34" i="35"/>
  <c r="E47" i="35"/>
  <c r="D40" i="35"/>
  <c r="E40" i="35" s="1"/>
  <c r="D43" i="35"/>
  <c r="E43" i="35" s="1"/>
  <c r="P16" i="35"/>
  <c r="D42" i="35"/>
  <c r="E42" i="35" s="1"/>
  <c r="P15" i="35"/>
  <c r="E37" i="35"/>
  <c r="E50" i="35" s="1"/>
  <c r="G4" i="35"/>
  <c r="E54" i="35" l="1"/>
  <c r="F42" i="35"/>
  <c r="F49" i="35"/>
  <c r="H4" i="35"/>
  <c r="G8" i="35"/>
  <c r="F48" i="35"/>
  <c r="F41" i="35"/>
  <c r="F47" i="35"/>
  <c r="F40" i="35"/>
  <c r="F50" i="35"/>
  <c r="F43" i="35"/>
  <c r="E52" i="35"/>
  <c r="F52" i="35" l="1"/>
  <c r="G48" i="35"/>
  <c r="G41" i="35"/>
  <c r="G42" i="35"/>
  <c r="G49" i="35"/>
  <c r="G43" i="35"/>
  <c r="G50" i="35"/>
  <c r="E51" i="35"/>
  <c r="F54" i="35"/>
  <c r="G47" i="35"/>
  <c r="G40" i="35"/>
  <c r="H43" i="35" l="1"/>
  <c r="H50" i="35"/>
  <c r="H42" i="35"/>
  <c r="H49" i="35"/>
  <c r="G52" i="35"/>
  <c r="H47" i="35"/>
  <c r="H40" i="35"/>
  <c r="H48" i="35"/>
  <c r="H41" i="35"/>
  <c r="F51" i="35"/>
  <c r="G54" i="35"/>
  <c r="I43" i="35" l="1"/>
  <c r="I50" i="35"/>
  <c r="H52" i="35"/>
  <c r="I48" i="35"/>
  <c r="I41" i="35"/>
  <c r="I47" i="35"/>
  <c r="I40" i="35"/>
  <c r="I42" i="35"/>
  <c r="I49" i="35"/>
  <c r="G51" i="35"/>
  <c r="H54" i="35"/>
  <c r="J42" i="35" l="1"/>
  <c r="J49" i="35"/>
  <c r="J48" i="35"/>
  <c r="J41" i="35"/>
  <c r="H51" i="35"/>
  <c r="I54" i="35"/>
  <c r="J40" i="35"/>
  <c r="J47" i="35"/>
  <c r="I52" i="35"/>
  <c r="J43" i="35"/>
  <c r="J50" i="35"/>
  <c r="J52" i="35" l="1"/>
  <c r="K40" i="35"/>
  <c r="I51" i="35"/>
  <c r="J54" i="35"/>
  <c r="J51" i="35" l="1"/>
  <c r="A1" i="32" l="1"/>
  <c r="B14" i="28" l="1"/>
  <c r="B13" i="28"/>
  <c r="B12" i="28"/>
  <c r="B8" i="28"/>
  <c r="B15" i="28" l="1"/>
  <c r="B9" i="28" s="1"/>
  <c r="D8" i="28" l="1"/>
  <c r="D12" i="28" l="1"/>
  <c r="D13" i="28" l="1"/>
  <c r="D14" i="28"/>
  <c r="C13" i="28"/>
  <c r="C14" i="28"/>
  <c r="C8" i="28"/>
  <c r="C12" i="28"/>
  <c r="E8" i="28" l="1"/>
  <c r="E14" i="28"/>
  <c r="E12" i="28"/>
  <c r="E13" i="28"/>
  <c r="E75" i="28" l="1"/>
  <c r="D75" i="28"/>
  <c r="C75" i="28"/>
  <c r="D12" i="29" s="1"/>
  <c r="B75" i="28"/>
  <c r="D15" i="28" l="1"/>
  <c r="D9" i="28" s="1"/>
  <c r="C15" i="28" l="1"/>
  <c r="C9" i="28" s="1"/>
  <c r="E15" i="28" l="1"/>
  <c r="E9" i="28" s="1"/>
  <c r="B59" i="28" l="1"/>
  <c r="F58" i="28"/>
  <c r="G58" i="28" s="1"/>
  <c r="C53" i="28"/>
  <c r="F56" i="28"/>
  <c r="G56" i="28" s="1"/>
  <c r="D59" i="28"/>
  <c r="C59" i="28"/>
  <c r="D53" i="28"/>
  <c r="B53" i="28"/>
  <c r="B54" i="28" s="1"/>
  <c r="D54" i="28" l="1"/>
  <c r="C54" i="28"/>
  <c r="E53" i="28"/>
  <c r="F57" i="28"/>
  <c r="F52" i="28"/>
  <c r="G52" i="28" s="1"/>
  <c r="E59" i="28"/>
  <c r="G57" i="28" l="1"/>
  <c r="G53" i="28" s="1"/>
  <c r="E54" i="28"/>
  <c r="F53" i="28"/>
  <c r="F59" i="28"/>
  <c r="G59" i="28"/>
  <c r="G54" i="28" l="1"/>
  <c r="F54" i="28"/>
  <c r="G46" i="8" l="1"/>
  <c r="G45" i="8"/>
  <c r="G44" i="8"/>
  <c r="G41" i="8"/>
  <c r="G40" i="8"/>
  <c r="P33" i="16" l="1"/>
  <c r="P32" i="16"/>
  <c r="P31" i="16"/>
  <c r="P30" i="16"/>
  <c r="P27" i="16"/>
  <c r="P26" i="16"/>
  <c r="P25" i="16"/>
  <c r="P24" i="16"/>
  <c r="P15" i="16"/>
  <c r="O23" i="13"/>
  <c r="O22" i="13"/>
  <c r="O15" i="13"/>
  <c r="O29" i="31"/>
  <c r="O28" i="31"/>
  <c r="O27" i="31"/>
  <c r="O26" i="31"/>
  <c r="P17" i="22"/>
  <c r="P16" i="22"/>
  <c r="P15" i="22"/>
  <c r="P14" i="22"/>
  <c r="O18" i="15"/>
  <c r="O17" i="15"/>
  <c r="O16" i="15"/>
  <c r="O15" i="15"/>
  <c r="O27" i="23" l="1"/>
  <c r="O25" i="23"/>
  <c r="O24" i="23"/>
  <c r="O26" i="23" l="1"/>
  <c r="C34" i="31"/>
  <c r="C40" i="31" s="1"/>
  <c r="E46" i="24"/>
  <c r="F29" i="8"/>
  <c r="F45" i="16"/>
  <c r="J46" i="24"/>
  <c r="I46" i="24"/>
  <c r="H46" i="24"/>
  <c r="F46" i="24"/>
  <c r="H47" i="15"/>
  <c r="G47" i="15"/>
  <c r="K45" i="22"/>
  <c r="J45" i="16"/>
  <c r="I45" i="16"/>
  <c r="H45" i="16"/>
  <c r="L45" i="22"/>
  <c r="G46" i="24"/>
  <c r="D14" i="16"/>
  <c r="E14" i="16"/>
  <c r="L10" i="16"/>
  <c r="L9" i="16"/>
  <c r="L8" i="16"/>
  <c r="N24" i="16"/>
  <c r="C41" i="15"/>
  <c r="C45" i="15" s="1"/>
  <c r="D23" i="15"/>
  <c r="D41" i="15" s="1"/>
  <c r="K47" i="35" l="1"/>
  <c r="F47" i="15"/>
  <c r="E47" i="15"/>
  <c r="G45" i="16"/>
  <c r="L11" i="16"/>
  <c r="E45" i="16"/>
  <c r="D47" i="15"/>
  <c r="D50" i="15" s="1"/>
  <c r="D45" i="15"/>
  <c r="L47" i="35" l="1"/>
  <c r="P47" i="35" s="1"/>
  <c r="L40" i="35"/>
  <c r="L26" i="15"/>
  <c r="K26" i="15"/>
  <c r="J4" i="35" l="1"/>
  <c r="K4" i="35" s="1"/>
  <c r="M40" i="35"/>
  <c r="K26" i="22"/>
  <c r="P20" i="22"/>
  <c r="J26" i="15"/>
  <c r="O26" i="15" s="1"/>
  <c r="L4" i="35" l="1"/>
  <c r="K18" i="16"/>
  <c r="K15" i="24"/>
  <c r="J18" i="13"/>
  <c r="B54" i="22" l="1"/>
  <c r="C54" i="22"/>
  <c r="C34" i="22"/>
  <c r="C40" i="22" s="1"/>
  <c r="C35" i="22"/>
  <c r="C41" i="22" s="1"/>
  <c r="C36" i="22"/>
  <c r="C42" i="22" s="1"/>
  <c r="C37" i="22"/>
  <c r="C43" i="22" s="1"/>
  <c r="K32" i="15" l="1"/>
  <c r="J32" i="15" l="1"/>
  <c r="D22" i="15"/>
  <c r="K11" i="15"/>
  <c r="B54" i="15" l="1"/>
  <c r="C54" i="15" s="1"/>
  <c r="C40" i="15" l="1"/>
  <c r="C44" i="15" s="1"/>
  <c r="E27" i="15" l="1"/>
  <c r="E26" i="15"/>
  <c r="E29" i="15"/>
  <c r="E28" i="15"/>
  <c r="F26" i="15" l="1"/>
  <c r="G26" i="15"/>
  <c r="I26" i="15"/>
  <c r="H26" i="15"/>
  <c r="I27" i="15"/>
  <c r="H27" i="15"/>
  <c r="G27" i="15"/>
  <c r="F27" i="15"/>
  <c r="I29" i="15"/>
  <c r="G29" i="15"/>
  <c r="H29" i="15"/>
  <c r="F29" i="15"/>
  <c r="G28" i="15"/>
  <c r="F28" i="15"/>
  <c r="I28" i="15"/>
  <c r="H28" i="15"/>
  <c r="D29" i="15"/>
  <c r="D28" i="15"/>
  <c r="D27" i="15"/>
  <c r="D26" i="15"/>
  <c r="E34" i="22" l="1"/>
  <c r="E47" i="22" s="1"/>
  <c r="B64" i="28" l="1"/>
  <c r="D64" i="28" l="1"/>
  <c r="C64" i="28" l="1"/>
  <c r="E64" i="28" l="1"/>
  <c r="B13" i="8"/>
  <c r="B12" i="8"/>
  <c r="B11" i="8"/>
  <c r="B8" i="8"/>
  <c r="B7" i="8"/>
  <c r="B81" i="8" l="1"/>
  <c r="C7" i="8" l="1"/>
  <c r="C12" i="8"/>
  <c r="C13" i="8"/>
  <c r="D7" i="8" l="1"/>
  <c r="D13" i="8" l="1"/>
  <c r="D12" i="8"/>
  <c r="C81" i="8" l="1"/>
  <c r="C8" i="8" s="1"/>
  <c r="C11" i="8"/>
  <c r="D81" i="8"/>
  <c r="D8" i="8" s="1"/>
  <c r="D11" i="8"/>
  <c r="E11" i="8" l="1"/>
  <c r="E13" i="8" l="1"/>
  <c r="E12" i="8" l="1"/>
  <c r="E7" i="8" l="1"/>
  <c r="E81" i="8" l="1"/>
  <c r="E8" i="8" s="1"/>
  <c r="E87" i="8"/>
  <c r="D87" i="8"/>
  <c r="C87" i="8"/>
  <c r="B87" i="8"/>
  <c r="F86" i="8"/>
  <c r="F85" i="8"/>
  <c r="F84" i="8"/>
  <c r="D82" i="8"/>
  <c r="C82" i="8"/>
  <c r="B82" i="8"/>
  <c r="F80" i="8"/>
  <c r="G13" i="8" l="1"/>
  <c r="G12" i="8"/>
  <c r="E82" i="8"/>
  <c r="F81" i="8"/>
  <c r="F82" i="8" s="1"/>
  <c r="F87" i="8"/>
  <c r="G11" i="8"/>
  <c r="G87" i="8" l="1"/>
  <c r="G81" i="8"/>
  <c r="G82" i="8" l="1"/>
  <c r="F15" i="5" l="1"/>
  <c r="F14" i="5"/>
  <c r="F13" i="5"/>
  <c r="F12" i="5"/>
  <c r="G15" i="16" l="1"/>
  <c r="K18" i="23" l="1"/>
  <c r="K20" i="31"/>
  <c r="L15" i="29"/>
  <c r="L15" i="24"/>
  <c r="L18" i="16"/>
  <c r="K18" i="13"/>
  <c r="K15" i="29"/>
  <c r="J20" i="31"/>
  <c r="J18" i="23"/>
  <c r="L18" i="13"/>
  <c r="M15" i="29"/>
  <c r="M15" i="24"/>
  <c r="L20" i="31"/>
  <c r="L18" i="23"/>
  <c r="M18" i="16"/>
  <c r="P18" i="16" l="1"/>
  <c r="O18" i="23"/>
  <c r="O20" i="31"/>
  <c r="O18" i="13"/>
  <c r="P15" i="29"/>
  <c r="P15" i="24"/>
  <c r="D42" i="28" l="1"/>
  <c r="D43" i="28" s="1"/>
  <c r="C42" i="28" l="1"/>
  <c r="C43" i="28" s="1"/>
  <c r="E42" i="28" l="1"/>
  <c r="E43" i="28" l="1"/>
  <c r="E81" i="28"/>
  <c r="D81" i="28"/>
  <c r="C81" i="28"/>
  <c r="B81" i="28"/>
  <c r="F80" i="28"/>
  <c r="F79" i="28"/>
  <c r="F78" i="28"/>
  <c r="E76" i="28"/>
  <c r="D76" i="28"/>
  <c r="C76" i="28"/>
  <c r="B76" i="28"/>
  <c r="F75" i="28"/>
  <c r="F74" i="28"/>
  <c r="E70" i="28"/>
  <c r="D70" i="28"/>
  <c r="C70" i="28"/>
  <c r="B70" i="28"/>
  <c r="F69" i="28"/>
  <c r="G69" i="28" s="1"/>
  <c r="F68" i="28"/>
  <c r="G68" i="28" s="1"/>
  <c r="F67" i="28"/>
  <c r="G67" i="28" s="1"/>
  <c r="E65" i="28"/>
  <c r="D65" i="28"/>
  <c r="C65" i="28"/>
  <c r="B65" i="28"/>
  <c r="F64" i="28"/>
  <c r="F63" i="28"/>
  <c r="G63" i="28" s="1"/>
  <c r="H22" i="29" l="1"/>
  <c r="L22" i="29"/>
  <c r="K22" i="29"/>
  <c r="J22" i="29"/>
  <c r="I22" i="29"/>
  <c r="H23" i="29"/>
  <c r="L23" i="29"/>
  <c r="J23" i="29"/>
  <c r="I23" i="29"/>
  <c r="K23" i="29"/>
  <c r="H21" i="29"/>
  <c r="K21" i="29"/>
  <c r="J21" i="29"/>
  <c r="I21" i="29"/>
  <c r="L21" i="29"/>
  <c r="H24" i="29"/>
  <c r="K24" i="29"/>
  <c r="J24" i="29"/>
  <c r="I24" i="29"/>
  <c r="L24" i="29"/>
  <c r="G22" i="29"/>
  <c r="F22" i="29"/>
  <c r="G23" i="29"/>
  <c r="F23" i="29"/>
  <c r="G24" i="29"/>
  <c r="F24" i="29"/>
  <c r="G21" i="29"/>
  <c r="F21" i="29"/>
  <c r="G78" i="28"/>
  <c r="E22" i="29"/>
  <c r="G79" i="28"/>
  <c r="E23" i="29"/>
  <c r="G80" i="28"/>
  <c r="E24" i="29"/>
  <c r="G74" i="28"/>
  <c r="E21" i="29"/>
  <c r="G64" i="28"/>
  <c r="F76" i="28"/>
  <c r="F81" i="28"/>
  <c r="F65" i="28"/>
  <c r="F70" i="28"/>
  <c r="G81" i="28" l="1"/>
  <c r="G75" i="28"/>
  <c r="G76" i="28" s="1"/>
  <c r="G65" i="28"/>
  <c r="G70" i="28"/>
  <c r="E6" i="31"/>
  <c r="E5" i="31"/>
  <c r="I36" i="31"/>
  <c r="H36" i="31"/>
  <c r="G36" i="31"/>
  <c r="F36" i="31"/>
  <c r="E36" i="31"/>
  <c r="D36" i="31"/>
  <c r="C36" i="31"/>
  <c r="I35" i="31"/>
  <c r="H35" i="31"/>
  <c r="G35" i="31"/>
  <c r="F35" i="31"/>
  <c r="E35" i="31"/>
  <c r="D35" i="31"/>
  <c r="C35" i="31"/>
  <c r="D77" i="8" l="1"/>
  <c r="C77" i="8"/>
  <c r="B77" i="8"/>
  <c r="F76" i="8"/>
  <c r="F75" i="8"/>
  <c r="F74" i="8"/>
  <c r="D72" i="8"/>
  <c r="C72" i="8"/>
  <c r="B72" i="8"/>
  <c r="F70" i="8"/>
  <c r="E77" i="8" l="1"/>
  <c r="F77" i="8"/>
  <c r="E72" i="8"/>
  <c r="F71" i="8" l="1"/>
  <c r="F72" i="8" s="1"/>
  <c r="G71" i="8"/>
  <c r="G72" i="8" s="1"/>
  <c r="G77" i="8"/>
  <c r="B12" i="12" l="1"/>
  <c r="B11" i="12"/>
  <c r="B10" i="12"/>
  <c r="B6" i="12"/>
  <c r="C12" i="12"/>
  <c r="C11" i="12"/>
  <c r="C10" i="12"/>
  <c r="C6" i="12"/>
  <c r="C11" i="30" l="1"/>
  <c r="I37" i="31"/>
  <c r="H37" i="31"/>
  <c r="G37" i="31"/>
  <c r="F37" i="31"/>
  <c r="E37" i="31"/>
  <c r="D37" i="31"/>
  <c r="C37" i="31"/>
  <c r="I34" i="31"/>
  <c r="H34" i="31"/>
  <c r="G34" i="31"/>
  <c r="F34" i="31"/>
  <c r="E34" i="31"/>
  <c r="D34" i="31"/>
  <c r="K17" i="31"/>
  <c r="J17" i="31"/>
  <c r="O17" i="31" s="1"/>
  <c r="I17" i="31"/>
  <c r="H17" i="31"/>
  <c r="G17" i="31"/>
  <c r="F17" i="31"/>
  <c r="E17" i="31"/>
  <c r="D17" i="31"/>
  <c r="D16" i="31"/>
  <c r="E16" i="31" s="1"/>
  <c r="F16" i="31" s="1"/>
  <c r="G16" i="31" s="1"/>
  <c r="H16" i="31" s="1"/>
  <c r="I16" i="31" s="1"/>
  <c r="J16" i="31" s="1"/>
  <c r="K16" i="31" s="1"/>
  <c r="L16" i="31" s="1"/>
  <c r="C15" i="31"/>
  <c r="B15" i="31"/>
  <c r="E7" i="31"/>
  <c r="E4" i="31"/>
  <c r="A1" i="31"/>
  <c r="E10" i="30"/>
  <c r="D11" i="30"/>
  <c r="B7" i="30" s="1"/>
  <c r="B11" i="30"/>
  <c r="B5" i="30" s="1"/>
  <c r="A2" i="30"/>
  <c r="A1" i="30"/>
  <c r="B6" i="30" l="1"/>
  <c r="C12" i="30"/>
  <c r="B12" i="30"/>
  <c r="D12" i="30"/>
  <c r="E8" i="31"/>
  <c r="E9" i="30"/>
  <c r="E11" i="30" l="1"/>
  <c r="E12" i="30" s="1"/>
  <c r="G4" i="31" l="1"/>
  <c r="D40" i="31"/>
  <c r="D31" i="28" l="1"/>
  <c r="C31" i="28" l="1"/>
  <c r="E31" i="28" l="1"/>
  <c r="D9" i="18" l="1"/>
  <c r="B6" i="10" l="1"/>
  <c r="B5" i="10"/>
  <c r="D9" i="10"/>
  <c r="D67" i="8"/>
  <c r="C67" i="8"/>
  <c r="B67" i="8"/>
  <c r="F66" i="8"/>
  <c r="F65" i="8"/>
  <c r="D62" i="8"/>
  <c r="C62" i="8"/>
  <c r="B62" i="8"/>
  <c r="F60" i="8"/>
  <c r="E67" i="8" l="1"/>
  <c r="D8" i="10"/>
  <c r="E62" i="8"/>
  <c r="F64" i="8"/>
  <c r="B42" i="13" l="1"/>
  <c r="F61" i="8"/>
  <c r="F62" i="8" s="1"/>
  <c r="F67" i="8"/>
  <c r="G61" i="8" l="1"/>
  <c r="G62" i="8" s="1"/>
  <c r="G67" i="8"/>
  <c r="L34" i="31" l="1"/>
  <c r="K34" i="31"/>
  <c r="D4" i="31" l="1"/>
  <c r="J34" i="31"/>
  <c r="D47" i="31"/>
  <c r="F4" i="31" l="1"/>
  <c r="H7" i="29"/>
  <c r="H6" i="29"/>
  <c r="H5" i="29"/>
  <c r="B49" i="29"/>
  <c r="C49" i="29" s="1"/>
  <c r="C32" i="29"/>
  <c r="C38" i="29" s="1"/>
  <c r="C31" i="29"/>
  <c r="C37" i="29" s="1"/>
  <c r="C30" i="29"/>
  <c r="C36" i="29" s="1"/>
  <c r="C29" i="29"/>
  <c r="C35" i="29" s="1"/>
  <c r="E11" i="29"/>
  <c r="F11" i="29" s="1"/>
  <c r="G11" i="29" s="1"/>
  <c r="H11" i="29" s="1"/>
  <c r="I11" i="29" s="1"/>
  <c r="J11" i="29" s="1"/>
  <c r="K11" i="29" s="1"/>
  <c r="L11" i="29" s="1"/>
  <c r="M11" i="29" s="1"/>
  <c r="C10" i="29"/>
  <c r="B10" i="29"/>
  <c r="H4" i="29"/>
  <c r="A1" i="29"/>
  <c r="M29" i="29"/>
  <c r="E40" i="31" l="1"/>
  <c r="E47" i="31"/>
  <c r="H8" i="29"/>
  <c r="E4" i="29"/>
  <c r="F47" i="31" l="1"/>
  <c r="F40" i="31"/>
  <c r="G47" i="31" l="1"/>
  <c r="G40" i="31"/>
  <c r="H47" i="31" l="1"/>
  <c r="H40" i="31"/>
  <c r="I40" i="31" l="1"/>
  <c r="I47" i="31"/>
  <c r="J40" i="31" l="1"/>
  <c r="B52" i="8" l="1"/>
  <c r="B57" i="8"/>
  <c r="F56" i="8"/>
  <c r="F55" i="8"/>
  <c r="E57" i="8"/>
  <c r="D57" i="8"/>
  <c r="F54" i="8"/>
  <c r="D52" i="8"/>
  <c r="F57" i="8" l="1"/>
  <c r="C57" i="8"/>
  <c r="F50" i="8"/>
  <c r="E52" i="8" l="1"/>
  <c r="G8" i="8"/>
  <c r="G57" i="8"/>
  <c r="F51" i="8"/>
  <c r="F52" i="8" s="1"/>
  <c r="C52" i="8"/>
  <c r="G52" i="8" l="1"/>
  <c r="C14" i="30" l="1"/>
  <c r="C15" i="30"/>
  <c r="B15" i="30" s="1"/>
  <c r="C16" i="30"/>
  <c r="B16" i="30" s="1"/>
  <c r="C17" i="30" l="1"/>
  <c r="B14" i="30"/>
  <c r="B17" i="30" l="1"/>
  <c r="C42" i="31"/>
  <c r="G6" i="31"/>
  <c r="C43" i="31"/>
  <c r="G7" i="31"/>
  <c r="D43" i="31" l="1"/>
  <c r="D50" i="31"/>
  <c r="E43" i="31" s="1"/>
  <c r="D42" i="31"/>
  <c r="D49" i="31"/>
  <c r="G5" i="31"/>
  <c r="C41" i="31"/>
  <c r="B54" i="31"/>
  <c r="C54" i="31" s="1"/>
  <c r="D41" i="31" l="1"/>
  <c r="D48" i="31"/>
  <c r="G8" i="31"/>
  <c r="E49" i="31"/>
  <c r="E42" i="31"/>
  <c r="E50" i="31"/>
  <c r="F43" i="31" s="1"/>
  <c r="F50" i="31" l="1"/>
  <c r="G43" i="31" s="1"/>
  <c r="E48" i="31"/>
  <c r="E52" i="31" s="1"/>
  <c r="D52" i="31"/>
  <c r="E41" i="31"/>
  <c r="F49" i="31"/>
  <c r="F42" i="31"/>
  <c r="D54" i="31"/>
  <c r="G49" i="31" l="1"/>
  <c r="G50" i="31"/>
  <c r="H43" i="31" s="1"/>
  <c r="G42" i="31"/>
  <c r="F41" i="31"/>
  <c r="F48" i="31"/>
  <c r="F52" i="31" s="1"/>
  <c r="D51" i="31"/>
  <c r="E54" i="31"/>
  <c r="G48" i="31" l="1"/>
  <c r="H50" i="31"/>
  <c r="I43" i="31" s="1"/>
  <c r="G41" i="31"/>
  <c r="G52" i="31"/>
  <c r="H42" i="31"/>
  <c r="H49" i="31"/>
  <c r="F54" i="31"/>
  <c r="E51" i="31"/>
  <c r="I50" i="31" l="1"/>
  <c r="I42" i="31"/>
  <c r="I49" i="31"/>
  <c r="H41" i="31"/>
  <c r="H48" i="31"/>
  <c r="H52" i="31" s="1"/>
  <c r="G54" i="31"/>
  <c r="F51" i="31"/>
  <c r="H54" i="31" l="1"/>
  <c r="G51" i="31"/>
  <c r="I41" i="31"/>
  <c r="I48" i="31"/>
  <c r="I52" i="31" s="1"/>
  <c r="H51" i="31" l="1"/>
  <c r="I54" i="31"/>
  <c r="I51" i="31" s="1"/>
  <c r="E20" i="28"/>
  <c r="E10" i="28" s="1"/>
  <c r="D20" i="28"/>
  <c r="D10" i="28" s="1"/>
  <c r="C20" i="28"/>
  <c r="C10" i="28" s="1"/>
  <c r="B48" i="28" l="1"/>
  <c r="F47" i="28"/>
  <c r="E48" i="28"/>
  <c r="D48" i="28"/>
  <c r="F45" i="28"/>
  <c r="B43" i="28"/>
  <c r="E37" i="28"/>
  <c r="D37" i="28"/>
  <c r="F36" i="28"/>
  <c r="F35" i="28"/>
  <c r="F34" i="28"/>
  <c r="C37" i="28"/>
  <c r="B37" i="28"/>
  <c r="E32" i="28"/>
  <c r="D32" i="28"/>
  <c r="F31" i="28"/>
  <c r="G31" i="28" s="1"/>
  <c r="C32" i="28"/>
  <c r="B32" i="28"/>
  <c r="E26" i="28"/>
  <c r="D26" i="28"/>
  <c r="D21" i="28"/>
  <c r="A2" i="28"/>
  <c r="A1" i="28"/>
  <c r="G45" i="28" l="1"/>
  <c r="G47" i="28"/>
  <c r="G34" i="28"/>
  <c r="G35" i="28"/>
  <c r="G36" i="28"/>
  <c r="B20" i="28"/>
  <c r="B26" i="28"/>
  <c r="F37" i="28"/>
  <c r="F8" i="28"/>
  <c r="F42" i="28"/>
  <c r="F13" i="28"/>
  <c r="F19" i="28"/>
  <c r="F24" i="28"/>
  <c r="F46" i="28"/>
  <c r="C48" i="28"/>
  <c r="F14" i="28"/>
  <c r="C21" i="28"/>
  <c r="C26" i="28"/>
  <c r="F25" i="28"/>
  <c r="F23" i="28"/>
  <c r="F30" i="28"/>
  <c r="F41" i="28"/>
  <c r="G46" i="28" l="1"/>
  <c r="G42" i="28" s="1"/>
  <c r="F31" i="29"/>
  <c r="E31" i="29"/>
  <c r="E37" i="29" s="1"/>
  <c r="G31" i="29"/>
  <c r="G41" i="28"/>
  <c r="B10" i="28"/>
  <c r="P24" i="29"/>
  <c r="P22" i="29"/>
  <c r="I31" i="29"/>
  <c r="J31" i="29"/>
  <c r="G30" i="28"/>
  <c r="G32" i="28" s="1"/>
  <c r="G37" i="28"/>
  <c r="B21" i="28"/>
  <c r="F20" i="28"/>
  <c r="G20" i="28" s="1"/>
  <c r="F12" i="28"/>
  <c r="F15" i="28" s="1"/>
  <c r="F32" i="29"/>
  <c r="E32" i="29"/>
  <c r="E38" i="29" s="1"/>
  <c r="G25" i="28"/>
  <c r="G14" i="28" s="1"/>
  <c r="E15" i="5" s="1"/>
  <c r="G32" i="29"/>
  <c r="G19" i="28"/>
  <c r="G8" i="28" s="1"/>
  <c r="E12" i="5" s="1"/>
  <c r="G24" i="28"/>
  <c r="G13" i="28" s="1"/>
  <c r="E14" i="5" s="1"/>
  <c r="G30" i="29"/>
  <c r="F30" i="29"/>
  <c r="E30" i="29"/>
  <c r="E36" i="29" s="1"/>
  <c r="G23" i="28"/>
  <c r="G12" i="28" s="1"/>
  <c r="E13" i="5" s="1"/>
  <c r="J30" i="29"/>
  <c r="J32" i="29"/>
  <c r="I32" i="29"/>
  <c r="I30" i="29"/>
  <c r="F26" i="28"/>
  <c r="E21" i="28"/>
  <c r="F48" i="28"/>
  <c r="F32" i="28"/>
  <c r="F43" i="28"/>
  <c r="G43" i="28" l="1"/>
  <c r="G48" i="28"/>
  <c r="P23" i="29"/>
  <c r="G15" i="28"/>
  <c r="G9" i="28" s="1"/>
  <c r="G10" i="28" s="1"/>
  <c r="P21" i="29"/>
  <c r="F21" i="28"/>
  <c r="F12" i="29"/>
  <c r="F29" i="29"/>
  <c r="G12" i="29"/>
  <c r="G29" i="29"/>
  <c r="E45" i="29"/>
  <c r="E44" i="29"/>
  <c r="E12" i="29"/>
  <c r="E29" i="29"/>
  <c r="E35" i="29" s="1"/>
  <c r="E43" i="29"/>
  <c r="F6" i="29"/>
  <c r="H31" i="29"/>
  <c r="F7" i="29"/>
  <c r="H32" i="29"/>
  <c r="F5" i="29"/>
  <c r="H30" i="29"/>
  <c r="F4" i="29"/>
  <c r="H29" i="29"/>
  <c r="H12" i="29"/>
  <c r="I12" i="29"/>
  <c r="I29" i="29"/>
  <c r="L29" i="29"/>
  <c r="L12" i="29"/>
  <c r="J12" i="29"/>
  <c r="J29" i="29"/>
  <c r="K12" i="29"/>
  <c r="K29" i="29"/>
  <c r="F9" i="28"/>
  <c r="F10" i="28" s="1"/>
  <c r="G21" i="28"/>
  <c r="G26" i="28"/>
  <c r="P12" i="29" l="1"/>
  <c r="E42" i="29"/>
  <c r="E47" i="29" s="1"/>
  <c r="F44" i="29"/>
  <c r="F37" i="29"/>
  <c r="F38" i="29"/>
  <c r="F45" i="29"/>
  <c r="F43" i="29"/>
  <c r="F36" i="29"/>
  <c r="G4" i="29"/>
  <c r="F8" i="29"/>
  <c r="E49" i="29" l="1"/>
  <c r="F35" i="29"/>
  <c r="F42" i="29"/>
  <c r="F47" i="29" s="1"/>
  <c r="G38" i="29"/>
  <c r="G45" i="29"/>
  <c r="G37" i="29"/>
  <c r="G44" i="29"/>
  <c r="G43" i="29"/>
  <c r="G36" i="29"/>
  <c r="D37" i="22"/>
  <c r="D36" i="22"/>
  <c r="D35" i="22"/>
  <c r="D34" i="22"/>
  <c r="E46" i="29" l="1"/>
  <c r="F49" i="29"/>
  <c r="H44" i="29"/>
  <c r="H37" i="29"/>
  <c r="H43" i="29"/>
  <c r="H36" i="29"/>
  <c r="G35" i="29"/>
  <c r="G42" i="29"/>
  <c r="G47" i="29" s="1"/>
  <c r="H38" i="29"/>
  <c r="H45" i="29"/>
  <c r="C10" i="10"/>
  <c r="B10" i="10"/>
  <c r="F46" i="29" l="1"/>
  <c r="I45" i="29"/>
  <c r="I38" i="29"/>
  <c r="G49" i="29"/>
  <c r="I37" i="29"/>
  <c r="I44" i="29"/>
  <c r="H35" i="29"/>
  <c r="H42" i="29"/>
  <c r="H47" i="29" s="1"/>
  <c r="I36" i="29"/>
  <c r="I43" i="29"/>
  <c r="C11" i="10"/>
  <c r="B11" i="10"/>
  <c r="J37" i="29" l="1"/>
  <c r="J44" i="29"/>
  <c r="I35" i="29"/>
  <c r="I42" i="29"/>
  <c r="I47" i="29" s="1"/>
  <c r="G46" i="29"/>
  <c r="H49" i="29"/>
  <c r="J43" i="29"/>
  <c r="J36" i="29"/>
  <c r="J45" i="29"/>
  <c r="J38" i="29"/>
  <c r="E29" i="13"/>
  <c r="H46" i="29" l="1"/>
  <c r="I49" i="29"/>
  <c r="J35" i="29"/>
  <c r="J42" i="29"/>
  <c r="J47" i="29" s="1"/>
  <c r="K35" i="29" l="1"/>
  <c r="I46" i="29"/>
  <c r="J49" i="29"/>
  <c r="J46" i="29" l="1"/>
  <c r="B42" i="8"/>
  <c r="B47" i="8" l="1"/>
  <c r="C14" i="8" l="1"/>
  <c r="D14" i="8" l="1"/>
  <c r="D47" i="8" l="1"/>
  <c r="C9" i="8"/>
  <c r="C47" i="8"/>
  <c r="D42" i="8" l="1"/>
  <c r="D9" i="8"/>
  <c r="C42" i="8"/>
  <c r="F44" i="8" l="1"/>
  <c r="E14" i="8" l="1"/>
  <c r="F46" i="8" l="1"/>
  <c r="F40" i="8" l="1"/>
  <c r="F45" i="8" l="1"/>
  <c r="E47" i="8"/>
  <c r="E9" i="8"/>
  <c r="F41" i="8" l="1"/>
  <c r="E42" i="8"/>
  <c r="F47" i="8"/>
  <c r="G47" i="8" l="1"/>
  <c r="F42" i="8"/>
  <c r="G42" i="8" l="1"/>
  <c r="J8" i="13" l="1"/>
  <c r="J10" i="23"/>
  <c r="C14" i="10"/>
  <c r="C13" i="10"/>
  <c r="C15" i="10" l="1"/>
  <c r="J9" i="13"/>
  <c r="J10" i="13"/>
  <c r="J8" i="23"/>
  <c r="J9" i="23"/>
  <c r="A1" i="13" l="1"/>
  <c r="A1" i="10"/>
  <c r="A1" i="23"/>
  <c r="A1" i="8"/>
  <c r="A1" i="24"/>
  <c r="A1" i="16"/>
  <c r="A1" i="19"/>
  <c r="A1" i="12"/>
  <c r="A1" i="22"/>
  <c r="A1" i="15"/>
  <c r="A1" i="5"/>
  <c r="A2" i="20" s="1"/>
  <c r="B14" i="8" l="1"/>
  <c r="B31" i="8"/>
  <c r="B9" i="8" l="1"/>
  <c r="G5" i="23" l="1"/>
  <c r="B52" i="23" l="1"/>
  <c r="B55" i="24"/>
  <c r="G4" i="5" l="1"/>
  <c r="AE12" i="5" l="1"/>
  <c r="AC12" i="5"/>
  <c r="AC20" i="5"/>
  <c r="X12" i="5"/>
  <c r="Z12" i="5"/>
  <c r="AA12" i="5"/>
  <c r="V12" i="5"/>
  <c r="D21" i="20" l="1"/>
  <c r="D39" i="16"/>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I15" i="16" l="1"/>
  <c r="J15" i="16" l="1"/>
  <c r="K15" i="16" l="1"/>
  <c r="L15" i="16" l="1"/>
  <c r="N26" i="16" l="1"/>
  <c r="N25" i="16"/>
  <c r="J39" i="16" l="1"/>
  <c r="I39" i="16"/>
  <c r="H39" i="16"/>
  <c r="M35" i="24" l="1"/>
  <c r="I6" i="22" l="1"/>
  <c r="I5" i="22"/>
  <c r="I36" i="22" l="1"/>
  <c r="H36" i="22"/>
  <c r="G36" i="22"/>
  <c r="F36" i="22"/>
  <c r="E36" i="22"/>
  <c r="D42" i="22"/>
  <c r="I35" i="22"/>
  <c r="H35" i="22"/>
  <c r="G35" i="22"/>
  <c r="F35" i="22"/>
  <c r="E35" i="22"/>
  <c r="D41" i="22"/>
  <c r="E41" i="22" l="1"/>
  <c r="E42" i="22"/>
  <c r="C34" i="23"/>
  <c r="C40" i="23" s="1"/>
  <c r="C33" i="23"/>
  <c r="C39" i="23" s="1"/>
  <c r="C13" i="13"/>
  <c r="B13" i="13"/>
  <c r="C13" i="23"/>
  <c r="B13" i="23"/>
  <c r="C10" i="24"/>
  <c r="B10" i="24"/>
  <c r="C10" i="22"/>
  <c r="C13" i="16" s="1"/>
  <c r="B10" i="22"/>
  <c r="B13" i="16" s="1"/>
  <c r="J47" i="15" l="1"/>
  <c r="J47" i="31" l="1"/>
  <c r="G39" i="16"/>
  <c r="F39" i="16"/>
  <c r="E39" i="16"/>
  <c r="K47" i="31" l="1"/>
  <c r="K40" i="31"/>
  <c r="K42" i="29"/>
  <c r="E15" i="16"/>
  <c r="H4" i="31" l="1"/>
  <c r="I4" i="31" s="1"/>
  <c r="L47" i="31"/>
  <c r="O47" i="31" s="1"/>
  <c r="L40" i="31"/>
  <c r="L35" i="29"/>
  <c r="L42" i="29"/>
  <c r="N27" i="16"/>
  <c r="F5" i="16" s="1"/>
  <c r="AA20" i="5" l="1"/>
  <c r="J4" i="31"/>
  <c r="M42" i="29"/>
  <c r="P42" i="29" s="1"/>
  <c r="M35" i="29"/>
  <c r="I4" i="29"/>
  <c r="C55" i="24"/>
  <c r="C41" i="24"/>
  <c r="E11" i="24"/>
  <c r="F11" i="24" s="1"/>
  <c r="G11" i="24" s="1"/>
  <c r="H11" i="24" s="1"/>
  <c r="I11" i="24" s="1"/>
  <c r="J11" i="24" s="1"/>
  <c r="K11" i="24" s="1"/>
  <c r="L11" i="24" s="1"/>
  <c r="M11" i="24" s="1"/>
  <c r="I7" i="24"/>
  <c r="I4" i="24"/>
  <c r="J4" i="29" l="1"/>
  <c r="I8" i="24"/>
  <c r="E4" i="24"/>
  <c r="K4" i="29" l="1"/>
  <c r="D14" i="13" l="1"/>
  <c r="D14" i="23"/>
  <c r="E14" i="23" s="1"/>
  <c r="F14" i="23" s="1"/>
  <c r="G14" i="23" s="1"/>
  <c r="H14" i="23" s="1"/>
  <c r="I14" i="23" s="1"/>
  <c r="J14" i="23" s="1"/>
  <c r="K14" i="23" s="1"/>
  <c r="L14" i="23" s="1"/>
  <c r="E11" i="22"/>
  <c r="E14" i="15"/>
  <c r="C52" i="23"/>
  <c r="C35" i="23"/>
  <c r="C41" i="23" s="1"/>
  <c r="C32" i="23"/>
  <c r="C38" i="23" s="1"/>
  <c r="L32" i="23"/>
  <c r="G4" i="23"/>
  <c r="G6" i="23" s="1"/>
  <c r="C38" i="16"/>
  <c r="M52" i="22"/>
  <c r="M26" i="22"/>
  <c r="L26" i="22"/>
  <c r="D43" i="22"/>
  <c r="H37" i="22"/>
  <c r="G37" i="22"/>
  <c r="G34" i="22"/>
  <c r="F34" i="22"/>
  <c r="I7" i="22"/>
  <c r="I4" i="22"/>
  <c r="P26" i="22" l="1"/>
  <c r="F14" i="15"/>
  <c r="F11" i="35"/>
  <c r="I8" i="22"/>
  <c r="M34" i="22"/>
  <c r="H34" i="22"/>
  <c r="I34" i="22"/>
  <c r="F37" i="22"/>
  <c r="I37" i="22"/>
  <c r="J11" i="23"/>
  <c r="F4" i="22"/>
  <c r="D4" i="23"/>
  <c r="F11" i="22"/>
  <c r="G11" i="22"/>
  <c r="E37" i="22"/>
  <c r="E43" i="22" s="1"/>
  <c r="E4" i="22"/>
  <c r="D40" i="22"/>
  <c r="G14" i="15" l="1"/>
  <c r="G11" i="35"/>
  <c r="E40" i="22"/>
  <c r="H14" i="15" l="1"/>
  <c r="H11" i="35"/>
  <c r="H11" i="22"/>
  <c r="A2" i="19"/>
  <c r="I14" i="15" l="1"/>
  <c r="I11" i="35"/>
  <c r="I11" i="22"/>
  <c r="J14" i="15" l="1"/>
  <c r="J11" i="35"/>
  <c r="J11" i="22"/>
  <c r="J11" i="13"/>
  <c r="K14" i="15" l="1"/>
  <c r="K11" i="35"/>
  <c r="K11" i="22"/>
  <c r="C16" i="10"/>
  <c r="L14" i="15" l="1"/>
  <c r="L11" i="35"/>
  <c r="L11" i="22"/>
  <c r="B13" i="12"/>
  <c r="B7" i="12" s="1"/>
  <c r="B8" i="12" s="1"/>
  <c r="M11" i="22" l="1"/>
  <c r="M11" i="35"/>
  <c r="C13" i="12"/>
  <c r="C7" i="12" s="1"/>
  <c r="D38" i="16" l="1"/>
  <c r="D15" i="16"/>
  <c r="B52" i="16" l="1"/>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8" i="13" l="1"/>
  <c r="K28" i="13"/>
  <c r="J28" i="13" l="1"/>
  <c r="D4" i="13"/>
  <c r="F4" i="13" l="1"/>
  <c r="E49" i="22" l="1"/>
  <c r="E48" i="22"/>
  <c r="E50" i="22"/>
  <c r="D38" i="13"/>
  <c r="D37" i="13"/>
  <c r="C52" i="16"/>
  <c r="D52" i="16" s="1"/>
  <c r="E52" i="22" l="1"/>
  <c r="E54" i="22"/>
  <c r="E51" i="22" s="1"/>
  <c r="F42" i="22"/>
  <c r="F49" i="22"/>
  <c r="F41" i="22"/>
  <c r="F48" i="22"/>
  <c r="F47" i="22"/>
  <c r="F40" i="22"/>
  <c r="E37" i="13"/>
  <c r="E32" i="13"/>
  <c r="D40" i="13"/>
  <c r="D42" i="13"/>
  <c r="D39" i="13" s="1"/>
  <c r="F50" i="22"/>
  <c r="F43" i="22"/>
  <c r="E33" i="13"/>
  <c r="E38" i="13"/>
  <c r="L32" i="15"/>
  <c r="O32" i="15" l="1"/>
  <c r="F54" i="22"/>
  <c r="F51" i="22" s="1"/>
  <c r="G42" i="22"/>
  <c r="G41" i="22"/>
  <c r="G48" i="22"/>
  <c r="G49" i="22"/>
  <c r="G47" i="22"/>
  <c r="G40" i="22"/>
  <c r="F52" i="22"/>
  <c r="F33" i="13"/>
  <c r="F38" i="13"/>
  <c r="F32" i="13"/>
  <c r="F37" i="13"/>
  <c r="G43" i="22"/>
  <c r="G50" i="22"/>
  <c r="E40" i="13"/>
  <c r="E42" i="13"/>
  <c r="E39" i="13" s="1"/>
  <c r="G38" i="13" l="1"/>
  <c r="G37" i="13"/>
  <c r="H49" i="22"/>
  <c r="G54" i="22"/>
  <c r="G51" i="22" s="1"/>
  <c r="H42" i="22"/>
  <c r="H41" i="22"/>
  <c r="H48" i="22"/>
  <c r="H50" i="22"/>
  <c r="H43" i="22"/>
  <c r="H40" i="22"/>
  <c r="H47" i="22"/>
  <c r="G33" i="13"/>
  <c r="G52" i="22"/>
  <c r="G32" i="13"/>
  <c r="F42" i="13"/>
  <c r="F39" i="13" s="1"/>
  <c r="F40" i="13"/>
  <c r="H37" i="13" l="1"/>
  <c r="H54" i="22"/>
  <c r="H51" i="22" s="1"/>
  <c r="I48" i="22"/>
  <c r="I41" i="22"/>
  <c r="I42" i="22"/>
  <c r="I49" i="22"/>
  <c r="H33" i="13"/>
  <c r="H38" i="13"/>
  <c r="I40" i="22"/>
  <c r="I47" i="22"/>
  <c r="G40" i="13"/>
  <c r="G42" i="13"/>
  <c r="G39" i="13" s="1"/>
  <c r="H32" i="13"/>
  <c r="H52" i="22"/>
  <c r="I50" i="22"/>
  <c r="I43" i="22"/>
  <c r="C43" i="16"/>
  <c r="D43" i="16" s="1"/>
  <c r="E43" i="16" s="1"/>
  <c r="C42" i="16"/>
  <c r="D42" i="16" s="1"/>
  <c r="M38" i="16"/>
  <c r="F14" i="16"/>
  <c r="G14" i="16" s="1"/>
  <c r="H14" i="16" s="1"/>
  <c r="I14" i="16" s="1"/>
  <c r="J14" i="16" s="1"/>
  <c r="K14" i="16" s="1"/>
  <c r="L14" i="16" s="1"/>
  <c r="M14" i="16" s="1"/>
  <c r="I5" i="16"/>
  <c r="I4" i="16"/>
  <c r="L52" i="15"/>
  <c r="L23" i="15"/>
  <c r="L22" i="15"/>
  <c r="H5" i="15"/>
  <c r="H4" i="15"/>
  <c r="I6" i="16" l="1"/>
  <c r="I54" i="22"/>
  <c r="I51" i="22" s="1"/>
  <c r="I52" i="22"/>
  <c r="I32" i="13"/>
  <c r="I37" i="13"/>
  <c r="H40" i="13"/>
  <c r="H42" i="13"/>
  <c r="H39" i="13" s="1"/>
  <c r="I33" i="13"/>
  <c r="I38" i="13"/>
  <c r="H6" i="15"/>
  <c r="L40" i="15"/>
  <c r="E4" i="16"/>
  <c r="I42" i="13" l="1"/>
  <c r="I39" i="13" s="1"/>
  <c r="I40" i="13"/>
  <c r="J32" i="13"/>
  <c r="J37" i="13"/>
  <c r="K32" i="13" l="1"/>
  <c r="K37" i="13" l="1"/>
  <c r="H4" i="13" l="1"/>
  <c r="L32" i="13"/>
  <c r="L37" i="13"/>
  <c r="O37" i="13" s="1"/>
  <c r="I4" i="13" l="1"/>
  <c r="F20" i="5" l="1"/>
  <c r="J4" i="13"/>
  <c r="V20" i="5" l="1"/>
  <c r="E13" i="20" l="1"/>
  <c r="D13" i="20"/>
  <c r="E5" i="20" l="1"/>
  <c r="E29" i="20" s="1"/>
  <c r="B15" i="10"/>
  <c r="B13" i="10"/>
  <c r="B14" i="10"/>
  <c r="D10" i="10"/>
  <c r="D11" i="10" s="1"/>
  <c r="B16" i="10" l="1"/>
  <c r="F4" i="5"/>
  <c r="M4" i="5"/>
  <c r="V25" i="5" s="1"/>
  <c r="E34" i="20" l="1"/>
  <c r="K23" i="15"/>
  <c r="J22" i="15" l="1"/>
  <c r="J40" i="15" l="1"/>
  <c r="K22" i="15" l="1"/>
  <c r="K40" i="15" l="1"/>
  <c r="J23" i="15" l="1"/>
  <c r="K38" i="16" l="1"/>
  <c r="L38" i="16" l="1"/>
  <c r="T12" i="5" l="1"/>
  <c r="C8" i="12" l="1"/>
  <c r="E38" i="16" l="1"/>
  <c r="F38" i="16" l="1"/>
  <c r="E47" i="16"/>
  <c r="E42" i="16"/>
  <c r="F47" i="16" l="1"/>
  <c r="F42" i="16"/>
  <c r="G38" i="16"/>
  <c r="E48" i="16"/>
  <c r="G42" i="16" l="1"/>
  <c r="E52" i="16"/>
  <c r="E49" i="16" s="1"/>
  <c r="F43" i="16"/>
  <c r="E50" i="16"/>
  <c r="H38" i="16"/>
  <c r="G47" i="16"/>
  <c r="F48" i="16"/>
  <c r="F52" i="16" s="1"/>
  <c r="F4" i="16"/>
  <c r="G43" i="16" l="1"/>
  <c r="F49" i="16"/>
  <c r="H47" i="16"/>
  <c r="H42" i="16"/>
  <c r="F6" i="16"/>
  <c r="I38" i="16"/>
  <c r="F50" i="16"/>
  <c r="G48" i="16"/>
  <c r="G50" i="16" s="1"/>
  <c r="H43" i="16" l="1"/>
  <c r="G52" i="16"/>
  <c r="G49" i="16" s="1"/>
  <c r="H48" i="16"/>
  <c r="H50" i="16" s="1"/>
  <c r="J38" i="16"/>
  <c r="I47" i="16"/>
  <c r="I42" i="16"/>
  <c r="G4" i="16"/>
  <c r="I43" i="16" l="1"/>
  <c r="H4" i="16"/>
  <c r="I48" i="16"/>
  <c r="I50" i="16" s="1"/>
  <c r="H52" i="16"/>
  <c r="H49" i="16" s="1"/>
  <c r="J42" i="16"/>
  <c r="J47" i="16"/>
  <c r="J43" i="16" l="1"/>
  <c r="G6" i="16"/>
  <c r="J48" i="16"/>
  <c r="J50" i="16" s="1"/>
  <c r="I52" i="16"/>
  <c r="I49" i="16" s="1"/>
  <c r="K47" i="16"/>
  <c r="K42" i="16"/>
  <c r="J52" i="16" l="1"/>
  <c r="J49" i="16" s="1"/>
  <c r="L42" i="16"/>
  <c r="L47" i="16"/>
  <c r="J4" i="16" s="1"/>
  <c r="K4" i="16" l="1"/>
  <c r="M47" i="16"/>
  <c r="P47" i="16" s="1"/>
  <c r="M42" i="16"/>
  <c r="L4" i="16" l="1"/>
  <c r="T20" i="5"/>
  <c r="C5" i="20" l="1"/>
  <c r="E4" i="15" l="1"/>
  <c r="J37" i="22" l="1"/>
  <c r="J36" i="22" l="1"/>
  <c r="J43" i="22"/>
  <c r="J50" i="22"/>
  <c r="J34" i="22"/>
  <c r="J47" i="22" l="1"/>
  <c r="J40" i="22"/>
  <c r="J42" i="22"/>
  <c r="J49" i="22"/>
  <c r="J35" i="22" l="1"/>
  <c r="J48" i="22" l="1"/>
  <c r="J54" i="22" s="1"/>
  <c r="J41" i="22"/>
  <c r="J52" i="22" l="1"/>
  <c r="J51" i="22"/>
  <c r="F23" i="15" l="1"/>
  <c r="G23" i="15"/>
  <c r="G41" i="15" s="1"/>
  <c r="E23" i="15"/>
  <c r="I22" i="15"/>
  <c r="I40" i="15" s="1"/>
  <c r="H22" i="15"/>
  <c r="H40" i="15" s="1"/>
  <c r="G22" i="15"/>
  <c r="G40" i="15" s="1"/>
  <c r="I23" i="15"/>
  <c r="I41" i="15" s="1"/>
  <c r="F22" i="15"/>
  <c r="H23" i="15"/>
  <c r="H41" i="15" s="1"/>
  <c r="E22" i="15"/>
  <c r="F5" i="15" l="1"/>
  <c r="D40" i="15"/>
  <c r="D44" i="15" s="1"/>
  <c r="F4" i="15"/>
  <c r="F6" i="15" l="1"/>
  <c r="D49" i="15"/>
  <c r="D52" i="15" s="1"/>
  <c r="D54" i="15" l="1"/>
  <c r="D51" i="15" s="1"/>
  <c r="L34" i="22" l="1"/>
  <c r="K34" i="22"/>
  <c r="G4" i="22"/>
  <c r="H4" i="22" l="1"/>
  <c r="G7" i="22"/>
  <c r="G6" i="22"/>
  <c r="K40" i="22"/>
  <c r="K47" i="22"/>
  <c r="L40" i="22" l="1"/>
  <c r="L47" i="22"/>
  <c r="P47" i="22" s="1"/>
  <c r="J4" i="22" l="1"/>
  <c r="M40" i="22"/>
  <c r="G5" i="22"/>
  <c r="G8" i="22" l="1"/>
  <c r="K4" i="22"/>
  <c r="X20" i="5" s="1"/>
  <c r="C9" i="18"/>
  <c r="L4" i="22" l="1"/>
  <c r="B13" i="20" l="1"/>
  <c r="B36" i="8" l="1"/>
  <c r="C31" i="8" l="1"/>
  <c r="C36" i="8"/>
  <c r="D36" i="8" l="1"/>
  <c r="D31" i="8"/>
  <c r="F33" i="8" l="1"/>
  <c r="F12" i="8"/>
  <c r="F34" i="8"/>
  <c r="E36" i="8"/>
  <c r="G34" i="8" l="1"/>
  <c r="E34" i="23"/>
  <c r="F34" i="23"/>
  <c r="D34" i="23"/>
  <c r="G33" i="8"/>
  <c r="F33" i="23"/>
  <c r="E33" i="23"/>
  <c r="D33" i="23"/>
  <c r="F13" i="8"/>
  <c r="F35" i="8"/>
  <c r="F11" i="8"/>
  <c r="E35" i="23" l="1"/>
  <c r="F35" i="23"/>
  <c r="G35" i="8"/>
  <c r="D35" i="23"/>
  <c r="D40" i="23"/>
  <c r="D47" i="23"/>
  <c r="D39" i="23"/>
  <c r="D46" i="23"/>
  <c r="I33" i="23"/>
  <c r="H33" i="23"/>
  <c r="G34" i="23"/>
  <c r="H34" i="23"/>
  <c r="I34" i="23"/>
  <c r="G33" i="23"/>
  <c r="F14" i="8"/>
  <c r="F36" i="8"/>
  <c r="D41" i="23" l="1"/>
  <c r="D48" i="23"/>
  <c r="E39" i="23"/>
  <c r="E46" i="23"/>
  <c r="E47" i="23"/>
  <c r="E40" i="23"/>
  <c r="H35" i="23"/>
  <c r="G35" i="23"/>
  <c r="I35" i="23"/>
  <c r="G36" i="8"/>
  <c r="G14" i="8"/>
  <c r="F47" i="23" l="1"/>
  <c r="F40" i="23"/>
  <c r="F39" i="23"/>
  <c r="F46" i="23"/>
  <c r="E48" i="23"/>
  <c r="E41" i="23"/>
  <c r="E5" i="23"/>
  <c r="E31" i="8"/>
  <c r="F8" i="8"/>
  <c r="F30" i="8"/>
  <c r="G30" i="8" s="1"/>
  <c r="D15" i="23" l="1"/>
  <c r="G29" i="8"/>
  <c r="G7" i="8" s="1"/>
  <c r="G39" i="23"/>
  <c r="G46" i="23"/>
  <c r="G40" i="23"/>
  <c r="G47" i="23"/>
  <c r="F41" i="23"/>
  <c r="F48" i="23"/>
  <c r="F31" i="8"/>
  <c r="F7" i="8"/>
  <c r="F9" i="8" s="1"/>
  <c r="E15" i="23" l="1"/>
  <c r="E32" i="23"/>
  <c r="G48" i="23"/>
  <c r="G41" i="23"/>
  <c r="H15" i="23"/>
  <c r="D32" i="23"/>
  <c r="H47" i="23"/>
  <c r="H40" i="23"/>
  <c r="K15" i="23"/>
  <c r="F32" i="23"/>
  <c r="F15" i="23"/>
  <c r="J15" i="23"/>
  <c r="I32" i="23"/>
  <c r="H46" i="23"/>
  <c r="H39" i="23"/>
  <c r="G15" i="23"/>
  <c r="G32" i="23"/>
  <c r="G31" i="8"/>
  <c r="O15" i="23" l="1"/>
  <c r="U12" i="5"/>
  <c r="J32" i="23"/>
  <c r="H41" i="23"/>
  <c r="H48" i="23"/>
  <c r="H32" i="23"/>
  <c r="I15" i="23"/>
  <c r="E4" i="23"/>
  <c r="E6" i="23" s="1"/>
  <c r="I39" i="23"/>
  <c r="I46" i="23"/>
  <c r="D38" i="23"/>
  <c r="D45" i="23"/>
  <c r="D50" i="23" s="1"/>
  <c r="K32" i="23"/>
  <c r="I40" i="23"/>
  <c r="I47" i="23"/>
  <c r="G9" i="8"/>
  <c r="F4" i="23" l="1"/>
  <c r="D52" i="23"/>
  <c r="D49" i="23" s="1"/>
  <c r="E45" i="23"/>
  <c r="E38" i="23"/>
  <c r="I48" i="23"/>
  <c r="I41" i="23"/>
  <c r="F45" i="23" l="1"/>
  <c r="F38" i="23"/>
  <c r="E50" i="23"/>
  <c r="E52" i="23"/>
  <c r="E49" i="23" s="1"/>
  <c r="G45" i="23" l="1"/>
  <c r="G38" i="23"/>
  <c r="F50" i="23"/>
  <c r="F52" i="23"/>
  <c r="F49" i="23" s="1"/>
  <c r="H38" i="23" l="1"/>
  <c r="H45" i="23"/>
  <c r="G50" i="23"/>
  <c r="G52" i="23"/>
  <c r="G49" i="23" s="1"/>
  <c r="H50" i="23" l="1"/>
  <c r="H52" i="23"/>
  <c r="H49" i="23" s="1"/>
  <c r="I45" i="23"/>
  <c r="I38" i="23"/>
  <c r="J38" i="23" l="1"/>
  <c r="J45" i="23"/>
  <c r="I50" i="23"/>
  <c r="I52" i="23"/>
  <c r="I49" i="23" l="1"/>
  <c r="K45" i="23"/>
  <c r="H4" i="23" s="1"/>
  <c r="K38" i="23"/>
  <c r="I4" i="23" l="1"/>
  <c r="E20" i="5" s="1"/>
  <c r="L38" i="23"/>
  <c r="L45" i="23"/>
  <c r="O45" i="23" s="1"/>
  <c r="J4" i="23" l="1"/>
  <c r="U20" i="5"/>
  <c r="D5" i="20" l="1"/>
  <c r="D29" i="20" s="1"/>
  <c r="L4" i="5"/>
  <c r="U25" i="5" s="1"/>
  <c r="E4" i="5"/>
  <c r="D34" i="20" l="1"/>
  <c r="B21" i="20" l="1"/>
  <c r="F40" i="15" l="1"/>
  <c r="E41" i="15" l="1"/>
  <c r="E50" i="15" l="1"/>
  <c r="E45" i="15"/>
  <c r="D4" i="15"/>
  <c r="E40" i="15"/>
  <c r="E44" i="15" l="1"/>
  <c r="E49" i="15"/>
  <c r="G4" i="15"/>
  <c r="E52" i="15" l="1"/>
  <c r="E54" i="15"/>
  <c r="E51" i="15" s="1"/>
  <c r="F49" i="15"/>
  <c r="F44" i="15"/>
  <c r="G49" i="15" l="1"/>
  <c r="G44" i="15"/>
  <c r="H44" i="15" l="1"/>
  <c r="H49" i="15"/>
  <c r="I44" i="15" l="1"/>
  <c r="I49" i="15"/>
  <c r="J44" i="15" l="1"/>
  <c r="J49" i="15"/>
  <c r="K49" i="15" l="1"/>
  <c r="K44" i="15"/>
  <c r="L44" i="15" l="1"/>
  <c r="O49" i="15"/>
  <c r="I4" i="15"/>
  <c r="J4" i="15" l="1"/>
  <c r="S20" i="5" l="1"/>
  <c r="C20" i="5"/>
  <c r="K4" i="15"/>
  <c r="J4" i="5" l="1"/>
  <c r="S25" i="5" s="1"/>
  <c r="C4" i="5"/>
  <c r="B5" i="20"/>
  <c r="F5" i="20" l="1"/>
  <c r="B29" i="20"/>
  <c r="B34" i="20" l="1"/>
  <c r="F41" i="15" l="1"/>
  <c r="F45" i="15" l="1"/>
  <c r="F50" i="15"/>
  <c r="F52" i="15" l="1"/>
  <c r="F54" i="15"/>
  <c r="F51" i="15" s="1"/>
  <c r="G45" i="15"/>
  <c r="G50" i="15"/>
  <c r="G54" i="15" l="1"/>
  <c r="G51" i="15" s="1"/>
  <c r="G52" i="15"/>
  <c r="H45" i="15"/>
  <c r="H50" i="15"/>
  <c r="H52" i="15" l="1"/>
  <c r="H54" i="15"/>
  <c r="H51" i="15" s="1"/>
  <c r="I50" i="15"/>
  <c r="I45" i="15"/>
  <c r="I52" i="15" l="1"/>
  <c r="I54" i="15"/>
  <c r="I51" i="15" s="1"/>
  <c r="G7" i="5" l="1"/>
  <c r="M28" i="35"/>
  <c r="M36" i="35" s="1"/>
  <c r="L28" i="15"/>
  <c r="M28" i="22"/>
  <c r="M36" i="22" s="1"/>
  <c r="L27" i="35"/>
  <c r="L35" i="35" s="1"/>
  <c r="K27" i="15"/>
  <c r="L27" i="22"/>
  <c r="L35" i="22" s="1"/>
  <c r="K29" i="15"/>
  <c r="L29" i="35"/>
  <c r="L37" i="35" s="1"/>
  <c r="L29" i="22"/>
  <c r="L37" i="22" s="1"/>
  <c r="P22" i="22"/>
  <c r="J28" i="15"/>
  <c r="K28" i="22"/>
  <c r="F6" i="22"/>
  <c r="M29" i="35"/>
  <c r="M37" i="35" s="1"/>
  <c r="L29" i="15"/>
  <c r="M29" i="22"/>
  <c r="M37" i="22" s="1"/>
  <c r="U15" i="5"/>
  <c r="J29" i="15"/>
  <c r="P23" i="22"/>
  <c r="K29" i="22"/>
  <c r="F7" i="22"/>
  <c r="M27" i="22"/>
  <c r="M35" i="22" s="1"/>
  <c r="L27" i="15"/>
  <c r="M27" i="35"/>
  <c r="M35" i="35" s="1"/>
  <c r="F5" i="22"/>
  <c r="K27" i="22"/>
  <c r="J27" i="15"/>
  <c r="P21" i="22"/>
  <c r="G6" i="5"/>
  <c r="L28" i="35"/>
  <c r="L36" i="35" s="1"/>
  <c r="K28" i="15"/>
  <c r="L28" i="22"/>
  <c r="L36" i="22" s="1"/>
  <c r="AE14" i="5" l="1"/>
  <c r="AC14" i="5"/>
  <c r="AA15" i="5"/>
  <c r="AE15" i="5"/>
  <c r="AC15" i="5"/>
  <c r="V15" i="5"/>
  <c r="T15" i="5"/>
  <c r="X15" i="5"/>
  <c r="Z15" i="5"/>
  <c r="J19" i="13"/>
  <c r="J21" i="31"/>
  <c r="J33" i="15"/>
  <c r="K19" i="16"/>
  <c r="K16" i="29"/>
  <c r="O27" i="15"/>
  <c r="K16" i="24"/>
  <c r="J19" i="23"/>
  <c r="E5" i="15"/>
  <c r="E6" i="15" s="1"/>
  <c r="P23" i="35"/>
  <c r="F7" i="35"/>
  <c r="K29" i="35"/>
  <c r="K23" i="31"/>
  <c r="K37" i="31" s="1"/>
  <c r="K21" i="23"/>
  <c r="K35" i="23" s="1"/>
  <c r="L21" i="16"/>
  <c r="L18" i="29"/>
  <c r="L32" i="29" s="1"/>
  <c r="K35" i="15"/>
  <c r="L18" i="24"/>
  <c r="F5" i="35"/>
  <c r="P21" i="35"/>
  <c r="K27" i="35"/>
  <c r="P27" i="22"/>
  <c r="E5" i="22"/>
  <c r="K35" i="22"/>
  <c r="O29" i="15"/>
  <c r="K18" i="24"/>
  <c r="J23" i="31"/>
  <c r="K21" i="16"/>
  <c r="J21" i="23"/>
  <c r="K18" i="29"/>
  <c r="J35" i="15"/>
  <c r="M18" i="29"/>
  <c r="M32" i="29" s="1"/>
  <c r="L35" i="15"/>
  <c r="L23" i="31"/>
  <c r="L37" i="31" s="1"/>
  <c r="M21" i="16"/>
  <c r="M18" i="24"/>
  <c r="M38" i="24" s="1"/>
  <c r="L21" i="23"/>
  <c r="L35" i="23" s="1"/>
  <c r="K33" i="15"/>
  <c r="L16" i="24"/>
  <c r="K19" i="13"/>
  <c r="K29" i="13" s="1"/>
  <c r="K19" i="23"/>
  <c r="K33" i="23" s="1"/>
  <c r="K21" i="31"/>
  <c r="K35" i="31" s="1"/>
  <c r="L19" i="16"/>
  <c r="L16" i="29"/>
  <c r="L30" i="29" s="1"/>
  <c r="V14" i="5"/>
  <c r="U14" i="5"/>
  <c r="X14" i="5"/>
  <c r="Z14" i="5"/>
  <c r="AA14" i="5"/>
  <c r="T14" i="5"/>
  <c r="P29" i="22"/>
  <c r="E7" i="22"/>
  <c r="H7" i="22" s="1"/>
  <c r="K37" i="22"/>
  <c r="F8" i="22"/>
  <c r="L33" i="15"/>
  <c r="L19" i="13"/>
  <c r="L29" i="13" s="1"/>
  <c r="M19" i="16"/>
  <c r="L19" i="23"/>
  <c r="L33" i="23" s="1"/>
  <c r="L21" i="31"/>
  <c r="L35" i="31" s="1"/>
  <c r="M16" i="24"/>
  <c r="M36" i="24" s="1"/>
  <c r="M16" i="29"/>
  <c r="M30" i="29" s="1"/>
  <c r="P28" i="22"/>
  <c r="K36" i="22"/>
  <c r="E6" i="22"/>
  <c r="H6" i="22" s="1"/>
  <c r="L17" i="24"/>
  <c r="K20" i="23"/>
  <c r="K34" i="23" s="1"/>
  <c r="L20" i="16"/>
  <c r="K22" i="31"/>
  <c r="K36" i="31" s="1"/>
  <c r="L17" i="29"/>
  <c r="L31" i="29" s="1"/>
  <c r="K34" i="15"/>
  <c r="J22" i="31"/>
  <c r="K17" i="29"/>
  <c r="K17" i="24"/>
  <c r="O28" i="15"/>
  <c r="K20" i="16"/>
  <c r="J20" i="23"/>
  <c r="J34" i="15"/>
  <c r="G5" i="5"/>
  <c r="B9" i="18"/>
  <c r="F6" i="35"/>
  <c r="K28" i="35"/>
  <c r="P22" i="35"/>
  <c r="L22" i="31"/>
  <c r="L36" i="31" s="1"/>
  <c r="L34" i="15"/>
  <c r="M17" i="24"/>
  <c r="M37" i="24" s="1"/>
  <c r="M20" i="16"/>
  <c r="L20" i="23"/>
  <c r="L34" i="23" s="1"/>
  <c r="M17" i="29"/>
  <c r="M31" i="29" s="1"/>
  <c r="D24" i="20" l="1"/>
  <c r="D23" i="20"/>
  <c r="AE13" i="5"/>
  <c r="AC13" i="5"/>
  <c r="L41" i="15"/>
  <c r="P20" i="16"/>
  <c r="L39" i="16"/>
  <c r="O35" i="15"/>
  <c r="K31" i="22"/>
  <c r="K48" i="22"/>
  <c r="K41" i="22"/>
  <c r="K37" i="35"/>
  <c r="E7" i="35"/>
  <c r="H7" i="35" s="1"/>
  <c r="P29" i="35"/>
  <c r="E8" i="22"/>
  <c r="H5" i="22"/>
  <c r="E6" i="29"/>
  <c r="G6" i="29" s="1"/>
  <c r="P17" i="29"/>
  <c r="K31" i="29"/>
  <c r="P28" i="35"/>
  <c r="K36" i="35"/>
  <c r="E6" i="35"/>
  <c r="H6" i="35" s="1"/>
  <c r="O22" i="31"/>
  <c r="D6" i="31"/>
  <c r="F6" i="31" s="1"/>
  <c r="J36" i="31"/>
  <c r="K50" i="22"/>
  <c r="K43" i="22"/>
  <c r="E5" i="35"/>
  <c r="P27" i="35"/>
  <c r="K35" i="35"/>
  <c r="O19" i="23"/>
  <c r="D5" i="23"/>
  <c r="J33" i="23"/>
  <c r="P18" i="29"/>
  <c r="E7" i="29"/>
  <c r="G7" i="29" s="1"/>
  <c r="K32" i="29"/>
  <c r="F8" i="35"/>
  <c r="E5" i="24"/>
  <c r="P16" i="24"/>
  <c r="K49" i="22"/>
  <c r="K42" i="22"/>
  <c r="O21" i="23"/>
  <c r="J35" i="23"/>
  <c r="S5" i="5"/>
  <c r="Z13" i="5"/>
  <c r="X13" i="5"/>
  <c r="AA13" i="5"/>
  <c r="T13" i="5"/>
  <c r="V13" i="5"/>
  <c r="U13" i="5"/>
  <c r="S7" i="5"/>
  <c r="P21" i="16"/>
  <c r="P16" i="29"/>
  <c r="E5" i="29"/>
  <c r="K30" i="29"/>
  <c r="P17" i="24"/>
  <c r="E6" i="24"/>
  <c r="O34" i="15"/>
  <c r="M39" i="16"/>
  <c r="S6" i="5"/>
  <c r="J37" i="31"/>
  <c r="D7" i="31"/>
  <c r="F7" i="31" s="1"/>
  <c r="O23" i="31"/>
  <c r="P19" i="16"/>
  <c r="K39" i="16"/>
  <c r="E5" i="16"/>
  <c r="O20" i="23"/>
  <c r="J34" i="23"/>
  <c r="K41" i="15"/>
  <c r="P18" i="24"/>
  <c r="E7" i="24"/>
  <c r="D5" i="15"/>
  <c r="O33" i="15"/>
  <c r="J41" i="15"/>
  <c r="J35" i="31"/>
  <c r="D5" i="31"/>
  <c r="O21" i="31"/>
  <c r="J29" i="13"/>
  <c r="O19" i="13"/>
  <c r="D5" i="13"/>
  <c r="D22" i="20" l="1"/>
  <c r="F5" i="13"/>
  <c r="D6" i="13"/>
  <c r="J40" i="23"/>
  <c r="J47" i="23"/>
  <c r="J48" i="31"/>
  <c r="J41" i="31"/>
  <c r="K31" i="35"/>
  <c r="K48" i="35"/>
  <c r="K41" i="35"/>
  <c r="E6" i="16"/>
  <c r="H5" i="16"/>
  <c r="K43" i="29"/>
  <c r="K36" i="29"/>
  <c r="K26" i="29"/>
  <c r="E8" i="35"/>
  <c r="H5" i="35"/>
  <c r="H8" i="22"/>
  <c r="J45" i="15"/>
  <c r="J50" i="15"/>
  <c r="J37" i="15"/>
  <c r="E8" i="24"/>
  <c r="E8" i="29"/>
  <c r="G5" i="29"/>
  <c r="L43" i="22"/>
  <c r="L50" i="22"/>
  <c r="P50" i="22" s="1"/>
  <c r="K38" i="29"/>
  <c r="K45" i="29"/>
  <c r="J42" i="31"/>
  <c r="J49" i="31"/>
  <c r="J43" i="31"/>
  <c r="J50" i="31"/>
  <c r="J33" i="13"/>
  <c r="J25" i="13"/>
  <c r="J38" i="13"/>
  <c r="J41" i="23"/>
  <c r="J48" i="23"/>
  <c r="J29" i="23"/>
  <c r="J39" i="23"/>
  <c r="J46" i="23"/>
  <c r="K50" i="35"/>
  <c r="K43" i="35"/>
  <c r="K43" i="16"/>
  <c r="K48" i="16"/>
  <c r="K35" i="16"/>
  <c r="L42" i="22"/>
  <c r="L49" i="22"/>
  <c r="P49" i="22" s="1"/>
  <c r="D6" i="23"/>
  <c r="F5" i="23"/>
  <c r="K49" i="35"/>
  <c r="K42" i="35"/>
  <c r="L31" i="22"/>
  <c r="L41" i="22"/>
  <c r="L48" i="22"/>
  <c r="P48" i="22" s="1"/>
  <c r="K54" i="22"/>
  <c r="D6" i="15"/>
  <c r="G5" i="15"/>
  <c r="F5" i="31"/>
  <c r="D8" i="31"/>
  <c r="K37" i="29"/>
  <c r="K44" i="29"/>
  <c r="K52" i="22"/>
  <c r="L35" i="16" l="1"/>
  <c r="K31" i="31"/>
  <c r="J5" i="22"/>
  <c r="K5" i="22" s="1"/>
  <c r="X21" i="5" s="1"/>
  <c r="M41" i="22"/>
  <c r="L52" i="22"/>
  <c r="J7" i="22"/>
  <c r="K7" i="22" s="1"/>
  <c r="G8" i="29"/>
  <c r="K25" i="13"/>
  <c r="O25" i="13" s="1"/>
  <c r="K33" i="13"/>
  <c r="K38" i="13"/>
  <c r="H5" i="13" s="1"/>
  <c r="H6" i="13" s="1"/>
  <c r="L49" i="35"/>
  <c r="J6" i="35" s="1"/>
  <c r="K6" i="35" s="1"/>
  <c r="L42" i="35"/>
  <c r="K50" i="31"/>
  <c r="H7" i="31" s="1"/>
  <c r="I7" i="31" s="1"/>
  <c r="K43" i="31"/>
  <c r="L36" i="29"/>
  <c r="L43" i="29"/>
  <c r="I5" i="29" s="1"/>
  <c r="J5" i="29" s="1"/>
  <c r="L26" i="29"/>
  <c r="P26" i="29" s="1"/>
  <c r="F8" i="31"/>
  <c r="L43" i="35"/>
  <c r="L50" i="35"/>
  <c r="J7" i="35" s="1"/>
  <c r="K7" i="35" s="1"/>
  <c r="K49" i="29"/>
  <c r="K47" i="29"/>
  <c r="F6" i="23"/>
  <c r="K49" i="31"/>
  <c r="H6" i="31" s="1"/>
  <c r="I6" i="31" s="1"/>
  <c r="AA22" i="5" s="1"/>
  <c r="E15" i="20" s="1"/>
  <c r="K42" i="31"/>
  <c r="J52" i="15"/>
  <c r="H6" i="16"/>
  <c r="P35" i="16"/>
  <c r="L48" i="16"/>
  <c r="J5" i="16" s="1"/>
  <c r="J6" i="16" s="1"/>
  <c r="L43" i="16"/>
  <c r="K51" i="22"/>
  <c r="L54" i="22"/>
  <c r="K50" i="15"/>
  <c r="I5" i="15" s="1"/>
  <c r="I6" i="15" s="1"/>
  <c r="K45" i="15"/>
  <c r="K37" i="15"/>
  <c r="L31" i="35"/>
  <c r="L48" i="35"/>
  <c r="J5" i="35" s="1"/>
  <c r="K5" i="35" s="1"/>
  <c r="L41" i="35"/>
  <c r="J52" i="31"/>
  <c r="J50" i="23"/>
  <c r="L45" i="29"/>
  <c r="I7" i="29" s="1"/>
  <c r="J7" i="29" s="1"/>
  <c r="L38" i="29"/>
  <c r="K54" i="35"/>
  <c r="J54" i="31"/>
  <c r="K50" i="16"/>
  <c r="K41" i="31"/>
  <c r="K48" i="31"/>
  <c r="H5" i="31" s="1"/>
  <c r="J6" i="22"/>
  <c r="K6" i="22" s="1"/>
  <c r="K52" i="35"/>
  <c r="G6" i="15"/>
  <c r="K46" i="23"/>
  <c r="K29" i="23"/>
  <c r="O29" i="23" s="1"/>
  <c r="K39" i="23"/>
  <c r="K48" i="23"/>
  <c r="K41" i="23"/>
  <c r="M43" i="22"/>
  <c r="H8" i="35"/>
  <c r="K47" i="23"/>
  <c r="K40" i="23"/>
  <c r="K52" i="16"/>
  <c r="J54" i="15"/>
  <c r="J42" i="13"/>
  <c r="L37" i="29"/>
  <c r="L44" i="29"/>
  <c r="I6" i="29" s="1"/>
  <c r="J6" i="29" s="1"/>
  <c r="Z22" i="5" s="1"/>
  <c r="J52" i="23"/>
  <c r="M42" i="22"/>
  <c r="P31" i="22"/>
  <c r="J40" i="13"/>
  <c r="F6" i="13"/>
  <c r="AC23" i="5" l="1"/>
  <c r="AC22" i="5"/>
  <c r="AC21" i="5"/>
  <c r="L5" i="22"/>
  <c r="H5" i="23"/>
  <c r="H6" i="23" s="1"/>
  <c r="L6" i="22"/>
  <c r="L52" i="35"/>
  <c r="J5" i="15"/>
  <c r="J9" i="15" s="1"/>
  <c r="S22" i="5" s="1"/>
  <c r="J8" i="22"/>
  <c r="H8" i="31"/>
  <c r="M43" i="35"/>
  <c r="L7" i="35" s="1"/>
  <c r="L7" i="22"/>
  <c r="J8" i="35"/>
  <c r="K5" i="16"/>
  <c r="K6" i="16" s="1"/>
  <c r="P49" i="35"/>
  <c r="K52" i="15"/>
  <c r="L45" i="15"/>
  <c r="O50" i="15"/>
  <c r="Z21" i="5"/>
  <c r="J8" i="29"/>
  <c r="L40" i="23"/>
  <c r="L47" i="23"/>
  <c r="O47" i="23" s="1"/>
  <c r="K46" i="29"/>
  <c r="L49" i="29"/>
  <c r="L43" i="31"/>
  <c r="J7" i="31" s="1"/>
  <c r="L50" i="31"/>
  <c r="O50" i="31" s="1"/>
  <c r="AA23" i="5"/>
  <c r="E16" i="20" s="1"/>
  <c r="M44" i="29"/>
  <c r="P44" i="29" s="1"/>
  <c r="M37" i="29"/>
  <c r="K6" i="29" s="1"/>
  <c r="J51" i="31"/>
  <c r="K54" i="31"/>
  <c r="P31" i="35"/>
  <c r="O37" i="15"/>
  <c r="M42" i="35"/>
  <c r="L6" i="35" s="1"/>
  <c r="L54" i="35"/>
  <c r="K51" i="35"/>
  <c r="J39" i="13"/>
  <c r="K42" i="13"/>
  <c r="K8" i="35"/>
  <c r="B15" i="20"/>
  <c r="P48" i="35"/>
  <c r="L42" i="31"/>
  <c r="L49" i="31"/>
  <c r="O49" i="31" s="1"/>
  <c r="L51" i="22"/>
  <c r="M54" i="22"/>
  <c r="M51" i="22" s="1"/>
  <c r="I5" i="31"/>
  <c r="L33" i="13"/>
  <c r="L38" i="13"/>
  <c r="D16" i="20"/>
  <c r="P50" i="35"/>
  <c r="K40" i="13"/>
  <c r="L41" i="23"/>
  <c r="L48" i="23"/>
  <c r="O48" i="23" s="1"/>
  <c r="L48" i="31"/>
  <c r="O48" i="31" s="1"/>
  <c r="L41" i="31"/>
  <c r="M43" i="16"/>
  <c r="M48" i="16"/>
  <c r="P48" i="16" s="1"/>
  <c r="K52" i="31"/>
  <c r="L39" i="23"/>
  <c r="L46" i="23"/>
  <c r="B16" i="20"/>
  <c r="O31" i="31"/>
  <c r="L50" i="16"/>
  <c r="L47" i="29"/>
  <c r="B14" i="20"/>
  <c r="M45" i="29"/>
  <c r="P45" i="29" s="1"/>
  <c r="M38" i="29"/>
  <c r="K7" i="29" s="1"/>
  <c r="J51" i="15"/>
  <c r="K54" i="15"/>
  <c r="K52" i="23"/>
  <c r="J49" i="23"/>
  <c r="I5" i="13"/>
  <c r="K50" i="23"/>
  <c r="I8" i="29"/>
  <c r="D15" i="20"/>
  <c r="K49" i="16"/>
  <c r="L52" i="16"/>
  <c r="L49" i="16" s="1"/>
  <c r="M41" i="35"/>
  <c r="L5" i="35" s="1"/>
  <c r="M43" i="29"/>
  <c r="M36" i="29"/>
  <c r="K5" i="29" s="1"/>
  <c r="K8" i="22"/>
  <c r="C22" i="5" l="1"/>
  <c r="L5" i="16"/>
  <c r="K10" i="16"/>
  <c r="T23" i="5" s="1"/>
  <c r="C8" i="20" s="1"/>
  <c r="I5" i="23"/>
  <c r="I10" i="23" s="1"/>
  <c r="K8" i="16"/>
  <c r="T21" i="5" s="1"/>
  <c r="J6" i="15"/>
  <c r="L50" i="23"/>
  <c r="K9" i="16"/>
  <c r="J8" i="15"/>
  <c r="J10" i="15"/>
  <c r="K5" i="15"/>
  <c r="L40" i="13"/>
  <c r="O38" i="13"/>
  <c r="L42" i="13"/>
  <c r="L39" i="13" s="1"/>
  <c r="K39" i="13"/>
  <c r="L52" i="31"/>
  <c r="AA21" i="5"/>
  <c r="E14" i="20" s="1"/>
  <c r="I8" i="31"/>
  <c r="B7" i="20"/>
  <c r="M47" i="29"/>
  <c r="P43" i="29"/>
  <c r="I10" i="13"/>
  <c r="F23" i="5" s="1"/>
  <c r="I6" i="13"/>
  <c r="I8" i="13"/>
  <c r="F21" i="5" s="1"/>
  <c r="I9" i="13"/>
  <c r="F22" i="5" s="1"/>
  <c r="J5" i="13"/>
  <c r="L46" i="29"/>
  <c r="M49" i="29"/>
  <c r="M46" i="29" s="1"/>
  <c r="M54" i="35"/>
  <c r="M51" i="35" s="1"/>
  <c r="L51" i="35"/>
  <c r="K49" i="23"/>
  <c r="L52" i="23"/>
  <c r="L49" i="23" s="1"/>
  <c r="K51" i="31"/>
  <c r="L54" i="31"/>
  <c r="L51" i="31" s="1"/>
  <c r="L54" i="15"/>
  <c r="L51" i="15" s="1"/>
  <c r="K51" i="15"/>
  <c r="D14" i="20"/>
  <c r="M52" i="16"/>
  <c r="M49" i="16" s="1"/>
  <c r="M50" i="16"/>
  <c r="O46" i="23"/>
  <c r="S27" i="5" l="1"/>
  <c r="C6" i="5"/>
  <c r="S23" i="5"/>
  <c r="B8" i="20" s="1"/>
  <c r="C23" i="5"/>
  <c r="S21" i="5"/>
  <c r="C21" i="5"/>
  <c r="J5" i="5" s="1"/>
  <c r="K11" i="16"/>
  <c r="I8" i="23"/>
  <c r="E21" i="5" s="1"/>
  <c r="J5" i="23"/>
  <c r="I9" i="23"/>
  <c r="U22" i="5" s="1"/>
  <c r="I6" i="23"/>
  <c r="J11" i="15"/>
  <c r="T22" i="5"/>
  <c r="V22" i="5"/>
  <c r="E7" i="20" s="1"/>
  <c r="E31" i="20" s="1"/>
  <c r="I11" i="13"/>
  <c r="V21" i="5"/>
  <c r="E6" i="20" s="1"/>
  <c r="E30" i="20" s="1"/>
  <c r="V23" i="5"/>
  <c r="E8" i="20" s="1"/>
  <c r="E32" i="20" s="1"/>
  <c r="C6" i="20"/>
  <c r="U23" i="5"/>
  <c r="E23" i="5"/>
  <c r="S28" i="5" l="1"/>
  <c r="C5" i="5"/>
  <c r="B6" i="20"/>
  <c r="S26" i="5"/>
  <c r="C7" i="5"/>
  <c r="E22" i="5"/>
  <c r="I11" i="23"/>
  <c r="U21" i="5"/>
  <c r="C7" i="20"/>
  <c r="E5" i="5"/>
  <c r="L5" i="5"/>
  <c r="L7" i="5"/>
  <c r="U28" i="5" s="1"/>
  <c r="E7" i="5"/>
  <c r="F7" i="5"/>
  <c r="M7" i="5"/>
  <c r="V28" i="5" s="1"/>
  <c r="D8" i="20"/>
  <c r="F5" i="5"/>
  <c r="M5" i="5"/>
  <c r="V26" i="5" s="1"/>
  <c r="D7" i="20"/>
  <c r="F6" i="5"/>
  <c r="M6" i="5"/>
  <c r="V27" i="5" s="1"/>
  <c r="O5" i="5" l="1"/>
  <c r="L6" i="5"/>
  <c r="U27" i="5" s="1"/>
  <c r="U26" i="5"/>
  <c r="O6" i="5"/>
  <c r="O7" i="5"/>
  <c r="D6" i="20"/>
  <c r="D30" i="20" s="1"/>
  <c r="D35" i="20" s="1"/>
  <c r="E6" i="5"/>
  <c r="Q7" i="5" s="1"/>
  <c r="E36" i="20"/>
  <c r="R6" i="5"/>
  <c r="E35" i="20"/>
  <c r="R7" i="5"/>
  <c r="E37" i="20"/>
  <c r="R5" i="5"/>
  <c r="D31" i="20"/>
  <c r="F7" i="20"/>
  <c r="D32" i="20"/>
  <c r="D37" i="20" s="1"/>
  <c r="F8" i="20"/>
  <c r="F6" i="20" l="1"/>
  <c r="D36" i="20"/>
  <c r="Q6" i="5"/>
  <c r="Q5" i="5"/>
  <c r="B22" i="20"/>
  <c r="B24" i="20"/>
  <c r="B32" i="20" s="1"/>
  <c r="B23" i="20"/>
  <c r="B31" i="20" s="1"/>
  <c r="B30" i="20" l="1"/>
  <c r="B36" i="20"/>
  <c r="B37" i="20"/>
  <c r="B35" i="20" l="1"/>
  <c r="D24" i="24" l="1"/>
  <c r="D23" i="24"/>
  <c r="D21" i="24"/>
  <c r="D22" i="24" l="1"/>
  <c r="E21" i="24"/>
  <c r="E23" i="24"/>
  <c r="E24" i="24"/>
  <c r="E22" i="24"/>
  <c r="D29" i="24"/>
  <c r="D37" i="24" s="1"/>
  <c r="D43" i="24" s="1"/>
  <c r="D30" i="24"/>
  <c r="D38" i="24" s="1"/>
  <c r="D44" i="24" s="1"/>
  <c r="D27" i="24" l="1"/>
  <c r="D35" i="24" s="1"/>
  <c r="D41" i="24" s="1"/>
  <c r="E27" i="24"/>
  <c r="E35" i="24" s="1"/>
  <c r="F24" i="24"/>
  <c r="F22" i="24"/>
  <c r="E29" i="24"/>
  <c r="F21" i="24"/>
  <c r="E30" i="24"/>
  <c r="F23" i="24"/>
  <c r="D28" i="24"/>
  <c r="D36" i="24" s="1"/>
  <c r="D42" i="24" s="1"/>
  <c r="F27" i="24" l="1"/>
  <c r="F35" i="24" s="1"/>
  <c r="D12" i="24"/>
  <c r="D55" i="24" s="1"/>
  <c r="G23" i="24"/>
  <c r="G22" i="24"/>
  <c r="E37" i="24"/>
  <c r="G21" i="24"/>
  <c r="F29" i="24"/>
  <c r="F37" i="24" s="1"/>
  <c r="G24" i="24"/>
  <c r="E38" i="24"/>
  <c r="E41" i="24"/>
  <c r="E48" i="24"/>
  <c r="E28" i="24"/>
  <c r="F30" i="24"/>
  <c r="F38" i="24" s="1"/>
  <c r="F28" i="24"/>
  <c r="F36" i="24" s="1"/>
  <c r="H21" i="24" l="1"/>
  <c r="H24" i="24"/>
  <c r="E51" i="24"/>
  <c r="E44" i="24"/>
  <c r="G30" i="24"/>
  <c r="G38" i="24" s="1"/>
  <c r="H23" i="24"/>
  <c r="E36" i="24"/>
  <c r="E12" i="24"/>
  <c r="H22" i="24"/>
  <c r="E43" i="24"/>
  <c r="E50" i="24"/>
  <c r="F12" i="24"/>
  <c r="G29" i="24"/>
  <c r="G37" i="24" s="1"/>
  <c r="G27" i="24"/>
  <c r="F41" i="24"/>
  <c r="F48" i="24"/>
  <c r="G28" i="24"/>
  <c r="G36" i="24" s="1"/>
  <c r="I21" i="24"/>
  <c r="H27" i="24" l="1"/>
  <c r="H35" i="24" s="1"/>
  <c r="I24" i="24"/>
  <c r="I23" i="24"/>
  <c r="G35" i="24"/>
  <c r="G48" i="24" s="1"/>
  <c r="G12" i="24"/>
  <c r="F44" i="24"/>
  <c r="F51" i="24"/>
  <c r="F50" i="24"/>
  <c r="F43" i="24"/>
  <c r="H30" i="24"/>
  <c r="E42" i="24"/>
  <c r="E49" i="24"/>
  <c r="H29" i="24"/>
  <c r="H37" i="24" s="1"/>
  <c r="I22" i="24"/>
  <c r="J24" i="24" l="1"/>
  <c r="J21" i="24"/>
  <c r="H38" i="24"/>
  <c r="G44" i="24"/>
  <c r="G51" i="24"/>
  <c r="F49" i="24"/>
  <c r="F42" i="24"/>
  <c r="I30" i="24"/>
  <c r="I38" i="24" s="1"/>
  <c r="G50" i="24"/>
  <c r="G43" i="24"/>
  <c r="J23" i="24"/>
  <c r="H28" i="24"/>
  <c r="E53" i="24"/>
  <c r="J22" i="24"/>
  <c r="J30" i="24"/>
  <c r="J38" i="24" s="1"/>
  <c r="I29" i="24"/>
  <c r="I37" i="24" s="1"/>
  <c r="G41" i="24"/>
  <c r="E55" i="24"/>
  <c r="E52" i="24" s="1"/>
  <c r="I27" i="24"/>
  <c r="K23" i="24" l="1"/>
  <c r="K24" i="24"/>
  <c r="K21" i="24"/>
  <c r="H36" i="24"/>
  <c r="H12" i="24"/>
  <c r="H51" i="24"/>
  <c r="H44" i="24"/>
  <c r="L23" i="24"/>
  <c r="H48" i="24"/>
  <c r="H41" i="24"/>
  <c r="I35" i="24"/>
  <c r="K29" i="24"/>
  <c r="G49" i="24"/>
  <c r="G42" i="24"/>
  <c r="J29" i="24"/>
  <c r="J37" i="24" s="1"/>
  <c r="F53" i="24"/>
  <c r="F55" i="24"/>
  <c r="F52" i="24" s="1"/>
  <c r="I28" i="24"/>
  <c r="I36" i="24" s="1"/>
  <c r="H43" i="24"/>
  <c r="H50" i="24"/>
  <c r="K22" i="24"/>
  <c r="L22" i="24"/>
  <c r="K27" i="24"/>
  <c r="N23" i="24" l="1"/>
  <c r="F6" i="24" s="1"/>
  <c r="N22" i="24"/>
  <c r="F5" i="24" s="1"/>
  <c r="L27" i="24"/>
  <c r="P27" i="24" s="1"/>
  <c r="L24" i="24"/>
  <c r="N24" i="24" s="1"/>
  <c r="F7" i="24" s="1"/>
  <c r="K37" i="24"/>
  <c r="I12" i="24"/>
  <c r="J28" i="24"/>
  <c r="J36" i="24" s="1"/>
  <c r="I48" i="24"/>
  <c r="I41" i="24"/>
  <c r="L30" i="24"/>
  <c r="K35" i="24"/>
  <c r="I43" i="24"/>
  <c r="I50" i="24"/>
  <c r="H42" i="24"/>
  <c r="H49" i="24"/>
  <c r="G55" i="24"/>
  <c r="G52" i="24" s="1"/>
  <c r="G53" i="24"/>
  <c r="I44" i="24"/>
  <c r="I51" i="24"/>
  <c r="K30" i="24"/>
  <c r="J27" i="24"/>
  <c r="P22" i="24"/>
  <c r="P23" i="24"/>
  <c r="L21" i="24"/>
  <c r="N21" i="24" s="1"/>
  <c r="F4" i="24" s="1"/>
  <c r="P24" i="24" l="1"/>
  <c r="P21" i="24"/>
  <c r="L35" i="24"/>
  <c r="G4" i="24"/>
  <c r="H4" i="24" s="1"/>
  <c r="F8" i="24"/>
  <c r="H55" i="24"/>
  <c r="H52" i="24" s="1"/>
  <c r="H53" i="24"/>
  <c r="J51" i="24"/>
  <c r="J44" i="24"/>
  <c r="I49" i="24"/>
  <c r="I53" i="24" s="1"/>
  <c r="I42" i="24"/>
  <c r="P30" i="24"/>
  <c r="K38" i="24"/>
  <c r="J35" i="24"/>
  <c r="J41" i="24" s="1"/>
  <c r="J12" i="24"/>
  <c r="K28" i="24"/>
  <c r="L38" i="24"/>
  <c r="G7" i="24"/>
  <c r="H7" i="24" s="1"/>
  <c r="J43" i="24"/>
  <c r="J50" i="24"/>
  <c r="J48" i="24" l="1"/>
  <c r="K41" i="24" s="1"/>
  <c r="I55" i="24"/>
  <c r="I52" i="24" s="1"/>
  <c r="K36" i="24"/>
  <c r="K12" i="24"/>
  <c r="L29" i="24"/>
  <c r="J42" i="24"/>
  <c r="J49" i="24"/>
  <c r="L28" i="24"/>
  <c r="P28" i="24" s="1"/>
  <c r="K44" i="24"/>
  <c r="K51" i="24"/>
  <c r="K50" i="24"/>
  <c r="K43" i="24"/>
  <c r="J55" i="24" l="1"/>
  <c r="J52" i="24" s="1"/>
  <c r="K48" i="24"/>
  <c r="L48" i="24" s="1"/>
  <c r="L37" i="24"/>
  <c r="L50" i="24" s="1"/>
  <c r="G6" i="24"/>
  <c r="H6" i="24" s="1"/>
  <c r="P29" i="24"/>
  <c r="G5" i="24"/>
  <c r="J53" i="24"/>
  <c r="K49" i="24"/>
  <c r="K42" i="24"/>
  <c r="K32" i="24"/>
  <c r="L36" i="24"/>
  <c r="L12" i="24"/>
  <c r="P12" i="24" s="1"/>
  <c r="L44" i="24"/>
  <c r="L51" i="24"/>
  <c r="J7" i="24" s="1"/>
  <c r="K7" i="24" s="1"/>
  <c r="L41" i="24" l="1"/>
  <c r="M48" i="24" s="1"/>
  <c r="K53" i="24"/>
  <c r="L32" i="24"/>
  <c r="P32" i="24" s="1"/>
  <c r="K55" i="24"/>
  <c r="K52" i="24" s="1"/>
  <c r="L43" i="24"/>
  <c r="M43" i="24" s="1"/>
  <c r="J6" i="24"/>
  <c r="K6" i="24" s="1"/>
  <c r="P50" i="24"/>
  <c r="M51" i="24"/>
  <c r="P51" i="24" s="1"/>
  <c r="M44" i="24"/>
  <c r="L7" i="24" s="1"/>
  <c r="J4" i="24"/>
  <c r="D23" i="5"/>
  <c r="H5" i="24"/>
  <c r="H8" i="24" s="1"/>
  <c r="G8" i="24"/>
  <c r="L49" i="24"/>
  <c r="J5" i="24" s="1"/>
  <c r="L42" i="24"/>
  <c r="M41" i="24" l="1"/>
  <c r="M42" i="24"/>
  <c r="K5" i="24"/>
  <c r="L53" i="24"/>
  <c r="J8" i="24"/>
  <c r="K4" i="24"/>
  <c r="L55" i="24"/>
  <c r="M55" i="24" s="1"/>
  <c r="M53" i="24"/>
  <c r="P48" i="24"/>
  <c r="P49" i="24"/>
  <c r="Y22" i="5"/>
  <c r="L6" i="24"/>
  <c r="D22" i="5"/>
  <c r="M52" i="24" l="1"/>
  <c r="L5" i="24"/>
  <c r="D21" i="5"/>
  <c r="Y21" i="5"/>
  <c r="L52" i="24"/>
  <c r="Y20" i="5"/>
  <c r="L4" i="24"/>
  <c r="D20" i="5"/>
  <c r="K8" i="24"/>
  <c r="B10" i="19" l="1"/>
  <c r="D9" i="19" l="1"/>
  <c r="C9" i="19" l="1"/>
  <c r="D8" i="19"/>
  <c r="C8" i="19" s="1"/>
  <c r="D6" i="19"/>
  <c r="Y15" i="5" l="1"/>
  <c r="Y14" i="5"/>
  <c r="C6" i="19"/>
  <c r="D7" i="19"/>
  <c r="C7" i="19" s="1"/>
  <c r="C16" i="20" l="1"/>
  <c r="F16" i="20" s="1"/>
  <c r="D10" i="19"/>
  <c r="Y13" i="5"/>
  <c r="C15" i="20"/>
  <c r="Y12" i="5"/>
  <c r="C10" i="19"/>
  <c r="F15" i="20" l="1"/>
  <c r="C14" i="20"/>
  <c r="C13" i="20"/>
  <c r="F14" i="20" l="1"/>
  <c r="F13" i="20"/>
  <c r="B9" i="37" l="1"/>
  <c r="B8" i="37"/>
  <c r="B7" i="37" l="1"/>
  <c r="B6" i="37"/>
  <c r="B10" i="37" s="1"/>
  <c r="D8" i="37" l="1"/>
  <c r="C8" i="37" s="1"/>
  <c r="AD14" i="5" l="1"/>
  <c r="D14" i="5"/>
  <c r="D9" i="37"/>
  <c r="C9" i="37" s="1"/>
  <c r="D7" i="37"/>
  <c r="C7" i="37" s="1"/>
  <c r="D6" i="37"/>
  <c r="C6" i="37" l="1"/>
  <c r="D10" i="37"/>
  <c r="AD13" i="5"/>
  <c r="D13" i="5"/>
  <c r="D15" i="5"/>
  <c r="AD15" i="5"/>
  <c r="D6" i="5"/>
  <c r="K6" i="5"/>
  <c r="T27" i="5" s="1"/>
  <c r="AG14" i="5"/>
  <c r="C23" i="20"/>
  <c r="H6" i="5" l="1"/>
  <c r="C24" i="20"/>
  <c r="AG15" i="5"/>
  <c r="K7" i="5"/>
  <c r="T28" i="5" s="1"/>
  <c r="D7" i="5"/>
  <c r="D5" i="5"/>
  <c r="K5" i="5"/>
  <c r="T26" i="5" s="1"/>
  <c r="C31" i="20"/>
  <c r="F23" i="20"/>
  <c r="C22" i="20"/>
  <c r="AG13" i="5"/>
  <c r="C10" i="37"/>
  <c r="AD12" i="5"/>
  <c r="D12" i="5"/>
  <c r="H7" i="5" l="1"/>
  <c r="P7" i="5"/>
  <c r="C30" i="20"/>
  <c r="F22" i="20"/>
  <c r="C36" i="20"/>
  <c r="F31" i="20"/>
  <c r="G31" i="20" s="1"/>
  <c r="K4" i="5"/>
  <c r="T25" i="5" s="1"/>
  <c r="D4" i="5"/>
  <c r="H4" i="5" s="1"/>
  <c r="F24" i="20"/>
  <c r="C32" i="20"/>
  <c r="C21" i="20"/>
  <c r="AG12" i="5"/>
  <c r="P6" i="5"/>
  <c r="H5" i="5"/>
  <c r="P5" i="5"/>
  <c r="N6" i="5"/>
  <c r="N5" i="5" l="1"/>
  <c r="C29" i="20"/>
  <c r="F21" i="20"/>
  <c r="F32" i="20"/>
  <c r="G32" i="20" s="1"/>
  <c r="C37" i="20"/>
  <c r="F30" i="20"/>
  <c r="G30" i="20" s="1"/>
  <c r="C35" i="20"/>
  <c r="N4" i="5"/>
  <c r="N7" i="5"/>
  <c r="C34" i="20" l="1"/>
  <c r="F29" i="20"/>
  <c r="G2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31" authorId="0" shapeId="0" xr:uid="{EA8C0EBC-D8E3-4305-BB13-DAB7D9F65F41}">
      <text>
        <r>
          <rPr>
            <b/>
            <sz val="9"/>
            <color indexed="81"/>
            <rFont val="Tahoma"/>
            <family val="2"/>
          </rPr>
          <t>Allison Stewart:</t>
        </r>
        <r>
          <rPr>
            <sz val="9"/>
            <color indexed="81"/>
            <rFont val="Tahoma"/>
            <family val="2"/>
          </rPr>
          <t xml:space="preserve">
From Missouri West Revenue Analysis
PPC +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63D4616F-B640-4A84-977A-B81BB139C9EA}">
      <text>
        <r>
          <rPr>
            <b/>
            <sz val="9"/>
            <color indexed="81"/>
            <rFont val="Tahoma"/>
            <family val="2"/>
          </rPr>
          <t>Allison Stewart:</t>
        </r>
        <r>
          <rPr>
            <sz val="9"/>
            <color indexed="81"/>
            <rFont val="Tahoma"/>
            <family val="2"/>
          </rPr>
          <t xml:space="preserve">
PPC + PCR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0E527C46-0C18-4A6E-9ABE-1F87E393FC81}">
      <text>
        <r>
          <rPr>
            <b/>
            <sz val="9"/>
            <color indexed="81"/>
            <rFont val="Tahoma"/>
            <family val="2"/>
          </rPr>
          <t>Allison Stewart:</t>
        </r>
        <r>
          <rPr>
            <sz val="9"/>
            <color indexed="81"/>
            <rFont val="Tahoma"/>
            <family val="2"/>
          </rPr>
          <t xml:space="preserve">
PPC + PCR</t>
        </r>
      </text>
    </comment>
  </commentList>
</comments>
</file>

<file path=xl/sharedStrings.xml><?xml version="1.0" encoding="utf-8"?>
<sst xmlns="http://schemas.openxmlformats.org/spreadsheetml/2006/main" count="1045" uniqueCount="330">
  <si>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</si>
  <si>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</si>
  <si>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</si>
  <si>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</si>
  <si>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</si>
  <si>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</si>
  <si>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</si>
  <si>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</si>
  <si>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</si>
  <si>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</si>
  <si>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</si>
  <si>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</si>
  <si>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</si>
  <si>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</si>
  <si>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</si>
  <si>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</si>
  <si>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</si>
  <si>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</si>
  <si>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</si>
  <si>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</si>
  <si>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</si>
  <si>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</si>
  <si>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</si>
  <si>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</si>
  <si>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</si>
  <si>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</si>
  <si>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</si>
  <si>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</si>
  <si>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</si>
  <si>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</si>
  <si>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</si>
  <si>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</si>
  <si>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</si>
  <si>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</si>
  <si>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</si>
  <si>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</si>
  <si>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</si>
  <si>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</si>
  <si>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</si>
  <si>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</si>
  <si>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</si>
  <si>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</si>
  <si>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</si>
  <si>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</si>
  <si>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</si>
  <si>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</si>
  <si>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</si>
  <si>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</si>
  <si>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</si>
  <si>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</si>
  <si>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</si>
  <si>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</si>
  <si>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</si>
  <si>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</si>
  <si>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</si>
  <si>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</si>
  <si>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</si>
  <si>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</si>
  <si>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</si>
  <si>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</si>
  <si>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</si>
  <si>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</si>
  <si>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</si>
  <si>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</si>
  <si>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</si>
  <si>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</si>
  <si>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</si>
  <si>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</si>
  <si>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</si>
  <si>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</si>
  <si>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</si>
  <si>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</si>
  <si>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</si>
  <si>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</si>
  <si>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</si>
  <si>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</si>
  <si>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</si>
  <si>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</si>
  <si>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</si>
  <si>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</si>
  <si>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</si>
  <si>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</si>
  <si>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</si>
  <si>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</si>
  <si>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</si>
  <si>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</si>
  <si>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</si>
  <si>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</si>
  <si>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</si>
  <si>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</si>
  <si>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</si>
  <si>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</si>
  <si>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</si>
  <si>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</si>
  <si>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</si>
  <si>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</si>
  <si>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</si>
  <si>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</si>
  <si>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</si>
  <si>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</si>
  <si>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</si>
  <si>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</si>
  <si>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</si>
  <si>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</si>
  <si>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</si>
  <si>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</si>
  <si>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</si>
  <si>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</si>
  <si>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</si>
  <si>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</si>
  <si>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</si>
  <si>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</si>
  <si>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</si>
  <si>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</si>
  <si>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</si>
  <si>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</si>
  <si>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</si>
  <si>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</si>
  <si>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</si>
  <si>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</si>
  <si>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</si>
  <si>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</si>
  <si>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</si>
  <si>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</si>
  <si>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</si>
  <si>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</si>
  <si>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</si>
  <si>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</si>
  <si>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</si>
  <si>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</si>
  <si>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</si>
  <si>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</si>
  <si>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</si>
  <si>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</si>
  <si>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</si>
  <si>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</si>
  <si>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</si>
  <si>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</si>
  <si>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</si>
  <si>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</si>
  <si>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</si>
  <si>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</si>
  <si>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</si>
  <si>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</si>
  <si>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</si>
  <si>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</si>
  <si>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</si>
  <si>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</si>
  <si>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</si>
  <si>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</si>
  <si>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</si>
  <si>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Cycle 2 - Total</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</si>
  <si>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</si>
  <si>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</si>
  <si>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</si>
  <si>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</si>
  <si>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</si>
  <si>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</si>
  <si>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</si>
  <si>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</si>
  <si>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</si>
  <si>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</si>
  <si>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</si>
  <si>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</si>
  <si>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</si>
  <si>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</si>
  <si>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</si>
  <si>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</si>
  <si>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</si>
  <si>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</si>
  <si>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</si>
  <si>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2. Forecasted Throughput Disincentive - Source: None, TD reset effective December 2022</t>
  </si>
  <si>
    <t>Cycle 3 - Program Year 1 EO TD Adjustments May 2022 - November 2022 (Amortize February 2023 - January 2024)</t>
  </si>
  <si>
    <t>Allocation</t>
  </si>
  <si>
    <t>Cycle 2 - EO TD Adjustments Carrying Costs May 2022 - November 2022 (Amortize February 2023-January 2025)</t>
  </si>
  <si>
    <t>Cycle 2 - EO TD Adjustments December 2022 (Amortize August 2023-July 2025)</t>
  </si>
  <si>
    <t>Cycle 3 - Program Year 2 (including EO TD Adjustments through December 2022) (Amortize August 2023-July 2024)</t>
  </si>
  <si>
    <t>7. Cycle 2 kWh Participation - Source: Missouri West Cycle 2 Monthly TD Calc 122022 01092023.xlsx</t>
  </si>
  <si>
    <t>8. Cycle 2 kWh Participation - Source: Missouri West Cycle 2 Monthly TD Calc 122022 01092023.xlsx</t>
  </si>
  <si>
    <t>NOA = Net Ordered Adjustment for the upcoming EP plus the succeeding EP (OA + OAR)</t>
  </si>
  <si>
    <t xml:space="preserve">PE = Projected Energy, in kWh to be delivered during the upcoming RP plus the succeeding RP </t>
  </si>
  <si>
    <t>3. Actual/Forecasted EO Amortization - Source:  EO Cycle 2 tab column G divided by remaining months on EO Cycle 2 tab.</t>
  </si>
  <si>
    <t>3. Actual/Forecasted EO Amortization - Source:  EO Cycle 3 tab column G divided by remaining months on EO Cycle 3 tab.</t>
  </si>
  <si>
    <t>Tab</t>
  </si>
  <si>
    <t>Summary Description</t>
  </si>
  <si>
    <t>Summary of Sources</t>
  </si>
  <si>
    <t>Tariff Tables</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</si>
  <si>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</si>
  <si>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</si>
  <si>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</si>
  <si>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</si>
  <si>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</si>
  <si>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</si>
  <si>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</si>
  <si>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PCR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</si>
  <si>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</si>
  <si>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2</t>
  </si>
  <si>
    <t>PTD Cycle 3</t>
  </si>
  <si>
    <t>TDR Cycle 2</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</si>
  <si>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</si>
  <si>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TDR Cycle 3</t>
  </si>
  <si>
    <t>EO Cycle 2</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</si>
  <si>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</si>
  <si>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EO Cycle 3</t>
  </si>
  <si>
    <t>EOR Cycle 2</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</si>
  <si>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</si>
  <si>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EOR Cycle 3</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</si>
  <si>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</si>
  <si>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2</t>
  </si>
  <si>
    <t>OA Cycle 3</t>
  </si>
  <si>
    <t>OAR Cycle 2</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</si>
  <si>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</si>
  <si>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</si>
  <si>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1. Ordered Adjustment - Source: None</t>
  </si>
  <si>
    <t>2. Carrying Costs on OA - Source: None</t>
  </si>
  <si>
    <t>1. Ordered Adjustment - Program Costs - Source: None</t>
  </si>
  <si>
    <t>2. Ordered Adjustment - Throughput Disincentive - Source: None</t>
  </si>
  <si>
    <t>3. Carrying Costs on OA - Source: None</t>
  </si>
  <si>
    <t>1. Actual monthly program costs allocated to customer classes: Residential, Small General Service, Large General Service and Large Power Service - Source: None
    Forecasted monthly program costs allocated to customer classes: Residential, Small General Service, Large General Service and Large Power Service - Source: None</t>
  </si>
  <si>
    <t>1. Forecasted kWh savings by customer classes: Residential, Small General Service, Large General Service and Large Power Service - Source: None, TD reset effective December 2022</t>
  </si>
  <si>
    <t>Check</t>
  </si>
  <si>
    <t>For next rider filing, reversal of Forecast to input in column C</t>
  </si>
  <si>
    <t>1. &amp; 4. Actual monthly TD - Source: None, TD reset effective December 2022
    Forecasted monthly TD - Source: None</t>
  </si>
  <si>
    <t>3. Actual kWh Sales Impact - Source:  None, TD reset effective December 2022
    Forecasted kWh Sales Impact - Source: None</t>
  </si>
  <si>
    <t>1. Total Earnings Opportunity - Source: Missouri West EO Calculation PY1-PY3 v2.xlsx, Missouri West EO Calculation PY4.xlsx; final amounts included in 6/1/2023 filing</t>
  </si>
  <si>
    <t>2. EO TD Ex Post Gross Adjustment -  Source: TD Model Missouri West PY1-3 122022.xlsx, TD Model Missouri West PY4 122022.xlsx; final amounts included in 6/1/2023 filing</t>
  </si>
  <si>
    <t>3. EO TD NTG Adjustment -  Source: TD Model Missouri West PY1-3 122022.xlsx, TD Model Missouri West PY4 122022.xlsx; final amounts included in 6/1/2023 filing</t>
  </si>
  <si>
    <t>4. Carrying Costs @ AFUDC Rate -  Source: TD Model Missouri West PY1-3 122022.xlsx, TD Model Missouri West PY4 122022.xlsx; final amounts included in 6/1/2023 filing</t>
  </si>
  <si>
    <t>Cycle 3 - Program Year 3 (including EO TD Adjustments through October 2023) (Amortize February 2024 -January 2025)</t>
  </si>
  <si>
    <t>2. EO TD Ex Post Gross Adjustment -  Source: Missouri West Cycle 3 PY1 EO TD Adj Calc.xlsx, Missouri West Cycle 3 PY2 EO TD Adj Calc.xlsx, Missouri West Cycle 3 PY3 EO TD Adj Calc.xlsx</t>
  </si>
  <si>
    <t>3. EO TD NTG Adjustment -  Source: Missouri West Cycle 3 PY1 EO TD Adj Calc.xlsx, Missouri West Cycle 3 PY2 EO TD Adj Calc.xlsx, Missouri West Cycle 3 PY3 EO TD Adj Calc.xlsx</t>
  </si>
  <si>
    <t>4. Carrying Costs @ AFUDC Rate -  Source: Missouri West Cycle 3 PY1 EO TD Adj Calc.xlsx, Missouri West Cycle 3 PY2 EO TD Adj Calc.xlsx, Missouri West Cycle 3 PY3 EO TD Adj Calc.xlsx</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</si>
  <si>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</si>
  <si>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Cycle 3 - Program Year 1 EO TD Adjustments December 2022 (Amortize February 2024 - January 2025)</t>
  </si>
  <si>
    <t>PPC-cycle 4</t>
  </si>
  <si>
    <t>PTD-cycle 4</t>
  </si>
  <si>
    <t>EO-cycle 4</t>
  </si>
  <si>
    <t>OA-cycle 4</t>
  </si>
  <si>
    <t>PCR-cycle 4</t>
  </si>
  <si>
    <t>TDR-cycle 4</t>
  </si>
  <si>
    <t>EOR-cycle 4</t>
  </si>
  <si>
    <t>OAR-cycle 4</t>
  </si>
  <si>
    <t>Cycle 4</t>
  </si>
  <si>
    <t>PCR Cycle 4</t>
  </si>
  <si>
    <t>Program Cost Reconciliation for Cycle 4 planning costs through December 2023 compares the DSIM revenues billed for the Cycle 4 cost components to actual planning costs incurred plus the carryforward of under or over recovered Cycle 4 planning costs.</t>
  </si>
  <si>
    <t>Cycle 4 Program Costs Reconciliation (PCR) Calculation</t>
  </si>
  <si>
    <t>Cycle 3 - Program Year 3 EO TD Adjustments November 2023 through April 2024 (Amortize August 2024 - July 2025)</t>
  </si>
  <si>
    <t>Cycle 3 - Program Year 4 (Amortize August 2024 -July 2025)</t>
  </si>
  <si>
    <t>1. Total Earnings Opportunity - Source: Missouri West EO Calculated Cycle 3 PY1.xlsx, MO West EO Calculated Cycle 3 PY2.xlsx, MO West EO Calculated Cycle 3 PY3.xlsx, Missouri West EO Calculated Cycle 3 PY4.xlsx</t>
  </si>
  <si>
    <t>3. Actual monthly billed revenues by customer classes: Residential, Small General Service, Large General Service and Large Power Service (program cost revenues only) - Source: Missouri West MEEIA 2024 Revenue Analysis.xlsx
    Forecasted monthly billed revenues by customer classes: Residential, Small General Service, Large General Service and Large Power Service (program cost revenues only) - Source: calculated = Forecasted billed kWh sales X tariff rate</t>
  </si>
  <si>
    <t>3. Actual monthly billed revenues by customer classes: Residential, Small General Service, Medium General Service, Large General Service and Large Power Service (program cost revenues only) - Source: Missouri West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</si>
  <si>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Large General Service and Large Power Service (TD revenues only) - Source: Missouri West MEEIA 2024 Revenue Analysis.xlsx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</si>
  <si>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(TD revenues only) - Source: Missouri West MEEIA 2024 Revenue Analysis.xlsx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</si>
  <si>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(EO revenues only) - Source: Missouri West MEEIA 2024 Revenue Analysis.xlsx
Forecasted monthly billed revenues by customer classes: Residential, Small General Service, Large General Service and Large Power Service (EO revenues only) - Source: calculated = Forecasted billed kWh sales X tariff rate</t>
  </si>
  <si>
    <t>2. Actual monthly billed revenues by customer classes: Residential, Small General Service, Large General Service and Large Power Service (ordered adjustments revenues only) - Source: Missouri West MEEIA 2024 Revenue Analysis.xlsx
Forecasted monthly billed revenues by customer classes: Residential, Small General Service, Large General Service and Large Power Service (ordered adjustments revenues only) - Source: calculated = Forecasted billed kWh sales X tariff rate</t>
  </si>
  <si>
    <t>4. Total monthly interest - Source: calculated</t>
  </si>
  <si>
    <t>5. Total monthly interest - Source: calculated</t>
  </si>
  <si>
    <t>5. Monthly Short-Term Borrowing Rate - Source: none</t>
  </si>
  <si>
    <t>Calculation of DSIM Rates by Customer Class Effective February 1, 2025 through January 31, 2026</t>
  </si>
  <si>
    <t>Projected Program Costs for Cycle 3 for the period January 2025 through December 2025 and projected billed kWh sales for the period February 2025 through January 2026</t>
  </si>
  <si>
    <t>Throughput Disincentive Reconciliation for Cycle 3 for the period May 2024 through October 2024 compares the DSIM revenues billed for the Cycle 3 cost components to calculated Throughput Disincentive for Cycle 3 and the carryforward of under or over recovered Cycle 3 Throughput Disincentive.</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</si>
  <si>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October 2024 plus continued amortization of previously reported amounts from prior updates as appropriate.</t>
  </si>
  <si>
    <t>The Company updates a forecast of program costs and throughput disincentive, among other items, based on actual reported results through October 2024 and forecasted results through the remainder of Cycle 3. Program costs by customer class are summarized from that forecast. Projected billed kWh sales by customer class (net of opt outs) are extracted from the Company budget.</t>
  </si>
  <si>
    <t>Evergy Missouri West, Inc. - DSIM Rider Update Filed 12/01/2024</t>
  </si>
  <si>
    <t>Projections for Cycle 3 January 2025 - December 2025 DSIM</t>
  </si>
  <si>
    <t>PPC Cycle 4</t>
  </si>
  <si>
    <t>Projected Program Costs for Cycle 4 for the period January 2025 through December 2025 and projected billed kWh sales for the period February 2025 through January 2026</t>
  </si>
  <si>
    <t>The Company creates a forecast of program costs and throughput disincentive, among other items, based on modeled assumptions used for the MEEIA 4 filing (EO-2023-0370). Program costs by customer class is summarized from that forecast. Projected billed kWh sales by customer class (net of opt outs) are extracted from the Company budget.</t>
  </si>
  <si>
    <t>PTD Cycle 4</t>
  </si>
  <si>
    <t>Projected Throughput Disincentive for Cycle 4 for the period January 2025 through December 2025</t>
  </si>
  <si>
    <t xml:space="preserve">The Company updates a forecast of program costs and throughput disincentive, among other items, based on modeled assumptions used for the MEEIA 4 filing (EO-2023-0370). Throughput Disincentive by customer class is summarized from that forecast. </t>
  </si>
  <si>
    <t>Program Cost Reconciliation for Cycle 2 for the period May 2024 through October 2024 compares the DSIM revenues billed for the Cycle 2 cost components to the carryforward of under or over recovered Cycle 2 Program Costs.</t>
  </si>
  <si>
    <t>Program Cost Reconciliation for Cycle 3 for the period May 2024 through October 2024 compares the DSIM revenues billed for the Cycle 3 cost components to actual program costs incurred plus the carryforward of under or over recovered Cycle 3 Program Costs.</t>
  </si>
  <si>
    <t>Projected Throughput Disincentive for Cycle 2 for the period January 2025 through December 2025.</t>
  </si>
  <si>
    <t>Projected Throughput Disincentive for Cycle 2 for the period January 2025 through December 2025 are zero due to the rebasing of cumulative kWh savings in the most recent rates effective January 2023.</t>
  </si>
  <si>
    <t>Projected Throughput Disincentive for Cycle 3 for the period January 2025 through December 2025</t>
  </si>
  <si>
    <t xml:space="preserve">The Company updates a forecast of program costs and throughput disincentive, among other items, based on actual reported results through October 2024 and forecasted results through the remainder of Cycle 3. Throughput Disincentive by customer class is summarized from that forecast. </t>
  </si>
  <si>
    <t>Earnings Opportunity Cycle 2, including EO TD Ex Post Gross and Net to Gross Adjustments (EO TD Adjustments) for the period January 2025 through December 2025</t>
  </si>
  <si>
    <t>Earnings Opportunity Reconciliation for Cycle 2 for the period May 2024 through October 2024 compares the DSIM revenues billed for the Cycle 2 cost components to amortization of EO Cycle 2 above and the carryforward of under or over recovered Cycle 2 Earnings Opportunity.</t>
  </si>
  <si>
    <t>Ordered Adjustments for Cycle 2 for the period January 2025 through December 2025</t>
  </si>
  <si>
    <t>Ordered Adjustments for Cycle 3 for the period January 2025 through December 2025</t>
  </si>
  <si>
    <t>Ordered Adjustments Reconciliation for Cycle 2 for the period May 2024 through October 2024 compares the DSIM revenues billed for the Cycle 2 cost components to the carryforward of under or over recovered Cycle 2 Ordered Adjustments.</t>
  </si>
  <si>
    <t>Ordered Adjustments Reconciliation for Cycle 3 for the period May 2024 through October 2024 compares the DSIM revenues billed for the Cycle 3 cost components to the carryforward of under or over recovered Cycle 3 Ordered Adjustments.</t>
  </si>
  <si>
    <t>None - There were no additional Ordered Adjustments for Cycle 2 for the period January 2025 through December 2025</t>
  </si>
  <si>
    <t>None - There were no additional Ordered Adjustments for Cycle 3 for the period January 2025 through December 2025</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</si>
  <si>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Cycle 3 Throughput Disincentive will be reset to zero after December 2024 concurrent with the new rates effective in January 2025. Interest is calculated on the over or under recovered Throughput Disincentive at the short-term borrowing rates defined in the DSIM tariffs.</t>
  </si>
  <si>
    <t>Earnings Opportunity Cycle 3, including EO TD Ex Post Gross and Net to Gross Adjustments (EO TD Adjustments) for the period January 2025 through December 2025</t>
  </si>
  <si>
    <t>Earnings Opportunity Reconciliation for Cycle 3 for the period May 2024 through October 2024 compares the DSIM revenues billed for the Cycle 3 cost components to amortization of EO Cycle 3 above and the carryforward of under or over recovered Cycle 3 Earnings Opportunity.</t>
  </si>
  <si>
    <t>5. Monthly Short-Term Borrowing Rate - Source: MO West ST Borrowing Rates May24-Oct24.xlsx</t>
  </si>
  <si>
    <t>6. Monthly Short-Term Borrowing Rate - Source: MO West ST Borrowing Rates May24-Oct24.xlsx</t>
  </si>
  <si>
    <t>Cumulative Over/Under Carryover From 06/01/2024 Filing</t>
  </si>
  <si>
    <t>Reverse May 2024 - July 2024 Forecast From 06/01/2024 Filing</t>
  </si>
  <si>
    <t>1. &amp; 3. Actual monthly Ordered Adjustments - Source: MO West Ordered Adjustment Allocations Worksheet final 072024.xlsx</t>
  </si>
  <si>
    <t>6. Amortization Over 24 Month Recovery Period - Source: Column 5  
- EO TD Adjustments Carrying Costs May 2022 - November 2022 Column 5 divided by 24 times 1
- EO TD Adjustments December 2022 Column 5 divided by 24 times 7</t>
  </si>
  <si>
    <t>Cycle 3 - Program Year 3 EO TD Adjustments May 2024 through October 2024 (Amortize February 2025 - January 2026)</t>
  </si>
  <si>
    <t>6. Amortization Over 12 Month Recovery Period - Source: Column 5  
- Program Year 1 EO TD Adjustments December 2022 - April 2023 divided by 12 times 1 month in forecast period
- Program Year 3 EO and EO TD Adjustments through October 2023 divided by 12 times 1 month in forecast period
- Program Year 3 EO TD Adjustments November 2023 through April 2024 divided by 12 times 7 months in forecast period
- Program Year 3 EO TD Adjustments May 2024 through October 2024 divided by 12 times 11 months in forecast period
- Program Year 4 through April 2024 divided by 12 times 11 months in forecast period</t>
  </si>
  <si>
    <t>(A)</t>
  </si>
  <si>
    <t>(A) PY3 retroactive EO TD correction to PAYS average measure life from 1 year to 13 years</t>
  </si>
  <si>
    <t>Cycle 4 Earnings Opportunity (EO) Calculation</t>
  </si>
  <si>
    <t>Cycle 4 - Total</t>
  </si>
  <si>
    <t>Cycle 4 - Program Year 1 through December 2025 (Amortize February 2027-January 2028)</t>
  </si>
  <si>
    <t>Cycle 4 - Program Year 2 through December 2026 (Amortize February 2028-January 2029)</t>
  </si>
  <si>
    <t>Cycle 4 - Program Year 3 through December 2027 (Amortize February 2029-January 2030)</t>
  </si>
  <si>
    <t xml:space="preserve">1. Total Earnings Opportunity - Source: </t>
  </si>
  <si>
    <t xml:space="preserve">2. EO TD Ex Post Gross Adjustment -  Source: </t>
  </si>
  <si>
    <t xml:space="preserve">3. EO TD NTG Adjustment -  Source: </t>
  </si>
  <si>
    <t xml:space="preserve">4. Carrying Costs @ AFUDC Rate -  Source: </t>
  </si>
  <si>
    <t xml:space="preserve">6. Amortization Over 12 Month Recovery Period - Source: </t>
  </si>
  <si>
    <t>3. Cycle 3 PY5 Extension- January 2025 - December 2025</t>
  </si>
  <si>
    <t>2. Forecasted Throughput Disincentive -Sum of 3.</t>
  </si>
  <si>
    <t>Cycle 4 Projected Throughput Disincentive (PTD) TD Calculation</t>
  </si>
  <si>
    <t>1. Forecasted kWh by Residential, Small General Service, Large General Service and Large Power Service (Reduced for Opt-Out) - Source: Billed kWh projection 20241120- West.xlsx</t>
  </si>
  <si>
    <t>2. Forecasted program costs by customer class - Source: sum of 3.</t>
  </si>
  <si>
    <t>3. Forecasted program costs by customer class - Source: MO West Program Costs by Customer Class 2024 Ext 112024-062025.xlsx</t>
  </si>
  <si>
    <t>3. Cycle 4 PY1- January 2025 - December 2025</t>
  </si>
  <si>
    <t>Cycle 4 Projected Program Costs (PPC) Calculation</t>
  </si>
  <si>
    <t>2. Actual monthly kWh billed sales by customer classes: Residential, Small General Service, Large General Service and Large Power Service (reduced for opt-out) - Source: Missouri West MEEIA 2024 Revenue Analysis.xlsx
    Forecasted monthly kWh billed sales by customer classes: Residential, Small General Service, Large General Service and Large Power Service (reduced for opt-out) - Source: Billed kWh projection 20241120- West.xlsx</t>
  </si>
  <si>
    <t>2. Actual monthly kWh billed sales by customer classes: Residential, Small General Service, Medium General Service, Large General Service and Large Power Service (reduced for opt-out) - Source: Missouri West MEEIA 2024 Revenue Analysis.xlsx
    Forecasted monthly kWh billed sales by customer classes: Residential, Small General Service, Medium General Service, Large General Service and Large Power Service (reduced for opt-out) - Source: Billed kWh projection 20241120- West.xlsx</t>
  </si>
  <si>
    <t>2. Forecasted monthly kWh billed sales by customer classes: Residential, Small General Service, Medium General Service, Large General Service and Large Power Service (reduced for opt-out) - Source: Billed kWh projection 20241120- West.xlsx</t>
  </si>
  <si>
    <t>1. Actual monthly program costs allocated to customer classes: Residential, Small General Service, Large General Service and Large Power Service - Source: 05 2024 MO West Spend Allocations Worksheet FINAL.xlsx, 06 2024 MO West Spend Allocations Worksheet FINAL.xlsx, 07 2024 MO West Spend Allocations Worksheet FINAL.xlsx, 08 2024 MO West Spend Allocations Worksheet FINAL.xlsx, 09 2024 MO West Spend Allocations Worksheet FINAL.xlsx, 10 2024 MO West Spend Allocations Worksheet FINAL.xlsx
    Forecasted monthly program costs allocated to customer classes: Residential, Small General Service, Large General Service and Large Power Service - Source: MO West Program Costs by Customer Class 2024 Ext 072024-062025.xlsx</t>
  </si>
  <si>
    <t>1. Actual monthly program costs allocated to customer classes: Residential, Small General Service, Large General Service and Large Power Service - Source: none</t>
  </si>
  <si>
    <t>3. Actual ordered adjustments - Source: MO West Ordered Adjustment Allocations Worksheet final 072024.xlsx, EO-2023-0408</t>
  </si>
  <si>
    <t>1. Forecasted kWh savings by customer classes: Residential, Small General Service, Large General Service and Large Power Service  - Source: Missouri West Cycle 3 Monthly TD Calc 102024 11222024- for forecast.xlsx</t>
  </si>
  <si>
    <t>3. Forecasted Throughput Disincentive - Source: Missouri West Cycle 3 Monthly TD Calc 102024 11222024- for forecast.xlsx</t>
  </si>
  <si>
    <t>1. &amp; 4. Actual monthly TD - Source: Missouri West Cycle 3 Monthly TD Calc 102024 11222024- for forecast.xlsx
    Forecasted monthly TD - Source: Missouri West Cycle 3 Monthly TD Calc 102024 11222024- for forecast.xlsx</t>
  </si>
  <si>
    <t>3. Actual monthly TD - Source: Missouri West Cycle 3 Monthly TD Calc 102024 11222024- for forecast.xlsx
    Forecasted monthly TD - Source: Missouri West Cycle 3 Monthly TD Calc 102024 11222024- for forecast.xlsx</t>
  </si>
  <si>
    <t>3. Forecasted program costs by customer class - Source: CONF_MEEIA 4 Portfolio Analysis 11052024 SXM- West new 11222024.xlsx</t>
  </si>
  <si>
    <t>1. Forecasted kWh savings by customer classes: Residential, Small General Service, Medium General Service, Large General Service and Large Power Service - Source: CONF_MEEIA 4 Portfolio Analysis 11052024 SXM- West new 11222024.xlsx</t>
  </si>
  <si>
    <t>3. Forecasted Throughput Disincentive - Source: CONF_MEEIA 4 Portfolio Analysis 11052024 SXM- West new 11222024.xlsx</t>
  </si>
  <si>
    <t>(A) Retroactive adjustments to actual TD from December 2023 through April 2024- During the EM&amp;V process for Program Year 4 (2023), it was identified that LED and smart thermostat deemed kWh savings were incorrectly claimed. As a result, ineligible deemed kWh savings totaling 34,919 were reversed from December 2023 and prospective actual TD and carrying costs were recalculated.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</si>
</sst>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_);_(&quot;$&quot;* \(#,##0.000\);_(&quot;$&quot;* &quot;-&quot;??_);_(@_)"/>
    <numFmt numFmtId="179" formatCode="_(&quot;$&quot;* #,##0.00000_);_(&quot;$&quot;* \(#,##0.00000\);_(&quot;$&quot;* &quot;-&quot;_);_(@_)"/>
    <numFmt numFmtId="180" formatCode="_(&quot;$&quot;* #,##0.0000000_);_(&quot;$&quot;* \(#,##0.0000000\);_(&quot;$&quot;* &quot;-&quot;???????_);_(@_)"/>
    <numFmt numFmtId="181" formatCode="_(&quot;$&quot;* #,##0.00_);_(&quot;$&quot;* \(#,##0.00\);_(&quot;$&quot;* &quot;-&quot;_);_(@_)"/>
  </numFmts>
  <fonts count="5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9"/>
      <color indexed="81"/>
      <name val="Tahoma"/>
      <family val="2"/>
    </font>
    <font>
      <b/>
      <sz val="9"/>
      <color indexed="81"/>
      <name val="Tahoma"/>
      <family val="2"/>
    </font>
    <font>
      <sz val="10"/>
      <color rgb="FF008000"/>
      <name val="Courier New"/>
      <family val="3"/>
    </font>
    <font>
      <sz val="11"/>
      <color rgb="FFFF00FF"/>
      <name val="Calibri"/>
      <family val="2"/>
      <scheme val="minor"/>
    </font>
    <font>
      <b/>
      <sz val="10"/>
      <color rgb="FFFF00FF"/>
      <name val="Courier New"/>
      <family val="3"/>
    </font>
    <font>
      <sz val="10"/>
      <color rgb="FF0000FF"/>
      <name val="Courier New"/>
      <family val="3"/>
    </font>
    <font>
      <sz val="11"/>
      <color rgb="FF008000"/>
      <name val="Calibri"/>
      <family val="2"/>
      <scheme val="minor"/>
    </font>
    <font>
      <sz val="11"/>
      <color rgb="FF0000FF"/>
      <name val="Calibri"/>
      <family val="2"/>
      <scheme val="minor"/>
    </font>
    <font>
      <b/>
      <sz val="11"/>
      <color rgb="FF0000FF"/>
      <name val="Calibri"/>
      <family val="2"/>
      <scheme val="minor"/>
    </font>
    <font>
      <i/>
      <sz val="11"/>
      <color rgb="FF0000FF"/>
      <name val="Calibri"/>
      <family val="2"/>
      <scheme val="minor"/>
    </font>
    <font>
      <b/>
      <sz val="11"/>
      <color rgb="FF0000CC"/>
      <name val="Calibri"/>
      <family val="2"/>
      <scheme val="minor"/>
    </font>
    <font>
      <sz val="10"/>
      <color rgb="FFFF00FF"/>
      <name val="Courier New"/>
      <family val="3"/>
    </font>
    <font>
      <sz val="11"/>
      <color rgb="FFC00000"/>
      <name val="Calibri"/>
      <family val="2"/>
      <scheme val="minor"/>
    </font>
    <font>
      <sz val="11"/>
      <color rgb="FF0000CC"/>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412">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1" fontId="5" fillId="5" borderId="59" xfId="6" applyNumberFormat="1" applyBorder="1"/>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78"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0" fontId="8" fillId="0" borderId="0" xfId="0" applyFont="1" applyAlignment="1">
      <alignment horizontal="left"/>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41" fontId="42" fillId="0" borderId="6" xfId="0" applyNumberFormat="1" applyFont="1" applyBorder="1" applyAlignment="1">
      <alignment vertical="center"/>
    </xf>
    <xf numFmtId="42" fontId="42" fillId="0" borderId="6" xfId="0" applyNumberFormat="1" applyFont="1" applyBorder="1" applyAlignment="1">
      <alignment horizontal="right"/>
    </xf>
    <xf numFmtId="176" fontId="43" fillId="0" borderId="0" xfId="1" applyNumberFormat="1" applyFont="1"/>
    <xf numFmtId="0" fontId="44" fillId="0" borderId="0" xfId="0" applyFont="1" applyFill="1" applyBorder="1" applyAlignment="1">
      <alignment horizontal="center" vertical="center" wrapText="1"/>
    </xf>
    <xf numFmtId="172" fontId="45" fillId="0" borderId="6" xfId="0" applyNumberFormat="1" applyFont="1" applyFill="1" applyBorder="1" applyAlignment="1">
      <alignment horizontal="right"/>
    </xf>
    <xf numFmtId="172" fontId="45" fillId="0" borderId="6" xfId="0" quotePrefix="1" applyNumberFormat="1" applyFont="1" applyFill="1" applyBorder="1" applyAlignment="1">
      <alignment horizontal="right"/>
    </xf>
    <xf numFmtId="172" fontId="45" fillId="0" borderId="6" xfId="0" applyNumberFormat="1" applyFont="1" applyBorder="1" applyAlignment="1">
      <alignment horizontal="right"/>
    </xf>
    <xf numFmtId="172" fontId="42" fillId="0" borderId="6" xfId="0" applyNumberFormat="1" applyFont="1" applyBorder="1" applyAlignment="1">
      <alignment horizontal="right"/>
    </xf>
    <xf numFmtId="172" fontId="42" fillId="0" borderId="6" xfId="0" applyNumberFormat="1" applyFont="1" applyFill="1" applyBorder="1" applyAlignment="1">
      <alignment horizontal="right"/>
    </xf>
    <xf numFmtId="172" fontId="42" fillId="0" borderId="6" xfId="0" quotePrefix="1" applyNumberFormat="1" applyFont="1" applyFill="1" applyBorder="1" applyAlignment="1">
      <alignment horizontal="right"/>
    </xf>
    <xf numFmtId="179" fontId="42" fillId="0" borderId="6" xfId="0" applyNumberFormat="1" applyFont="1" applyBorder="1" applyAlignment="1">
      <alignment horizontal="right"/>
    </xf>
    <xf numFmtId="175" fontId="42" fillId="0" borderId="6" xfId="1" applyNumberFormat="1" applyFont="1" applyBorder="1" applyAlignment="1">
      <alignment horizontal="right" vertical="center"/>
    </xf>
    <xf numFmtId="175" fontId="43" fillId="0" borderId="0" xfId="0" applyNumberFormat="1" applyFont="1"/>
    <xf numFmtId="0" fontId="44" fillId="0" borderId="0" xfId="0" applyFont="1" applyFill="1" applyBorder="1" applyAlignment="1">
      <alignment vertical="center" wrapText="1"/>
    </xf>
    <xf numFmtId="41" fontId="5" fillId="36" borderId="80" xfId="6" applyNumberFormat="1" applyFill="1" applyBorder="1"/>
    <xf numFmtId="165" fontId="47" fillId="0" borderId="9" xfId="0" applyNumberFormat="1" applyFont="1" applyFill="1" applyBorder="1"/>
    <xf numFmtId="0" fontId="47" fillId="0" borderId="9" xfId="0" applyFont="1" applyFill="1" applyBorder="1"/>
    <xf numFmtId="0" fontId="49" fillId="0" borderId="9" xfId="8" applyFont="1" applyFill="1" applyBorder="1"/>
    <xf numFmtId="44" fontId="47" fillId="0" borderId="9" xfId="0" applyNumberFormat="1" applyFont="1" applyFill="1" applyBorder="1"/>
    <xf numFmtId="165" fontId="48" fillId="7" borderId="43" xfId="13" applyNumberFormat="1" applyFont="1" applyBorder="1"/>
    <xf numFmtId="165" fontId="48" fillId="7" borderId="44" xfId="13" applyNumberFormat="1" applyFont="1" applyBorder="1"/>
    <xf numFmtId="10" fontId="47" fillId="5" borderId="23" xfId="6" applyNumberFormat="1" applyFont="1" applyBorder="1"/>
    <xf numFmtId="164" fontId="47" fillId="0" borderId="12" xfId="0" applyNumberFormat="1" applyFont="1" applyBorder="1"/>
    <xf numFmtId="43" fontId="43" fillId="0" borderId="0" xfId="1" applyFont="1"/>
    <xf numFmtId="165" fontId="48" fillId="7" borderId="72" xfId="13" applyNumberFormat="1" applyFont="1" applyBorder="1"/>
    <xf numFmtId="165" fontId="47" fillId="0" borderId="9" xfId="6" applyNumberFormat="1" applyFont="1" applyFill="1" applyBorder="1"/>
    <xf numFmtId="171" fontId="46" fillId="0" borderId="0" xfId="2" applyNumberFormat="1" applyFont="1" applyBorder="1"/>
    <xf numFmtId="171" fontId="46" fillId="0" borderId="9" xfId="2" applyNumberFormat="1" applyFont="1" applyBorder="1"/>
    <xf numFmtId="171" fontId="46" fillId="0" borderId="10" xfId="0" applyNumberFormat="1" applyFont="1" applyBorder="1"/>
    <xf numFmtId="171" fontId="46" fillId="0" borderId="0" xfId="2" applyNumberFormat="1" applyFont="1" applyFill="1" applyBorder="1"/>
    <xf numFmtId="171" fontId="46" fillId="0" borderId="9" xfId="2" applyNumberFormat="1" applyFont="1" applyFill="1" applyBorder="1"/>
    <xf numFmtId="171" fontId="46" fillId="0" borderId="10" xfId="0" applyNumberFormat="1" applyFont="1" applyFill="1" applyBorder="1"/>
    <xf numFmtId="165" fontId="48" fillId="0" borderId="13" xfId="13" applyNumberFormat="1" applyFont="1" applyFill="1" applyBorder="1"/>
    <xf numFmtId="0" fontId="8" fillId="0" borderId="0" xfId="0" applyFont="1" applyFill="1" applyAlignment="1">
      <alignment horizontal="left"/>
    </xf>
    <xf numFmtId="0" fontId="7" fillId="0" borderId="9" xfId="8" applyFill="1" applyBorder="1"/>
    <xf numFmtId="0" fontId="0" fillId="0" borderId="10" xfId="0" applyFill="1" applyBorder="1"/>
    <xf numFmtId="10" fontId="47" fillId="5" borderId="1" xfId="2" applyNumberFormat="1" applyFont="1" applyFill="1" applyBorder="1"/>
    <xf numFmtId="170" fontId="47" fillId="5" borderId="23" xfId="6" applyNumberFormat="1" applyFont="1" applyBorder="1"/>
    <xf numFmtId="0" fontId="7" fillId="0" borderId="10" xfId="8" applyFill="1" applyBorder="1"/>
    <xf numFmtId="171" fontId="47" fillId="0" borderId="0" xfId="2" applyNumberFormat="1" applyFont="1" applyBorder="1"/>
    <xf numFmtId="171" fontId="47" fillId="0" borderId="9" xfId="2" applyNumberFormat="1" applyFont="1" applyBorder="1"/>
    <xf numFmtId="171" fontId="47" fillId="0" borderId="10" xfId="0" applyNumberFormat="1" applyFont="1" applyBorder="1"/>
    <xf numFmtId="167" fontId="0" fillId="0" borderId="0" xfId="0" applyNumberFormat="1"/>
    <xf numFmtId="44" fontId="7" fillId="0" borderId="10" xfId="8" applyNumberFormat="1" applyFill="1" applyBorder="1"/>
    <xf numFmtId="41" fontId="0" fillId="0" borderId="0" xfId="0" applyNumberFormat="1" applyFill="1" applyBorder="1"/>
    <xf numFmtId="43" fontId="8" fillId="0" borderId="0" xfId="1" applyFont="1" applyFill="1" applyAlignment="1">
      <alignment horizontal="center"/>
    </xf>
    <xf numFmtId="165" fontId="13" fillId="40" borderId="75" xfId="12" applyNumberFormat="1" applyFill="1" applyBorder="1"/>
    <xf numFmtId="165" fontId="5" fillId="37" borderId="1" xfId="6" applyNumberFormat="1" applyFill="1"/>
    <xf numFmtId="165" fontId="50" fillId="7" borderId="43" xfId="13" applyNumberFormat="1" applyFont="1" applyBorder="1"/>
    <xf numFmtId="165" fontId="50" fillId="7" borderId="72" xfId="13" applyNumberFormat="1" applyFont="1" applyBorder="1"/>
    <xf numFmtId="165" fontId="50" fillId="7" borderId="44" xfId="13" applyNumberFormat="1" applyFont="1" applyBorder="1"/>
    <xf numFmtId="165" fontId="50" fillId="0" borderId="13" xfId="13" applyNumberFormat="1" applyFont="1" applyFill="1" applyBorder="1"/>
    <xf numFmtId="180" fontId="38" fillId="0" borderId="0" xfId="0" applyNumberFormat="1" applyFont="1"/>
    <xf numFmtId="180" fontId="0" fillId="0" borderId="0" xfId="0" applyNumberFormat="1"/>
    <xf numFmtId="0" fontId="8" fillId="0" borderId="0" xfId="0" applyFont="1" applyAlignment="1">
      <alignment horizontal="left" vertical="center" wrapText="1"/>
    </xf>
    <xf numFmtId="0" fontId="8" fillId="0" borderId="0" xfId="0" applyFont="1" applyAlignment="1">
      <alignment horizontal="left"/>
    </xf>
    <xf numFmtId="167" fontId="0" fillId="0" borderId="0" xfId="1" applyNumberFormat="1" applyFont="1"/>
    <xf numFmtId="0" fontId="8" fillId="0" borderId="0" xfId="0" applyFont="1" applyFill="1" applyAlignment="1">
      <alignment horizontal="left" vertical="center" wrapText="1"/>
    </xf>
    <xf numFmtId="3" fontId="0" fillId="0" borderId="0" xfId="0" applyNumberFormat="1"/>
    <xf numFmtId="171" fontId="47" fillId="0" borderId="0" xfId="2" applyNumberFormat="1" applyFont="1" applyFill="1" applyBorder="1"/>
    <xf numFmtId="171" fontId="47" fillId="0" borderId="9" xfId="2" applyNumberFormat="1" applyFont="1" applyFill="1" applyBorder="1"/>
    <xf numFmtId="171" fontId="47" fillId="0" borderId="10" xfId="0" applyNumberFormat="1" applyFont="1" applyFill="1" applyBorder="1"/>
    <xf numFmtId="44" fontId="0" fillId="0" borderId="0" xfId="0" applyNumberFormat="1" applyFill="1"/>
    <xf numFmtId="172" fontId="51" fillId="0" borderId="6" xfId="0" applyNumberFormat="1" applyFont="1" applyBorder="1" applyAlignment="1">
      <alignment horizontal="right"/>
    </xf>
    <xf numFmtId="172" fontId="51" fillId="0" borderId="6" xfId="0" applyNumberFormat="1" applyFont="1" applyFill="1" applyBorder="1" applyAlignment="1">
      <alignment horizontal="right"/>
    </xf>
    <xf numFmtId="170" fontId="51" fillId="0" borderId="5" xfId="0" applyNumberFormat="1" applyFont="1" applyFill="1" applyBorder="1" applyAlignment="1">
      <alignment vertical="center"/>
    </xf>
    <xf numFmtId="0" fontId="8" fillId="0" borderId="0" xfId="0" quotePrefix="1" applyFont="1" applyFill="1"/>
    <xf numFmtId="165" fontId="7" fillId="0" borderId="0" xfId="8" applyNumberFormat="1" applyBorder="1"/>
    <xf numFmtId="164" fontId="0" fillId="0" borderId="12" xfId="0" applyNumberFormat="1" applyFill="1" applyBorder="1"/>
    <xf numFmtId="165" fontId="14" fillId="0" borderId="23" xfId="13" applyNumberFormat="1" applyFill="1" applyBorder="1"/>
    <xf numFmtId="171" fontId="0" fillId="0" borderId="0" xfId="2" applyNumberFormat="1" applyFont="1" applyFill="1" applyBorder="1"/>
    <xf numFmtId="165" fontId="5" fillId="0" borderId="26" xfId="6" applyNumberFormat="1" applyFill="1" applyBorder="1"/>
    <xf numFmtId="0" fontId="53" fillId="39" borderId="3" xfId="0" applyFont="1" applyFill="1" applyBorder="1" applyAlignment="1">
      <alignment horizontal="center" wrapText="1"/>
    </xf>
    <xf numFmtId="0" fontId="50" fillId="0" borderId="0" xfId="0" quotePrefix="1" applyFont="1"/>
    <xf numFmtId="165" fontId="5" fillId="0" borderId="82" xfId="11" applyNumberFormat="1" applyFont="1" applyFill="1" applyBorder="1"/>
    <xf numFmtId="165" fontId="50" fillId="0" borderId="23" xfId="13" applyNumberFormat="1" applyFont="1" applyFill="1" applyBorder="1"/>
    <xf numFmtId="43" fontId="8" fillId="0" borderId="0" xfId="1" applyFont="1" applyAlignment="1">
      <alignment horizontal="center"/>
    </xf>
    <xf numFmtId="181" fontId="0" fillId="0" borderId="0" xfId="0" applyNumberFormat="1"/>
    <xf numFmtId="181" fontId="13" fillId="7" borderId="17" xfId="12" applyNumberFormat="1"/>
    <xf numFmtId="181" fontId="13" fillId="7" borderId="71" xfId="12" applyNumberFormat="1" applyBorder="1"/>
    <xf numFmtId="181" fontId="14" fillId="7" borderId="70" xfId="13" applyNumberFormat="1" applyBorder="1"/>
    <xf numFmtId="165" fontId="47" fillId="0" borderId="58" xfId="6" applyNumberFormat="1" applyFont="1" applyFill="1" applyBorder="1"/>
    <xf numFmtId="41" fontId="47" fillId="0" borderId="58" xfId="6" applyNumberFormat="1" applyFont="1" applyFill="1" applyBorder="1"/>
    <xf numFmtId="165" fontId="47" fillId="0" borderId="60" xfId="11" applyNumberFormat="1" applyFont="1" applyFill="1" applyBorder="1"/>
    <xf numFmtId="165" fontId="48" fillId="0" borderId="58" xfId="13" applyNumberFormat="1" applyFont="1" applyFill="1" applyBorder="1"/>
    <xf numFmtId="0" fontId="53" fillId="39" borderId="64" xfId="0" quotePrefix="1" applyFont="1" applyFill="1" applyBorder="1" applyAlignment="1">
      <alignment horizont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0" fontId="9" fillId="0" borderId="0" xfId="0" applyFont="1" applyFill="1" applyAlignment="1">
      <alignment horizontal="left"/>
    </xf>
    <xf numFmtId="165" fontId="47" fillId="0" borderId="13" xfId="6" applyNumberFormat="1" applyFont="1" applyFill="1" applyBorder="1"/>
    <xf numFmtId="41" fontId="47" fillId="0" borderId="13" xfId="6" applyNumberFormat="1" applyFont="1" applyFill="1" applyBorder="1"/>
    <xf numFmtId="165" fontId="47" fillId="0" borderId="15" xfId="11" applyNumberFormat="1" applyFont="1" applyFill="1" applyBorder="1"/>
    <xf numFmtId="165" fontId="48" fillId="0" borderId="42" xfId="13" applyNumberFormat="1" applyFont="1" applyFill="1" applyBorder="1"/>
    <xf numFmtId="165" fontId="48" fillId="0" borderId="73" xfId="13" applyNumberFormat="1" applyFont="1" applyFill="1" applyBorder="1"/>
    <xf numFmtId="0" fontId="8" fillId="0" borderId="70" xfId="0" quotePrefix="1" applyFont="1" applyFill="1" applyBorder="1" applyAlignment="1">
      <alignment horizontal="center" wrapText="1"/>
    </xf>
    <xf numFmtId="0" fontId="8" fillId="0" borderId="0" xfId="0" applyFont="1" applyAlignment="1">
      <alignment horizontal="left" vertical="center" wrapText="1"/>
    </xf>
    <xf numFmtId="165" fontId="48" fillId="0" borderId="61" xfId="13" applyNumberFormat="1" applyFont="1" applyFill="1" applyBorder="1"/>
    <xf numFmtId="171" fontId="38" fillId="0" borderId="0" xfId="2" applyNumberFormat="1" applyFont="1" applyBorder="1"/>
    <xf numFmtId="171" fontId="38" fillId="0" borderId="0" xfId="2" applyNumberFormat="1" applyFont="1" applyFill="1" applyBorder="1"/>
    <xf numFmtId="171" fontId="38" fillId="0" borderId="9" xfId="2" applyNumberFormat="1" applyFont="1" applyBorder="1"/>
    <xf numFmtId="0" fontId="0" fillId="0" borderId="70" xfId="0" applyFill="1" applyBorder="1" applyAlignment="1">
      <alignment vertical="top" wrapText="1"/>
    </xf>
    <xf numFmtId="0" fontId="0" fillId="0" borderId="0" xfId="0" applyFill="1" applyAlignment="1">
      <alignment vertical="top"/>
    </xf>
    <xf numFmtId="0" fontId="52" fillId="0" borderId="0" xfId="0" applyFont="1" applyFill="1" applyAlignment="1">
      <alignment vertical="top"/>
    </xf>
    <xf numFmtId="0" fontId="52" fillId="0" borderId="70" xfId="0" applyFont="1" applyFill="1" applyBorder="1" applyAlignment="1">
      <alignment vertical="top" wrapText="1"/>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vertical="center" wrapText="1"/>
    </xf>
    <xf numFmtId="0" fontId="8" fillId="41" borderId="0" xfId="0" applyFont="1" applyFill="1" applyAlignment="1">
      <alignment horizontal="left" vertical="center"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8" fillId="0" borderId="0" xfId="0" applyFont="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50" fillId="0" borderId="0" xfId="0" quotePrefix="1" applyFont="1" applyAlignment="1">
      <alignment vertical="top" wrapText="1"/>
    </xf>
    <xf numFmtId="0" fontId="0" fillId="0" borderId="0" xfId="0" applyAlignment="1">
      <alignment vertical="top" wrapText="1"/>
    </xf>
    <xf numFmtId="0" fontId="0" fillId="0" borderId="0" xfId="0" applyAlignment="1">
      <alignment wrapText="1"/>
    </xf>
    <xf numFmtId="0" fontId="8" fillId="38" borderId="19" xfId="0" applyFont="1" applyFill="1" applyBorder="1" applyAlignment="1">
      <alignment horizontal="center"/>
    </xf>
    <xf numFmtId="0" fontId="8" fillId="0" borderId="0" xfId="0" applyFont="1" applyFill="1" applyAlignment="1">
      <alignment horizontal="left" vertical="top" wrapText="1"/>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8000"/>
      <color rgb="FF0000FF"/>
      <color rgb="FFFFFF99"/>
      <color rgb="FF66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Billed%20kWh%20projection%2020241120-%20West.xlsx" TargetMode="External"/><Relationship Id="rId1" Type="http://schemas.openxmlformats.org/officeDocument/2006/relationships/externalLinkPath" Target="https://caseworks.evergy.com/379/DataRequests/29873/Library/Red%20Lines/Billed%20kWh%20projection%2020241120-%20Wes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9%202024%20MO%20West%20Spend%20Allocations%20Worksheet%20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10%202024%20MO%20West%20Spend%20Allocations%20Worksheet%20FINAL.xlsx" TargetMode="External"/><Relationship Id="rId1" Type="http://schemas.openxmlformats.org/officeDocument/2006/relationships/externalLinkPath" Target="https://caseworks.evergy.com/379/DataRequests/29873/Library/Red%20Lines/10%202024%20MO%20West%20Spend%20Allocations%20Worksheet%20FINAL.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O%20West%20ST%20Borrowing%20Rates%20May24-Oct24.xlsx" TargetMode="External"/><Relationship Id="rId1" Type="http://schemas.openxmlformats.org/officeDocument/2006/relationships/externalLinkPath" Target="https://caseworks.evergy.com/379/DataRequests/29873/Library/Red%20Lines/MO%20West%20ST%20Borrowing%20Rates%20May24-Oct24.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issouri%20West%20Cycle%203%20Monthly%20TD%20Calc%20102024%2011222024-%20for%20forecast.xlsx" TargetMode="External"/><Relationship Id="rId1" Type="http://schemas.openxmlformats.org/officeDocument/2006/relationships/externalLinkPath" Target="https://caseworks.evergy.com/379/DataRequests/29873/Library/Red%20Lines/Missouri%20West%20Cycle%203%20Monthly%20TD%20Calc%20102024%2011222024-%20for%20forecast.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Copy%20of%20Missouri%20West%20Cycle%203%20Monthly%20TD%20Calc%20042024%2005212024-%20for%20forecast.xlsx" TargetMode="External"/><Relationship Id="rId1" Type="http://schemas.openxmlformats.org/officeDocument/2006/relationships/externalLinkPath" Target="https://caseworks.evergy.com/379/DataRequests/29873/Library/Red%20Lines/Copy%20of%20Missouri%20West%20Cycle%203%20Monthly%20TD%20Calc%20042024%2005212024-%20for%20foreca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ed%20Cycle%203%20PY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Cycle%203%20PY1%20EO%20TD%20Adj%20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ed%20Cycle%203%20PY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Cycle%203%20PY2%20EO%20TD%20Adj%20Cal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ed%20Cycle%203%20PY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O%20West%20Program%20Costs%20by%20Customer%20Class%202024%20Ext%20112024-062025.xlsx" TargetMode="External"/><Relationship Id="rId1" Type="http://schemas.openxmlformats.org/officeDocument/2006/relationships/externalLinkPath" Target="https://caseworks.evergy.com/379/DataRequests/29873/Library/Red%20Lines/MO%20West%20Program%20Costs%20by%20Customer%20Class%202024%20Ext%20112024-0620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issouri%20West%20Cycle%203%20PY3%20EO%20TD%20Adj%20Calc.xlsx" TargetMode="External"/><Relationship Id="rId1" Type="http://schemas.openxmlformats.org/officeDocument/2006/relationships/externalLinkPath" Target="https://caseworks.evergy.com/379/DataRequests/29873/Library/Red%20Lines/Missouri%20West%20Cycle%203%20PY3%20EO%20TD%20Adj%20Cal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ed%20Cycle%203%20PY4.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0601%20Filing\Schedule%20LAS-2_Missouri%20West%20MEEIA%20Rider%20Calcs_August%202024%20rate%20update%20linked%20FINAL.xlsx" TargetMode="External"/><Relationship Id="rId1" Type="http://schemas.openxmlformats.org/officeDocument/2006/relationships/externalLinkPath" Target="https://caseworks.evergy.com/CorpAcctg/#Energy Efficiency/MEEIA/Missouri West MEEIA DSIM Rider/20240601 Filing/Schedule LAS-2_Missouri West MEEIA Rider Calcs_August 2024 rate update linked FINAL.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O%20West%20Ordered%20Adjustment%20Allocations%20Worksheet%20final%20072024.xlsx" TargetMode="External"/><Relationship Id="rId1" Type="http://schemas.openxmlformats.org/officeDocument/2006/relationships/externalLinkPath" Target="https://caseworks.evergy.com/379/DataRequests/29873/Library/Red%20Lines/MO%20West%20Ordered%20Adjustment%20Allocations%20Worksheet%20final%2007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CONF_MEEIA%204%20Portfolio%20Analysis%2011052024%20SXM-%20West%20new%2011222024.xlsx" TargetMode="External"/><Relationship Id="rId1" Type="http://schemas.openxmlformats.org/officeDocument/2006/relationships/externalLinkPath" Target="https://caseworks.evergy.com/379/DataRequests/29873/Library/Red%20Lines/CONF_MEEIA%204%20Portfolio%20Analysis%2011052024%20SXM-%20West%20new%201122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issouri%20West%20Cycle%202%20Monthly%20TD%20Calc%20122022%2001092023.xlsx" TargetMode="External"/><Relationship Id="rId1" Type="http://schemas.openxmlformats.org/officeDocument/2006/relationships/externalLinkPath" Target="https://caseworks.evergy.com/379/DataRequests/29873/Library/Red%20Lines/Missouri%20West%20Cycle%202%20Monthly%20TD%20Calc%20122022%200109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CorpAcctg\%23Energy%20Efficiency\MEEIA\Missouri%20West%20MEEIA%20DSIM%20Rider\20241201%20Filing\Missouri%20West%20MEEIA%202024%20Revenue%20Analysis.xlsx" TargetMode="External"/><Relationship Id="rId1" Type="http://schemas.openxmlformats.org/officeDocument/2006/relationships/externalLinkPath" Target="https://caseworks.evergy.com/379/DataRequests/29873/Library/Red%20Lines/Missouri%20West%20MEEIA%202024%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5%202024%20MO%20West%20Spend%20Allocations%20Worksheet%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6%202024%20MO%20West%20Spend%20Allocations%20Worksheet%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7%202024%20MO%20West%20Spend%20Allocations%20Worksheet%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8%202024%20MO%20West%20Spend%20Allocations%20Workshe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MO Billed kWh Sales"/>
    </sheetNames>
    <sheetDataSet>
      <sheetData sheetId="0">
        <row r="27">
          <cell r="X27">
            <v>241638800</v>
          </cell>
          <cell r="Y27">
            <v>323339074</v>
          </cell>
          <cell r="Z27">
            <v>402093896</v>
          </cell>
        </row>
        <row r="28">
          <cell r="X28">
            <v>106139286</v>
          </cell>
          <cell r="Y28">
            <v>110439427</v>
          </cell>
          <cell r="Z28">
            <v>108642292</v>
          </cell>
        </row>
        <row r="29">
          <cell r="X29">
            <v>90034767</v>
          </cell>
          <cell r="Y29">
            <v>93682448</v>
          </cell>
          <cell r="Z29">
            <v>92157992</v>
          </cell>
        </row>
        <row r="30">
          <cell r="X30">
            <v>59489434</v>
          </cell>
          <cell r="Y30">
            <v>61899598</v>
          </cell>
          <cell r="Z30">
            <v>60892331</v>
          </cell>
        </row>
        <row r="36">
          <cell r="I36">
            <v>1787770330</v>
          </cell>
          <cell r="J36">
            <v>1958820527</v>
          </cell>
        </row>
        <row r="37">
          <cell r="I37">
            <v>602432462</v>
          </cell>
          <cell r="J37">
            <v>614048178</v>
          </cell>
        </row>
        <row r="38">
          <cell r="I38">
            <v>511025356</v>
          </cell>
          <cell r="J38">
            <v>520878618</v>
          </cell>
        </row>
        <row r="39">
          <cell r="I39">
            <v>337654113</v>
          </cell>
          <cell r="J39">
            <v>344164544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445465.26</v>
          </cell>
          <cell r="O34">
            <v>136477.03</v>
          </cell>
          <cell r="Q34">
            <v>115513.21</v>
          </cell>
          <cell r="R34">
            <v>72388.390000000116</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4">
          <cell r="N34">
            <v>603292.76</v>
          </cell>
          <cell r="O34">
            <v>91986.09</v>
          </cell>
          <cell r="Q34">
            <v>92413.65</v>
          </cell>
          <cell r="R34">
            <v>196862.98999999996</v>
          </cell>
        </row>
      </sheetData>
      <sheetData sheetId="1"/>
      <sheetData sheetId="2"/>
      <sheetData sheetId="3"/>
      <sheetData sheetId="4">
        <row r="1">
          <cell r="C1">
            <v>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 West ST Rate Oct 2024"/>
      <sheetName val="MO West ST Rate Sep 2024"/>
      <sheetName val="MO West ST Rate Aug 2024"/>
      <sheetName val="MO West ST Rate July 2024"/>
      <sheetName val="MO West ST Rate June 2024"/>
      <sheetName val="MO West ST Rate May 2024"/>
    </sheetNames>
    <sheetDataSet>
      <sheetData sheetId="0">
        <row r="44">
          <cell r="E44">
            <v>4.9961500000000004E-3</v>
          </cell>
        </row>
      </sheetData>
      <sheetData sheetId="1">
        <row r="43">
          <cell r="E43">
            <v>5.1888699999999999E-3</v>
          </cell>
        </row>
      </sheetData>
      <sheetData sheetId="2">
        <row r="44">
          <cell r="E44">
            <v>5.4406000000000003E-3</v>
          </cell>
        </row>
      </sheetData>
      <sheetData sheetId="3">
        <row r="44">
          <cell r="E44">
            <v>5.46883E-3</v>
          </cell>
        </row>
      </sheetData>
      <sheetData sheetId="4">
        <row r="44">
          <cell r="E44">
            <v>5.4667700000000001E-3</v>
          </cell>
        </row>
      </sheetData>
      <sheetData sheetId="5">
        <row r="44">
          <cell r="E44">
            <v>5.4564799999999997E-3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row r="461">
          <cell r="BE461">
            <v>2173454.985567349</v>
          </cell>
          <cell r="BF461">
            <v>1980523.0445656709</v>
          </cell>
          <cell r="BG461">
            <v>2392930.2242455194</v>
          </cell>
          <cell r="BH461">
            <v>2313264.531076978</v>
          </cell>
          <cell r="BI461">
            <v>1943151.6591307654</v>
          </cell>
          <cell r="BJ461">
            <v>2085085.0060205322</v>
          </cell>
          <cell r="BK461">
            <v>2012169.6047695121</v>
          </cell>
          <cell r="BL461">
            <v>2410063.4501397954</v>
          </cell>
        </row>
        <row r="462">
          <cell r="BE462">
            <v>649760.24231928587</v>
          </cell>
          <cell r="BF462">
            <v>622380.17711688043</v>
          </cell>
          <cell r="BG462">
            <v>700273.24175569334</v>
          </cell>
          <cell r="BH462">
            <v>704809.8433535418</v>
          </cell>
          <cell r="BI462">
            <v>606348.77656628343</v>
          </cell>
          <cell r="BJ462">
            <v>648618.56305138383</v>
          </cell>
          <cell r="BK462">
            <v>613142.87158443511</v>
          </cell>
          <cell r="BL462">
            <v>615319.00307336962</v>
          </cell>
        </row>
        <row r="464">
          <cell r="BE464">
            <v>1525475.2882410916</v>
          </cell>
          <cell r="BF464">
            <v>1463032.5831013045</v>
          </cell>
          <cell r="BG464">
            <v>1503137.9818783691</v>
          </cell>
          <cell r="BH464">
            <v>1531042.0027609803</v>
          </cell>
          <cell r="BI464">
            <v>1429272.4034714941</v>
          </cell>
          <cell r="BJ464">
            <v>1528850.7068644809</v>
          </cell>
          <cell r="BK464">
            <v>1447354.2837782537</v>
          </cell>
          <cell r="BL464">
            <v>1452362.6826975925</v>
          </cell>
        </row>
        <row r="465">
          <cell r="BE465">
            <v>377080.90406469663</v>
          </cell>
          <cell r="BF465">
            <v>361249.07501055492</v>
          </cell>
          <cell r="BG465">
            <v>370962.2661298358</v>
          </cell>
          <cell r="BH465">
            <v>378037.11684431648</v>
          </cell>
          <cell r="BI465">
            <v>351830.88641037478</v>
          </cell>
          <cell r="BJ465">
            <v>376260.2332811791</v>
          </cell>
          <cell r="BK465">
            <v>355629.13631455408</v>
          </cell>
          <cell r="BL465">
            <v>356855.23712817801</v>
          </cell>
        </row>
        <row r="563">
          <cell r="BE563">
            <v>71378.8</v>
          </cell>
          <cell r="BF563">
            <v>117499.41</v>
          </cell>
          <cell r="BG563">
            <v>152160.85</v>
          </cell>
          <cell r="BH563">
            <v>146392.49000000002</v>
          </cell>
          <cell r="BI563">
            <v>116169.78000000001</v>
          </cell>
          <cell r="BJ563">
            <v>67382.880000000005</v>
          </cell>
          <cell r="BK563">
            <v>68189.56</v>
          </cell>
          <cell r="BL563">
            <v>73392.89</v>
          </cell>
        </row>
        <row r="564">
          <cell r="BE564">
            <v>25654.039999999997</v>
          </cell>
          <cell r="BF564">
            <v>37961.770000000004</v>
          </cell>
          <cell r="BG564">
            <v>41863.880000000005</v>
          </cell>
          <cell r="BH564">
            <v>41835.589999999997</v>
          </cell>
          <cell r="BI564">
            <v>35800.449999999997</v>
          </cell>
          <cell r="BJ564">
            <v>25426.11</v>
          </cell>
          <cell r="BK564">
            <v>23841.22</v>
          </cell>
          <cell r="BL564">
            <v>23275.9</v>
          </cell>
        </row>
        <row r="566">
          <cell r="BE566">
            <v>33268.410000000003</v>
          </cell>
          <cell r="BF566">
            <v>37257.799999999996</v>
          </cell>
          <cell r="BG566">
            <v>35497.670000000006</v>
          </cell>
          <cell r="BH566">
            <v>35694.379999999997</v>
          </cell>
          <cell r="BI566">
            <v>33187.230000000003</v>
          </cell>
          <cell r="BJ566">
            <v>29362.959999999999</v>
          </cell>
          <cell r="BK566">
            <v>29505.56</v>
          </cell>
          <cell r="BL566">
            <v>27463.05</v>
          </cell>
        </row>
        <row r="567">
          <cell r="BE567">
            <v>1622.7</v>
          </cell>
          <cell r="BF567">
            <v>2948.6200000000003</v>
          </cell>
          <cell r="BG567">
            <v>2951.8099999999995</v>
          </cell>
          <cell r="BH567">
            <v>3017.0699999999997</v>
          </cell>
          <cell r="BI567">
            <v>2866.9300000000003</v>
          </cell>
          <cell r="BJ567">
            <v>1453.38</v>
          </cell>
          <cell r="BK567">
            <v>1470.8200000000002</v>
          </cell>
          <cell r="BL567">
            <v>1499.42</v>
          </cell>
        </row>
      </sheetData>
      <sheetData sheetId="3">
        <row r="469">
          <cell r="BE469">
            <v>809160.98675329366</v>
          </cell>
          <cell r="BF469">
            <v>1071254.4599813512</v>
          </cell>
          <cell r="BG469">
            <v>1680142.1969517451</v>
          </cell>
          <cell r="BH469">
            <v>1549159.9732561959</v>
          </cell>
          <cell r="BI469">
            <v>883715.81232185988</v>
          </cell>
          <cell r="BJ469">
            <v>780702.62930320622</v>
          </cell>
          <cell r="BK469">
            <v>742851.41676598019</v>
          </cell>
          <cell r="BL469">
            <v>714060.66453919455</v>
          </cell>
        </row>
        <row r="470">
          <cell r="BE470">
            <v>537802.83318863541</v>
          </cell>
          <cell r="BF470">
            <v>541913.82896535075</v>
          </cell>
          <cell r="BG470">
            <v>560847.86476079747</v>
          </cell>
          <cell r="BH470">
            <v>567398.83929440565</v>
          </cell>
          <cell r="BI470">
            <v>527664.21175423951</v>
          </cell>
          <cell r="BJ470">
            <v>539873.8652916326</v>
          </cell>
          <cell r="BK470">
            <v>512900.11207125895</v>
          </cell>
          <cell r="BL470">
            <v>505168.4123551175</v>
          </cell>
        </row>
        <row r="472">
          <cell r="BE472">
            <v>662059.2659845443</v>
          </cell>
          <cell r="BF472">
            <v>659287.88033451722</v>
          </cell>
          <cell r="BG472">
            <v>677971.99013522349</v>
          </cell>
          <cell r="BH472">
            <v>687633.64321714803</v>
          </cell>
          <cell r="BI472">
            <v>641971.7403635527</v>
          </cell>
          <cell r="BJ472">
            <v>664104.93450644228</v>
          </cell>
          <cell r="BK472">
            <v>629726.50192204921</v>
          </cell>
          <cell r="BL472">
            <v>622899.26208293927</v>
          </cell>
        </row>
        <row r="473">
          <cell r="BE473">
            <v>233671.63428090699</v>
          </cell>
          <cell r="BF473">
            <v>242496.40065536229</v>
          </cell>
          <cell r="BG473">
            <v>249661.45093026262</v>
          </cell>
          <cell r="BH473">
            <v>252042.37614390426</v>
          </cell>
          <cell r="BI473">
            <v>235656.22933895455</v>
          </cell>
          <cell r="BJ473">
            <v>235136.1071844839</v>
          </cell>
          <cell r="BK473">
            <v>223546.92707903613</v>
          </cell>
          <cell r="BL473">
            <v>217559.54251815798</v>
          </cell>
        </row>
        <row r="575">
          <cell r="BE575">
            <v>34498.660000000003</v>
          </cell>
          <cell r="BF575">
            <v>80853.63</v>
          </cell>
          <cell r="BG575">
            <v>128816.01000000001</v>
          </cell>
          <cell r="BH575">
            <v>119045.26999999999</v>
          </cell>
          <cell r="BI575">
            <v>67938.700000000012</v>
          </cell>
          <cell r="BJ575">
            <v>32744.260000000002</v>
          </cell>
          <cell r="BK575">
            <v>32663.990000000005</v>
          </cell>
          <cell r="BL575">
            <v>28506.29</v>
          </cell>
        </row>
        <row r="576">
          <cell r="BE576">
            <v>19983.010000000002</v>
          </cell>
          <cell r="BF576">
            <v>32622.14</v>
          </cell>
          <cell r="BG576">
            <v>33311.32</v>
          </cell>
          <cell r="BH576">
            <v>33530.22</v>
          </cell>
          <cell r="BI576">
            <v>31231.769999999997</v>
          </cell>
          <cell r="BJ576">
            <v>19884.349999999999</v>
          </cell>
          <cell r="BK576">
            <v>19010.78</v>
          </cell>
          <cell r="BL576">
            <v>17859.52</v>
          </cell>
        </row>
        <row r="578">
          <cell r="BE578">
            <v>16509.91</v>
          </cell>
          <cell r="BF578">
            <v>23102.5</v>
          </cell>
          <cell r="BG578">
            <v>22970.870000000003</v>
          </cell>
          <cell r="BH578">
            <v>23022.829999999998</v>
          </cell>
          <cell r="BI578">
            <v>21501.39</v>
          </cell>
          <cell r="BJ578">
            <v>15119.240000000002</v>
          </cell>
          <cell r="BK578">
            <v>15190.96</v>
          </cell>
          <cell r="BL578">
            <v>13682.650000000001</v>
          </cell>
        </row>
        <row r="579">
          <cell r="BE579">
            <v>4074.66</v>
          </cell>
          <cell r="BF579">
            <v>8378.01</v>
          </cell>
          <cell r="BG579">
            <v>8742.2999999999993</v>
          </cell>
          <cell r="BH579">
            <v>8749.630000000001</v>
          </cell>
          <cell r="BI579">
            <v>8241.7900000000009</v>
          </cell>
          <cell r="BJ579">
            <v>4024.33</v>
          </cell>
          <cell r="BK579">
            <v>4053.11</v>
          </cell>
          <cell r="BL579">
            <v>3481.58</v>
          </cell>
        </row>
      </sheetData>
      <sheetData sheetId="4">
        <row r="577">
          <cell r="BE577">
            <v>117822.58646481149</v>
          </cell>
          <cell r="BF577">
            <v>236166.12940715396</v>
          </cell>
          <cell r="BG577">
            <v>419168.65872260812</v>
          </cell>
          <cell r="BH577">
            <v>502463.18463772093</v>
          </cell>
          <cell r="BI577">
            <v>385612.40026687272</v>
          </cell>
          <cell r="BJ577">
            <v>408808.33203316835</v>
          </cell>
          <cell r="BK577">
            <v>450925.71757206158</v>
          </cell>
          <cell r="BL577">
            <v>551703.89770194353</v>
          </cell>
        </row>
        <row r="578">
          <cell r="BE578">
            <v>238273.28558154925</v>
          </cell>
          <cell r="BF578">
            <v>241731.70940755753</v>
          </cell>
          <cell r="BG578">
            <v>316683.72306022834</v>
          </cell>
          <cell r="BH578">
            <v>406108.50864431192</v>
          </cell>
          <cell r="BI578">
            <v>399388.53465319681</v>
          </cell>
          <cell r="BJ578">
            <v>441400.6690605724</v>
          </cell>
          <cell r="BK578">
            <v>487833.63166996668</v>
          </cell>
          <cell r="BL578">
            <v>733459.49015905324</v>
          </cell>
        </row>
        <row r="580">
          <cell r="BE580">
            <v>274204.38508547982</v>
          </cell>
          <cell r="BF580">
            <v>283266.02678494016</v>
          </cell>
          <cell r="BG580">
            <v>447343.03035344271</v>
          </cell>
          <cell r="BH580">
            <v>616758.31972254033</v>
          </cell>
          <cell r="BI580">
            <v>582356.83616847603</v>
          </cell>
          <cell r="BJ580">
            <v>635992.11967340717</v>
          </cell>
          <cell r="BK580">
            <v>670587.36131718708</v>
          </cell>
          <cell r="BL580">
            <v>906993.98663754296</v>
          </cell>
        </row>
        <row r="581">
          <cell r="BE581">
            <v>267318.82671172533</v>
          </cell>
          <cell r="BF581">
            <v>267980.9892035434</v>
          </cell>
          <cell r="BG581">
            <v>281348.14766923845</v>
          </cell>
          <cell r="BH581">
            <v>292822.63919283543</v>
          </cell>
          <cell r="BI581">
            <v>276405.88995163061</v>
          </cell>
          <cell r="BJ581">
            <v>338749.43506454071</v>
          </cell>
          <cell r="BK581">
            <v>404152.65768920118</v>
          </cell>
          <cell r="BL581">
            <v>577793.00009938364</v>
          </cell>
        </row>
        <row r="711">
          <cell r="BE711">
            <v>3200.7700000000004</v>
          </cell>
          <cell r="BF711">
            <v>11226.089999999998</v>
          </cell>
          <cell r="BG711">
            <v>20943.610000000004</v>
          </cell>
          <cell r="BH711">
            <v>25208.619999999995</v>
          </cell>
          <cell r="BI711">
            <v>18872.84</v>
          </cell>
          <cell r="BJ711">
            <v>10992.260000000002</v>
          </cell>
          <cell r="BK711">
            <v>12734.900000000001</v>
          </cell>
          <cell r="BL711">
            <v>14419.689999999999</v>
          </cell>
        </row>
        <row r="712">
          <cell r="BE712">
            <v>8017.3899999999994</v>
          </cell>
          <cell r="BF712">
            <v>12615.99</v>
          </cell>
          <cell r="BG712">
            <v>15973.609999999999</v>
          </cell>
          <cell r="BH712">
            <v>20271.84</v>
          </cell>
          <cell r="BI712">
            <v>19977.199999999997</v>
          </cell>
          <cell r="BJ712">
            <v>14686.510000000002</v>
          </cell>
          <cell r="BK712">
            <v>16101.050000000001</v>
          </cell>
          <cell r="BL712">
            <v>23587.63</v>
          </cell>
        </row>
        <row r="714">
          <cell r="BE714">
            <v>5174.9400000000005</v>
          </cell>
          <cell r="BF714">
            <v>6269.98</v>
          </cell>
          <cell r="BG714">
            <v>9618.1999999999989</v>
          </cell>
          <cell r="BH714">
            <v>13387.369999999999</v>
          </cell>
          <cell r="BI714">
            <v>12631.279999999999</v>
          </cell>
          <cell r="BJ714">
            <v>11410.799999999997</v>
          </cell>
          <cell r="BK714">
            <v>12739.48</v>
          </cell>
          <cell r="BL714">
            <v>15953.979999999998</v>
          </cell>
        </row>
        <row r="715">
          <cell r="BE715">
            <v>622.26</v>
          </cell>
          <cell r="BF715">
            <v>1181.26</v>
          </cell>
          <cell r="BG715">
            <v>1480.54</v>
          </cell>
          <cell r="BH715">
            <v>1832.21</v>
          </cell>
          <cell r="BI715">
            <v>1815.9499999999998</v>
          </cell>
          <cell r="BJ715">
            <v>1071.3400000000001</v>
          </cell>
          <cell r="BK715">
            <v>1343.16</v>
          </cell>
          <cell r="BL715">
            <v>1963.8500000000001</v>
          </cell>
        </row>
      </sheetData>
      <sheetData sheetId="5">
        <row r="3">
          <cell r="O3">
            <v>101485.87000000001</v>
          </cell>
          <cell r="P3">
            <v>91990.670000000013</v>
          </cell>
          <cell r="Q3">
            <v>84748.849999999991</v>
          </cell>
          <cell r="R3">
            <v>97271.14</v>
          </cell>
          <cell r="S3">
            <v>98534.25999999998</v>
          </cell>
          <cell r="AB3">
            <v>10609.790000000003</v>
          </cell>
          <cell r="AC3">
            <v>9701.7100000000009</v>
          </cell>
          <cell r="AD3">
            <v>11747.900000000001</v>
          </cell>
          <cell r="AE3">
            <v>11659.040000000003</v>
          </cell>
          <cell r="AF3">
            <v>13192.269999999999</v>
          </cell>
          <cell r="AG3">
            <v>29052.009999999995</v>
          </cell>
          <cell r="AH3">
            <v>43236.22</v>
          </cell>
          <cell r="AI3">
            <v>39832.159999999996</v>
          </cell>
          <cell r="AJ3">
            <v>24017.440000000002</v>
          </cell>
          <cell r="AK3">
            <v>12238.250000000002</v>
          </cell>
          <cell r="AL3">
            <v>12214.770000000002</v>
          </cell>
          <cell r="AM3">
            <v>11715.720000000001</v>
          </cell>
        </row>
        <row r="4">
          <cell r="O4">
            <v>35781.25</v>
          </cell>
          <cell r="P4">
            <v>42982.130000000005</v>
          </cell>
          <cell r="Q4">
            <v>40337.57</v>
          </cell>
          <cell r="R4">
            <v>47360.979999999996</v>
          </cell>
          <cell r="S4">
            <v>49060.79</v>
          </cell>
          <cell r="AB4">
            <v>21983.67</v>
          </cell>
          <cell r="AC4">
            <v>19426.649999999998</v>
          </cell>
          <cell r="AD4">
            <v>22298.55</v>
          </cell>
          <cell r="AE4">
            <v>22737.890000000003</v>
          </cell>
          <cell r="AF4">
            <v>24387.140000000003</v>
          </cell>
          <cell r="AG4">
            <v>36146.9</v>
          </cell>
          <cell r="AH4">
            <v>36155.440000000002</v>
          </cell>
          <cell r="AI4">
            <v>36597.25</v>
          </cell>
          <cell r="AJ4">
            <v>34165.360000000001</v>
          </cell>
          <cell r="AK4">
            <v>24251.089999999989</v>
          </cell>
          <cell r="AL4">
            <v>22767.7</v>
          </cell>
          <cell r="AM4">
            <v>22222.54</v>
          </cell>
        </row>
        <row r="6">
          <cell r="O6">
            <v>37349.22</v>
          </cell>
          <cell r="P6">
            <v>41943.06</v>
          </cell>
          <cell r="Q6">
            <v>40118.449999999997</v>
          </cell>
          <cell r="R6">
            <v>48074.8</v>
          </cell>
          <cell r="S6">
            <v>48834.880000000005</v>
          </cell>
          <cell r="AB6">
            <v>14907.44</v>
          </cell>
          <cell r="AC6">
            <v>13696.360000000002</v>
          </cell>
          <cell r="AD6">
            <v>16214.400000000001</v>
          </cell>
          <cell r="AE6">
            <v>16445.560000000001</v>
          </cell>
          <cell r="AF6">
            <v>18377.190000000002</v>
          </cell>
          <cell r="AG6">
            <v>20678.589999999997</v>
          </cell>
          <cell r="AH6">
            <v>19718.07</v>
          </cell>
          <cell r="AI6">
            <v>19825.05</v>
          </cell>
          <cell r="AJ6">
            <v>18441.599999999995</v>
          </cell>
          <cell r="AK6">
            <v>16237.680000000002</v>
          </cell>
          <cell r="AL6">
            <v>16318.18</v>
          </cell>
          <cell r="AM6">
            <v>15179.77</v>
          </cell>
        </row>
        <row r="7">
          <cell r="O7">
            <v>4262.8100000000004</v>
          </cell>
          <cell r="P7">
            <v>4912.869999999999</v>
          </cell>
          <cell r="Q7">
            <v>4659.22</v>
          </cell>
          <cell r="R7">
            <v>5641.01</v>
          </cell>
          <cell r="S7">
            <v>5636.32</v>
          </cell>
          <cell r="AB7">
            <v>2185.17</v>
          </cell>
          <cell r="AC7">
            <v>1990.3200000000002</v>
          </cell>
          <cell r="AD7">
            <v>2131.56</v>
          </cell>
          <cell r="AE7">
            <v>2058.7600000000002</v>
          </cell>
          <cell r="AF7">
            <v>2381.1</v>
          </cell>
          <cell r="AG7">
            <v>4302.9999999999991</v>
          </cell>
          <cell r="AH7">
            <v>4294.8999999999996</v>
          </cell>
          <cell r="AI7">
            <v>4393.6500000000005</v>
          </cell>
          <cell r="AJ7">
            <v>4190.8500000000004</v>
          </cell>
          <cell r="AK7">
            <v>2128.5500000000002</v>
          </cell>
          <cell r="AL7">
            <v>2158.8900000000003</v>
          </cell>
          <cell r="AM7">
            <v>2221.9300000000003</v>
          </cell>
        </row>
        <row r="18">
          <cell r="O18">
            <v>3060670.1552510704</v>
          </cell>
          <cell r="P18">
            <v>3138995.6353886039</v>
          </cell>
          <cell r="Q18">
            <v>2829811.100866532</v>
          </cell>
          <cell r="R18">
            <v>2933326.6746740979</v>
          </cell>
          <cell r="S18">
            <v>2860180.5919626988</v>
          </cell>
          <cell r="AB18">
            <v>433980.83875251428</v>
          </cell>
          <cell r="AC18">
            <v>388350.8957720602</v>
          </cell>
          <cell r="AD18">
            <v>433078.38014698314</v>
          </cell>
          <cell r="AE18">
            <v>411829.72032764141</v>
          </cell>
          <cell r="AF18">
            <v>457748.16738335771</v>
          </cell>
          <cell r="AG18">
            <v>578904.40538100235</v>
          </cell>
          <cell r="AH18">
            <v>797435.60320963897</v>
          </cell>
          <cell r="AI18">
            <v>733532.70124640467</v>
          </cell>
          <cell r="AJ18">
            <v>464332.83579149027</v>
          </cell>
          <cell r="AK18">
            <v>430638.00108076649</v>
          </cell>
          <cell r="AL18">
            <v>409643.48244752717</v>
          </cell>
          <cell r="AM18">
            <v>430125.99536061543</v>
          </cell>
        </row>
        <row r="19">
          <cell r="O19">
            <v>1061075.5002189265</v>
          </cell>
          <cell r="P19">
            <v>1257720.1691149792</v>
          </cell>
          <cell r="Q19">
            <v>1212116.3451117335</v>
          </cell>
          <cell r="R19">
            <v>1367330.4328283297</v>
          </cell>
          <cell r="S19">
            <v>1331898.8227668423</v>
          </cell>
          <cell r="AB19">
            <v>705402.79563128715</v>
          </cell>
          <cell r="AC19">
            <v>637720.50567784323</v>
          </cell>
          <cell r="AD19">
            <v>706604.00326104742</v>
          </cell>
          <cell r="AE19">
            <v>674557.87583369995</v>
          </cell>
          <cell r="AF19">
            <v>707346.51942194172</v>
          </cell>
          <cell r="AG19">
            <v>678964.25056612899</v>
          </cell>
          <cell r="AH19">
            <v>697540.12621486734</v>
          </cell>
          <cell r="AI19">
            <v>710460.08120955038</v>
          </cell>
          <cell r="AJ19">
            <v>662932.78059441759</v>
          </cell>
          <cell r="AK19">
            <v>708461.58442774555</v>
          </cell>
          <cell r="AL19">
            <v>670563.4393262635</v>
          </cell>
          <cell r="AM19">
            <v>672629.53794626694</v>
          </cell>
        </row>
        <row r="21">
          <cell r="O21">
            <v>1958250.7656708902</v>
          </cell>
          <cell r="P21">
            <v>2290347.0081349681</v>
          </cell>
          <cell r="Q21">
            <v>2174955.6051333621</v>
          </cell>
          <cell r="R21">
            <v>2424855.6024762811</v>
          </cell>
          <cell r="S21">
            <v>2324260.2489616997</v>
          </cell>
          <cell r="AB21">
            <v>874984.15452478896</v>
          </cell>
          <cell r="AC21">
            <v>790967.54766401835</v>
          </cell>
          <cell r="AD21">
            <v>876163.53844351426</v>
          </cell>
          <cell r="AE21">
            <v>837080.49381043517</v>
          </cell>
          <cell r="AF21">
            <v>877133.87776267575</v>
          </cell>
          <cell r="AG21">
            <v>841985.24388949596</v>
          </cell>
          <cell r="AH21">
            <v>865103.28913408413</v>
          </cell>
          <cell r="AI21">
            <v>881057.94290631358</v>
          </cell>
          <cell r="AJ21">
            <v>822603.47993441927</v>
          </cell>
          <cell r="AK21">
            <v>879258.89881184325</v>
          </cell>
          <cell r="AL21">
            <v>832477.4459780273</v>
          </cell>
          <cell r="AM21">
            <v>835093.80177186476</v>
          </cell>
        </row>
        <row r="22">
          <cell r="O22">
            <v>513665.20019015961</v>
          </cell>
          <cell r="P22">
            <v>701674.84105043265</v>
          </cell>
          <cell r="Q22">
            <v>723403.52970036247</v>
          </cell>
          <cell r="R22">
            <v>808939.34946038167</v>
          </cell>
          <cell r="S22">
            <v>798686.42110504652</v>
          </cell>
          <cell r="AB22">
            <v>658767.31121616694</v>
          </cell>
          <cell r="AC22">
            <v>595567.56104820955</v>
          </cell>
          <cell r="AD22">
            <v>659756.97360585758</v>
          </cell>
          <cell r="AE22">
            <v>629915.58954216994</v>
          </cell>
          <cell r="AF22">
            <v>660447.61742575769</v>
          </cell>
          <cell r="AG22">
            <v>633689.16103659477</v>
          </cell>
          <cell r="AH22">
            <v>651030.08193317219</v>
          </cell>
          <cell r="AI22">
            <v>663111.55497446202</v>
          </cell>
          <cell r="AJ22">
            <v>618812.47117056092</v>
          </cell>
          <cell r="AK22">
            <v>661576.33050201705</v>
          </cell>
          <cell r="AL22">
            <v>626207.18684387312</v>
          </cell>
          <cell r="AM22">
            <v>628240.79025864846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efreshError="1"/>
      <sheetData sheetId="2" refreshError="1"/>
      <sheetData sheetId="3" refreshError="1"/>
      <sheetData sheetId="4" refreshError="1"/>
      <sheetData sheetId="5">
        <row r="3">
          <cell r="M3">
            <v>101532.21</v>
          </cell>
          <cell r="N3">
            <v>92074.930000000008</v>
          </cell>
          <cell r="O3">
            <v>84825.56</v>
          </cell>
          <cell r="P3">
            <v>97370.91</v>
          </cell>
          <cell r="Q3">
            <v>98632.409999999989</v>
          </cell>
        </row>
        <row r="4">
          <cell r="M4">
            <v>35781.25</v>
          </cell>
          <cell r="N4">
            <v>42982.130000000005</v>
          </cell>
          <cell r="O4">
            <v>40337.57</v>
          </cell>
          <cell r="P4">
            <v>47360.979999999996</v>
          </cell>
          <cell r="Q4">
            <v>49060.79</v>
          </cell>
        </row>
        <row r="6">
          <cell r="M6">
            <v>37349.22</v>
          </cell>
          <cell r="N6">
            <v>41943.06</v>
          </cell>
          <cell r="O6">
            <v>40118.449999999997</v>
          </cell>
          <cell r="P6">
            <v>48074.8</v>
          </cell>
          <cell r="Q6">
            <v>48834.880000000005</v>
          </cell>
        </row>
        <row r="7">
          <cell r="M7">
            <v>4262.8100000000004</v>
          </cell>
          <cell r="N7">
            <v>4912.869999999999</v>
          </cell>
          <cell r="O7">
            <v>4659.22</v>
          </cell>
          <cell r="P7">
            <v>5641.01</v>
          </cell>
          <cell r="Q7">
            <v>5636.32</v>
          </cell>
        </row>
        <row r="18">
          <cell r="M18">
            <v>3061830.8963615741</v>
          </cell>
          <cell r="N18">
            <v>3141346.629949355</v>
          </cell>
          <cell r="O18">
            <v>2831906.6197362435</v>
          </cell>
          <cell r="P18">
            <v>2935820.4543232764</v>
          </cell>
          <cell r="Q18">
            <v>2862534.0592861949</v>
          </cell>
        </row>
        <row r="19">
          <cell r="M19">
            <v>1061075.5002189265</v>
          </cell>
          <cell r="N19">
            <v>1257720.1691149792</v>
          </cell>
          <cell r="O19">
            <v>1212116.3451117335</v>
          </cell>
          <cell r="P19">
            <v>1367330.4328283297</v>
          </cell>
          <cell r="Q19">
            <v>1331898.8227668423</v>
          </cell>
        </row>
        <row r="21">
          <cell r="M21">
            <v>1958250.7656708902</v>
          </cell>
          <cell r="N21">
            <v>2290347.0081349681</v>
          </cell>
          <cell r="O21">
            <v>2174955.6051333621</v>
          </cell>
          <cell r="P21">
            <v>2424855.6024762811</v>
          </cell>
          <cell r="Q21">
            <v>2324260.2489616997</v>
          </cell>
        </row>
        <row r="22">
          <cell r="M22">
            <v>513665.20019015961</v>
          </cell>
          <cell r="N22">
            <v>701674.84105043265</v>
          </cell>
          <cell r="O22">
            <v>723403.52970036247</v>
          </cell>
          <cell r="P22">
            <v>808939.34946038167</v>
          </cell>
          <cell r="Q22">
            <v>798686.42110504652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cell r="AN571">
            <v>10271.900000000009</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cell r="AN572">
            <v>1616.2300000000032</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cell r="AN574">
            <v>912.42000000000007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cell r="AN575">
            <v>164.91000000000167</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cell r="AN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cell r="AN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cell r="AN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cell r="AN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155.63999999999999</v>
          </cell>
          <cell r="AL55">
            <v>195.78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79.73</v>
          </cell>
          <cell r="AL56">
            <v>94.76</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33</v>
          </cell>
          <cell r="AL58">
            <v>39.630000000000003</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-2.2999999999999998</v>
          </cell>
          <cell r="AL59">
            <v>-2.36</v>
          </cell>
        </row>
      </sheetData>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1831459.6889999998</v>
          </cell>
          <cell r="AP22">
            <v>286244.42</v>
          </cell>
          <cell r="AR22">
            <v>619125.67000000016</v>
          </cell>
          <cell r="AS22">
            <v>500775.76</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Program Costs Ext"/>
    </sheetNames>
    <sheetDataSet>
      <sheetData sheetId="0">
        <row r="301">
          <cell r="BN301">
            <v>587534.86999999988</v>
          </cell>
          <cell r="BO301">
            <v>839053.47000000009</v>
          </cell>
          <cell r="BP301">
            <v>67323.439999999988</v>
          </cell>
          <cell r="BQ301">
            <v>16968.710000000003</v>
          </cell>
          <cell r="BR301">
            <v>16968.710000000003</v>
          </cell>
          <cell r="BS301">
            <v>16968.710000000003</v>
          </cell>
          <cell r="BT301">
            <v>16968.710000000003</v>
          </cell>
          <cell r="BU301">
            <v>0</v>
          </cell>
          <cell r="BV301">
            <v>0</v>
          </cell>
          <cell r="BW301">
            <v>0</v>
          </cell>
          <cell r="BX301">
            <v>0</v>
          </cell>
          <cell r="BY301">
            <v>0</v>
          </cell>
          <cell r="BZ301">
            <v>0</v>
          </cell>
          <cell r="CA301">
            <v>0</v>
          </cell>
        </row>
        <row r="302">
          <cell r="BN302">
            <v>261676.07999999996</v>
          </cell>
          <cell r="BO302">
            <v>651396.07999999996</v>
          </cell>
          <cell r="BP302">
            <v>29664.66</v>
          </cell>
          <cell r="BQ302">
            <v>6113.6399999999994</v>
          </cell>
          <cell r="BR302">
            <v>6113.6399999999994</v>
          </cell>
          <cell r="BS302">
            <v>6113.6399999999994</v>
          </cell>
          <cell r="BT302">
            <v>6113.6399999999994</v>
          </cell>
          <cell r="BU302">
            <v>0</v>
          </cell>
          <cell r="BV302">
            <v>0</v>
          </cell>
          <cell r="BW302">
            <v>0</v>
          </cell>
          <cell r="BX302">
            <v>0</v>
          </cell>
          <cell r="BY302">
            <v>0</v>
          </cell>
          <cell r="BZ302">
            <v>0</v>
          </cell>
          <cell r="CA302">
            <v>0</v>
          </cell>
        </row>
        <row r="304">
          <cell r="BN304">
            <v>251152.5</v>
          </cell>
          <cell r="BO304">
            <v>625199.47</v>
          </cell>
          <cell r="BP304">
            <v>28471.67</v>
          </cell>
          <cell r="BQ304">
            <v>5867.76</v>
          </cell>
          <cell r="BR304">
            <v>5867.76</v>
          </cell>
          <cell r="BS304">
            <v>5867.76</v>
          </cell>
          <cell r="BT304">
            <v>5867.76</v>
          </cell>
          <cell r="BU304">
            <v>0</v>
          </cell>
          <cell r="BV304">
            <v>0</v>
          </cell>
          <cell r="BW304">
            <v>0</v>
          </cell>
          <cell r="BX304">
            <v>0</v>
          </cell>
          <cell r="BY304">
            <v>0</v>
          </cell>
          <cell r="BZ304">
            <v>0</v>
          </cell>
          <cell r="CA304">
            <v>0</v>
          </cell>
        </row>
        <row r="305">
          <cell r="BN305">
            <v>184814.26</v>
          </cell>
          <cell r="BO305">
            <v>460062.24000000005</v>
          </cell>
          <cell r="BP305">
            <v>20951.3</v>
          </cell>
          <cell r="BQ305">
            <v>4317.88</v>
          </cell>
          <cell r="BR305">
            <v>4317.88</v>
          </cell>
          <cell r="BS305">
            <v>4317.88</v>
          </cell>
          <cell r="BT305">
            <v>4317.88</v>
          </cell>
          <cell r="BU305">
            <v>0</v>
          </cell>
          <cell r="BV305">
            <v>0</v>
          </cell>
          <cell r="BW305">
            <v>0</v>
          </cell>
          <cell r="BX305">
            <v>0</v>
          </cell>
          <cell r="BY305">
            <v>0</v>
          </cell>
          <cell r="BZ305">
            <v>0</v>
          </cell>
          <cell r="CA305">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2">
          <cell r="AC572">
            <v>6551.8400000000256</v>
          </cell>
          <cell r="AD572">
            <v>6912.9499999999971</v>
          </cell>
          <cell r="AE572">
            <v>6056.6900000000169</v>
          </cell>
          <cell r="AF572">
            <v>5185.1299999999901</v>
          </cell>
          <cell r="AG572">
            <v>3728.2700000000041</v>
          </cell>
          <cell r="AH572">
            <v>5965.6700000000128</v>
          </cell>
          <cell r="AI572">
            <v>1176.4599999999919</v>
          </cell>
          <cell r="AJ572">
            <v>-9860.6799999999785</v>
          </cell>
          <cell r="AK572">
            <v>-7991.4799999999814</v>
          </cell>
          <cell r="AL572">
            <v>-5297.2599999999948</v>
          </cell>
          <cell r="AM572">
            <v>-5652.8099999999977</v>
          </cell>
          <cell r="AN572">
            <v>-7768.2599999999948</v>
          </cell>
          <cell r="AO572">
            <v>-5769.6100000000079</v>
          </cell>
          <cell r="AP572">
            <v>-5332.1300000000047</v>
          </cell>
          <cell r="AQ572">
            <v>-5912.8999999999942</v>
          </cell>
          <cell r="AR572">
            <v>-5970.0600000000049</v>
          </cell>
          <cell r="AS572">
            <v>-6454.1199999999953</v>
          </cell>
          <cell r="AT572">
            <v>-11797.079999999987</v>
          </cell>
          <cell r="AU572">
            <v>-14635.339999999938</v>
          </cell>
          <cell r="AV572">
            <v>-13961.589999999997</v>
          </cell>
          <cell r="AW572">
            <v>-10997.330000000002</v>
          </cell>
          <cell r="AX572">
            <v>-6093.0699999999924</v>
          </cell>
          <cell r="AY572">
            <v>-6189.9500000000116</v>
          </cell>
          <cell r="AZ572">
            <v>-6282.9700000000157</v>
          </cell>
          <cell r="BA572">
            <v>-5564.4800000000178</v>
          </cell>
          <cell r="BB572">
            <v>-5246.93</v>
          </cell>
          <cell r="BC572">
            <v>-5826.8700000000099</v>
          </cell>
          <cell r="BD572">
            <v>-5883.0399999999936</v>
          </cell>
          <cell r="BE572">
            <v>-6363.2200000000084</v>
          </cell>
          <cell r="BF572">
            <v>-11682.89</v>
          </cell>
          <cell r="BG572">
            <v>-14519.619999999995</v>
          </cell>
          <cell r="BH572">
            <v>-13841.640000000014</v>
          </cell>
          <cell r="BI572">
            <v>-10862.560000000012</v>
          </cell>
          <cell r="BJ572">
            <v>-6006.5300000000061</v>
          </cell>
        </row>
        <row r="573">
          <cell r="AC573">
            <v>4.3700000000000045</v>
          </cell>
          <cell r="AD573">
            <v>-3.410000000000025</v>
          </cell>
          <cell r="AE573">
            <v>-55.590000000000032</v>
          </cell>
          <cell r="AF573">
            <v>-164.78999999999974</v>
          </cell>
          <cell r="AG573">
            <v>-313.63999999999987</v>
          </cell>
          <cell r="AH573">
            <v>-614.38000000000011</v>
          </cell>
          <cell r="AI573">
            <v>-1072.6800000000003</v>
          </cell>
          <cell r="AJ573">
            <v>-1272.58</v>
          </cell>
          <cell r="AK573">
            <v>-1062.159999999998</v>
          </cell>
          <cell r="AL573">
            <v>-914.53999999999905</v>
          </cell>
          <cell r="AM573">
            <v>-1057.58</v>
          </cell>
          <cell r="AN573">
            <v>-2070.0699999999997</v>
          </cell>
          <cell r="AO573">
            <v>-2215.4900000000052</v>
          </cell>
          <cell r="AP573">
            <v>-1903.8700000000026</v>
          </cell>
          <cell r="AQ573">
            <v>-2173.5999999999949</v>
          </cell>
          <cell r="AR573">
            <v>-2209.3600000000006</v>
          </cell>
          <cell r="AS573">
            <v>-2377.9399999999987</v>
          </cell>
          <cell r="AT573">
            <v>-3455.8600000000006</v>
          </cell>
          <cell r="AU573">
            <v>-5528.2500000000036</v>
          </cell>
          <cell r="AV573">
            <v>-5303.6399999999921</v>
          </cell>
          <cell r="AW573">
            <v>-3249.16</v>
          </cell>
          <cell r="AX573">
            <v>-2354.5200000000004</v>
          </cell>
          <cell r="AY573">
            <v>-2200.4599999999991</v>
          </cell>
          <cell r="AZ573">
            <v>-2162.7599999999984</v>
          </cell>
          <cell r="BA573">
            <v>-2550.5599999999977</v>
          </cell>
          <cell r="BB573">
            <v>-2253.3700000000026</v>
          </cell>
          <cell r="BC573">
            <v>-2574.3599999999969</v>
          </cell>
          <cell r="BD573">
            <v>-2616.6100000000006</v>
          </cell>
          <cell r="BE573">
            <v>-2816.1499999999978</v>
          </cell>
          <cell r="BF573">
            <v>-4101.1500000000015</v>
          </cell>
          <cell r="BG573">
            <v>-6172.9000000000015</v>
          </cell>
          <cell r="BH573">
            <v>-5956.6699999999983</v>
          </cell>
          <cell r="BI573">
            <v>-3857.1099999999933</v>
          </cell>
          <cell r="BJ573">
            <v>-2788.5800000000017</v>
          </cell>
        </row>
        <row r="575">
          <cell r="AC575">
            <v>13.469999999999999</v>
          </cell>
          <cell r="AD575">
            <v>15.439999999999998</v>
          </cell>
          <cell r="AE575">
            <v>-39.599999999999909</v>
          </cell>
          <cell r="AF575">
            <v>-106.27999999999997</v>
          </cell>
          <cell r="AG575">
            <v>-150.38000000000011</v>
          </cell>
          <cell r="AH575">
            <v>-198.96000000000049</v>
          </cell>
          <cell r="AI575">
            <v>-254.47999999999911</v>
          </cell>
          <cell r="AJ575">
            <v>-355.24000000000069</v>
          </cell>
          <cell r="AK575">
            <v>-478.18999999999869</v>
          </cell>
          <cell r="AL575">
            <v>-604.14999999999782</v>
          </cell>
          <cell r="AM575">
            <v>-629.29000000000087</v>
          </cell>
          <cell r="AN575">
            <v>-1070.2099999999991</v>
          </cell>
          <cell r="AO575">
            <v>-906.93999999999869</v>
          </cell>
          <cell r="AP575">
            <v>-748.87000000000262</v>
          </cell>
          <cell r="AQ575">
            <v>-878.47999999999956</v>
          </cell>
          <cell r="AR575">
            <v>-886.39999999999782</v>
          </cell>
          <cell r="AS575">
            <v>-999.65999999999622</v>
          </cell>
          <cell r="AT575">
            <v>-1038.6200000000026</v>
          </cell>
          <cell r="AU575">
            <v>-972.76000000000568</v>
          </cell>
          <cell r="AV575">
            <v>-980.34999999999854</v>
          </cell>
          <cell r="AW575">
            <v>-905.97000000000116</v>
          </cell>
          <cell r="AX575">
            <v>-868.13999999999578</v>
          </cell>
          <cell r="AY575">
            <v>-870.45999999999913</v>
          </cell>
          <cell r="AZ575">
            <v>-818.42999999999665</v>
          </cell>
          <cell r="BA575">
            <v>-981.28999999999724</v>
          </cell>
          <cell r="BB575">
            <v>-903</v>
          </cell>
          <cell r="BC575">
            <v>-1060.7900000000045</v>
          </cell>
          <cell r="BD575">
            <v>-1070.4400000000023</v>
          </cell>
          <cell r="BE575">
            <v>-1206.3500000000022</v>
          </cell>
          <cell r="BF575">
            <v>-1267.8599999999933</v>
          </cell>
          <cell r="BG575">
            <v>-1190.7000000000116</v>
          </cell>
          <cell r="BH575">
            <v>-1199.6699999999983</v>
          </cell>
          <cell r="BI575">
            <v>-1109.2200000000048</v>
          </cell>
          <cell r="BJ575">
            <v>-1049.5499999999956</v>
          </cell>
        </row>
        <row r="576">
          <cell r="AC576">
            <v>-1.1100000000000136</v>
          </cell>
          <cell r="AD576">
            <v>-0.23000000000001819</v>
          </cell>
          <cell r="AE576">
            <v>-1.9500000000000455</v>
          </cell>
          <cell r="AF576">
            <v>-0.91999999999995907</v>
          </cell>
          <cell r="AG576">
            <v>5.010000000000673</v>
          </cell>
          <cell r="AH576">
            <v>27.850000000000364</v>
          </cell>
          <cell r="AI576">
            <v>23.739999999999782</v>
          </cell>
          <cell r="AJ576">
            <v>41.479999999999563</v>
          </cell>
          <cell r="AK576">
            <v>49.009999999999309</v>
          </cell>
          <cell r="AL576">
            <v>-4.9700000000002547</v>
          </cell>
          <cell r="AM576">
            <v>6.9899999999997817</v>
          </cell>
          <cell r="AN576">
            <v>-237.47000000000116</v>
          </cell>
          <cell r="AO576">
            <v>-187.56999999999994</v>
          </cell>
          <cell r="AP576">
            <v>-88.1099999999999</v>
          </cell>
          <cell r="AQ576">
            <v>-83.019999999999982</v>
          </cell>
          <cell r="AR576">
            <v>-77.180000000000064</v>
          </cell>
          <cell r="AS576">
            <v>-95.2199999999998</v>
          </cell>
          <cell r="AT576">
            <v>-152.86999999999989</v>
          </cell>
          <cell r="AU576">
            <v>-145.6899999999996</v>
          </cell>
          <cell r="AV576">
            <v>-152.74999999999955</v>
          </cell>
          <cell r="AW576">
            <v>-146.66000000000031</v>
          </cell>
          <cell r="AX576">
            <v>-77.529999999999745</v>
          </cell>
          <cell r="AY576">
            <v>-78.879999999999882</v>
          </cell>
          <cell r="AZ576">
            <v>-93.8900000000001</v>
          </cell>
          <cell r="BA576">
            <v>-121.15999999999985</v>
          </cell>
          <cell r="BB576">
            <v>-110.2800000000002</v>
          </cell>
          <cell r="BC576">
            <v>-106.41999999999985</v>
          </cell>
          <cell r="BD576">
            <v>-99.630000000000109</v>
          </cell>
          <cell r="BE576">
            <v>-121.46000000000004</v>
          </cell>
          <cell r="BF576">
            <v>-199.54000000000042</v>
          </cell>
          <cell r="BG576">
            <v>-192.03999999999951</v>
          </cell>
          <cell r="BH576">
            <v>-200.30999999999995</v>
          </cell>
          <cell r="BI576">
            <v>-191.93000000000029</v>
          </cell>
          <cell r="BJ576">
            <v>-100.6400000000001</v>
          </cell>
        </row>
      </sheetData>
      <sheetData sheetId="5">
        <row r="437">
          <cell r="AC437">
            <v>40.349999999976717</v>
          </cell>
          <cell r="AD437">
            <v>191.60000000000582</v>
          </cell>
          <cell r="AE437">
            <v>275.30999999999767</v>
          </cell>
          <cell r="AF437">
            <v>309.49000000000524</v>
          </cell>
          <cell r="AG437">
            <v>414.01999999998952</v>
          </cell>
          <cell r="AH437">
            <v>254.6699999999837</v>
          </cell>
          <cell r="AI437">
            <v>12.889999999984866</v>
          </cell>
          <cell r="AJ437">
            <v>0.41999999999825377</v>
          </cell>
          <cell r="AK437">
            <v>582.20999999999185</v>
          </cell>
          <cell r="AL437">
            <v>658.2899999999936</v>
          </cell>
          <cell r="AM437">
            <v>761.27000000000407</v>
          </cell>
          <cell r="AN437">
            <v>1238.6100000000006</v>
          </cell>
          <cell r="AO437">
            <v>-1847.2400000000052</v>
          </cell>
          <cell r="AP437">
            <v>-1669.4199999999983</v>
          </cell>
          <cell r="AQ437">
            <v>-1752.6300000000047</v>
          </cell>
          <cell r="AR437">
            <v>-1764.6800000000003</v>
          </cell>
          <cell r="AS437">
            <v>-1880.3200000000143</v>
          </cell>
          <cell r="AT437">
            <v>-2805.7800000000134</v>
          </cell>
          <cell r="AU437">
            <v>-3039.7400000000198</v>
          </cell>
          <cell r="AV437">
            <v>-3017.9100000000035</v>
          </cell>
          <cell r="AW437">
            <v>-2939.6300000000047</v>
          </cell>
          <cell r="AX437">
            <v>-1777.1100000000079</v>
          </cell>
          <cell r="AY437">
            <v>-1799.3099999999977</v>
          </cell>
          <cell r="AZ437">
            <v>-2015.7399999999907</v>
          </cell>
          <cell r="BA437">
            <v>0</v>
          </cell>
          <cell r="BB437">
            <v>0</v>
          </cell>
          <cell r="BC437">
            <v>0</v>
          </cell>
          <cell r="BD437">
            <v>9.9999999947613105E-3</v>
          </cell>
          <cell r="BE437">
            <v>0</v>
          </cell>
          <cell r="BF437">
            <v>-1.0000000009313226E-2</v>
          </cell>
          <cell r="BG437">
            <v>0</v>
          </cell>
          <cell r="BH437">
            <v>1.0000000009313226E-2</v>
          </cell>
          <cell r="BI437">
            <v>0</v>
          </cell>
          <cell r="BJ437">
            <v>0</v>
          </cell>
        </row>
        <row r="438">
          <cell r="AC438">
            <v>-2.0300000000000011</v>
          </cell>
          <cell r="AD438">
            <v>-6.2599999999999909</v>
          </cell>
          <cell r="AE438">
            <v>-18.169999999999959</v>
          </cell>
          <cell r="AF438">
            <v>-41.3599999999999</v>
          </cell>
          <cell r="AG438">
            <v>-74.629999999999654</v>
          </cell>
          <cell r="AH438">
            <v>-138.0600000000004</v>
          </cell>
          <cell r="AI438">
            <v>-154.75</v>
          </cell>
          <cell r="AJ438">
            <v>-200.4900000000016</v>
          </cell>
          <cell r="AK438">
            <v>-228.19000000000233</v>
          </cell>
          <cell r="AL438">
            <v>-187.76000000000022</v>
          </cell>
          <cell r="AM438">
            <v>-222.46000000000095</v>
          </cell>
          <cell r="AN438">
            <v>-431.15999999999985</v>
          </cell>
          <cell r="AO438">
            <v>2920.8100000000013</v>
          </cell>
          <cell r="AP438">
            <v>2512.1999999999971</v>
          </cell>
          <cell r="AQ438">
            <v>2880.619999999999</v>
          </cell>
          <cell r="AR438">
            <v>2927.4000000000015</v>
          </cell>
          <cell r="AS438">
            <v>3149.8500000000022</v>
          </cell>
          <cell r="AT438">
            <v>4638.4500000000044</v>
          </cell>
          <cell r="AU438">
            <v>4633.7700000000077</v>
          </cell>
          <cell r="AV438">
            <v>4694.0199999999968</v>
          </cell>
          <cell r="AW438">
            <v>4370.0300000000025</v>
          </cell>
          <cell r="AX438">
            <v>3120.09</v>
          </cell>
          <cell r="AY438">
            <v>2922.75</v>
          </cell>
          <cell r="AZ438">
            <v>2858.5499999999993</v>
          </cell>
          <cell r="BA438">
            <v>0</v>
          </cell>
          <cell r="BB438">
            <v>-1.0000000002037268E-2</v>
          </cell>
          <cell r="BC438">
            <v>0</v>
          </cell>
          <cell r="BD438">
            <v>0</v>
          </cell>
          <cell r="BE438">
            <v>-9.9999999983992893E-3</v>
          </cell>
          <cell r="BF438">
            <v>0</v>
          </cell>
          <cell r="BG438">
            <v>1.0000000002037268E-2</v>
          </cell>
          <cell r="BH438">
            <v>0</v>
          </cell>
          <cell r="BI438">
            <v>0</v>
          </cell>
          <cell r="BJ438">
            <v>-2.0000000000436557E-2</v>
          </cell>
        </row>
        <row r="440">
          <cell r="AC440">
            <v>0</v>
          </cell>
          <cell r="AD440">
            <v>-2.3599999999999852</v>
          </cell>
          <cell r="AE440">
            <v>-15.409999999999968</v>
          </cell>
          <cell r="AF440">
            <v>-30.590000000000146</v>
          </cell>
          <cell r="AG440">
            <v>-42.990000000000236</v>
          </cell>
          <cell r="AH440">
            <v>-63.339999999999236</v>
          </cell>
          <cell r="AI440">
            <v>-76.780000000000655</v>
          </cell>
          <cell r="AJ440">
            <v>-47.739999999999782</v>
          </cell>
          <cell r="AK440">
            <v>24.350000000000364</v>
          </cell>
          <cell r="AL440">
            <v>81.910000000003492</v>
          </cell>
          <cell r="AM440">
            <v>203.97000000000116</v>
          </cell>
          <cell r="AN440">
            <v>200.97999999999593</v>
          </cell>
          <cell r="AO440">
            <v>1335.9799999999959</v>
          </cell>
          <cell r="AP440">
            <v>1107.9500000000007</v>
          </cell>
          <cell r="AQ440">
            <v>1310.4499999999971</v>
          </cell>
          <cell r="AR440">
            <v>1322.9399999999987</v>
          </cell>
          <cell r="AS440">
            <v>1485.6399999999994</v>
          </cell>
          <cell r="AT440">
            <v>1647.6600000000035</v>
          </cell>
          <cell r="AU440">
            <v>1566.5299999999952</v>
          </cell>
          <cell r="AV440">
            <v>1576.4700000000012</v>
          </cell>
          <cell r="AW440">
            <v>1460.9900000000016</v>
          </cell>
          <cell r="AX440">
            <v>1304.0599999999977</v>
          </cell>
          <cell r="AY440">
            <v>1308.1799999999967</v>
          </cell>
          <cell r="AZ440">
            <v>1219.4799999999996</v>
          </cell>
          <cell r="BA440">
            <v>-1.0000000002037268E-2</v>
          </cell>
          <cell r="BB440">
            <v>9.9999999983992893E-3</v>
          </cell>
          <cell r="BC440">
            <v>0</v>
          </cell>
          <cell r="BD440">
            <v>-9.9999999983992893E-3</v>
          </cell>
          <cell r="BE440">
            <v>0</v>
          </cell>
          <cell r="BF440">
            <v>0</v>
          </cell>
          <cell r="BG440">
            <v>0</v>
          </cell>
          <cell r="BH440">
            <v>0</v>
          </cell>
          <cell r="BI440">
            <v>-9.9999999983992893E-3</v>
          </cell>
          <cell r="BJ440">
            <v>0</v>
          </cell>
        </row>
        <row r="441">
          <cell r="AC441">
            <v>-2.3100000000000023</v>
          </cell>
          <cell r="AD441">
            <v>-25.129999999999995</v>
          </cell>
          <cell r="AE441">
            <v>-52.590000000000032</v>
          </cell>
          <cell r="AF441">
            <v>-48.909999999999854</v>
          </cell>
          <cell r="AG441">
            <v>-9.5199999999999818</v>
          </cell>
          <cell r="AH441">
            <v>37.260000000000218</v>
          </cell>
          <cell r="AI441">
            <v>34.900000000000546</v>
          </cell>
          <cell r="AJ441">
            <v>35.260000000000218</v>
          </cell>
          <cell r="AK441">
            <v>33.880000000000109</v>
          </cell>
          <cell r="AL441">
            <v>27.329999999999927</v>
          </cell>
          <cell r="AM441">
            <v>24.530000000000655</v>
          </cell>
          <cell r="AN441">
            <v>-24.399999999998727</v>
          </cell>
          <cell r="AO441">
            <v>292.63999999999965</v>
          </cell>
          <cell r="AP441">
            <v>159.39999999999986</v>
          </cell>
          <cell r="AQ441">
            <v>168.27000000000021</v>
          </cell>
          <cell r="AR441">
            <v>161.3599999999999</v>
          </cell>
          <cell r="AS441">
            <v>188.62999999999988</v>
          </cell>
          <cell r="AT441">
            <v>335.44999999999982</v>
          </cell>
          <cell r="AU441">
            <v>333.17000000000007</v>
          </cell>
          <cell r="AV441">
            <v>341.91999999999962</v>
          </cell>
          <cell r="AW441">
            <v>325.44000000000005</v>
          </cell>
          <cell r="AX441">
            <v>166.11999999999966</v>
          </cell>
          <cell r="AY441">
            <v>168.27999999999997</v>
          </cell>
          <cell r="AZ441">
            <v>176.41000000000008</v>
          </cell>
          <cell r="BA441">
            <v>-1.999999999998181E-2</v>
          </cell>
          <cell r="BB441">
            <v>0</v>
          </cell>
          <cell r="BC441">
            <v>0</v>
          </cell>
          <cell r="BD441">
            <v>0</v>
          </cell>
          <cell r="BE441">
            <v>9.9999999999909051E-3</v>
          </cell>
          <cell r="BF441">
            <v>0</v>
          </cell>
          <cell r="BG441">
            <v>1.0000000000218279E-2</v>
          </cell>
          <cell r="BH441">
            <v>0</v>
          </cell>
          <cell r="BI441">
            <v>0</v>
          </cell>
          <cell r="BJ441">
            <v>-1.0000000000218279E-2</v>
          </cell>
        </row>
      </sheetData>
      <sheetData sheetId="6">
        <row r="7">
          <cell r="BD7">
            <v>-11682.89</v>
          </cell>
        </row>
        <row r="55">
          <cell r="AA55">
            <v>8.9</v>
          </cell>
          <cell r="AB55">
            <v>27.62</v>
          </cell>
          <cell r="AC55">
            <v>47.75</v>
          </cell>
          <cell r="AD55">
            <v>10.19</v>
          </cell>
          <cell r="AE55">
            <v>14.59</v>
          </cell>
          <cell r="AF55">
            <v>20.61</v>
          </cell>
          <cell r="AG55">
            <v>30.53</v>
          </cell>
          <cell r="AH55">
            <v>32.479999999999997</v>
          </cell>
          <cell r="AI55">
            <v>27.84</v>
          </cell>
          <cell r="AJ55">
            <v>23.86</v>
          </cell>
          <cell r="AK55">
            <v>19.86</v>
          </cell>
          <cell r="AL55">
            <v>12.77</v>
          </cell>
          <cell r="AM55">
            <v>0.65</v>
          </cell>
          <cell r="AN55">
            <v>-29.69</v>
          </cell>
          <cell r="AO55">
            <v>-60.87</v>
          </cell>
          <cell r="AP55">
            <v>-95.66</v>
          </cell>
          <cell r="AQ55">
            <v>-132.27000000000001</v>
          </cell>
          <cell r="AR55">
            <v>-184.8</v>
          </cell>
          <cell r="AS55">
            <v>-258.89</v>
          </cell>
          <cell r="AT55">
            <v>-340.17</v>
          </cell>
          <cell r="AU55">
            <v>-413.66</v>
          </cell>
          <cell r="AV55">
            <v>-473.21</v>
          </cell>
          <cell r="AW55">
            <v>-512.52</v>
          </cell>
          <cell r="AX55">
            <v>-553.02</v>
          </cell>
          <cell r="AY55">
            <v>-609.05999999999995</v>
          </cell>
          <cell r="AZ55">
            <v>-631.42999999999995</v>
          </cell>
          <cell r="BA55">
            <v>-641.91</v>
          </cell>
          <cell r="BB55">
            <v>-682.98</v>
          </cell>
          <cell r="BC55">
            <v>-710.59</v>
          </cell>
          <cell r="BD55">
            <v>-729.12</v>
          </cell>
          <cell r="BE55">
            <v>-756.48</v>
          </cell>
          <cell r="BF55">
            <v>-816.07</v>
          </cell>
          <cell r="BG55">
            <v>-867.66</v>
          </cell>
          <cell r="BH55">
            <v>-923.18</v>
          </cell>
        </row>
        <row r="56">
          <cell r="AA56">
            <v>0</v>
          </cell>
          <cell r="AB56">
            <v>-0.01</v>
          </cell>
          <cell r="AC56">
            <v>-0.13</v>
          </cell>
          <cell r="AD56">
            <v>-0.08</v>
          </cell>
          <cell r="AE56">
            <v>-0.25</v>
          </cell>
          <cell r="AF56">
            <v>-0.66</v>
          </cell>
          <cell r="AG56">
            <v>-1.7</v>
          </cell>
          <cell r="AH56">
            <v>-3.42</v>
          </cell>
          <cell r="AI56">
            <v>-5.63</v>
          </cell>
          <cell r="AJ56">
            <v>-8.06</v>
          </cell>
          <cell r="AK56">
            <v>-11.01</v>
          </cell>
          <cell r="AL56">
            <v>-16.010000000000002</v>
          </cell>
          <cell r="AM56">
            <v>-41.12</v>
          </cell>
          <cell r="AN56">
            <v>-38.630000000000003</v>
          </cell>
          <cell r="AO56">
            <v>-36.340000000000003</v>
          </cell>
          <cell r="AP56">
            <v>-34.81</v>
          </cell>
          <cell r="AQ56">
            <v>-32.090000000000003</v>
          </cell>
          <cell r="AR56">
            <v>-28.19</v>
          </cell>
          <cell r="AS56">
            <v>-27.83</v>
          </cell>
          <cell r="AT56">
            <v>-31.54</v>
          </cell>
          <cell r="AU56">
            <v>-30.65</v>
          </cell>
          <cell r="AV56">
            <v>-27.38</v>
          </cell>
          <cell r="AW56">
            <v>-24.09</v>
          </cell>
          <cell r="AX56">
            <v>-20.93</v>
          </cell>
          <cell r="AY56">
            <v>-26.26</v>
          </cell>
          <cell r="AZ56">
            <v>-37.65</v>
          </cell>
          <cell r="BA56">
            <v>-48.04</v>
          </cell>
          <cell r="BB56">
            <v>-60.86</v>
          </cell>
          <cell r="BC56">
            <v>-73.45</v>
          </cell>
          <cell r="BD56">
            <v>-86.78</v>
          </cell>
          <cell r="BE56">
            <v>-105.55</v>
          </cell>
          <cell r="BF56">
            <v>-131.54</v>
          </cell>
          <cell r="BG56">
            <v>-152.44999999999999</v>
          </cell>
          <cell r="BH56">
            <v>-169.32</v>
          </cell>
        </row>
        <row r="58">
          <cell r="AA58">
            <v>0.02</v>
          </cell>
          <cell r="AB58">
            <v>0.05</v>
          </cell>
          <cell r="AC58">
            <v>0</v>
          </cell>
          <cell r="AD58">
            <v>-0.04</v>
          </cell>
          <cell r="AE58">
            <v>-0.14000000000000001</v>
          </cell>
          <cell r="AF58">
            <v>-0.31</v>
          </cell>
          <cell r="AG58">
            <v>-0.66</v>
          </cell>
          <cell r="AH58">
            <v>-1.1599999999999999</v>
          </cell>
          <cell r="AI58">
            <v>-1.87</v>
          </cell>
          <cell r="AJ58">
            <v>-2.8</v>
          </cell>
          <cell r="AK58">
            <v>-3.91</v>
          </cell>
          <cell r="AL58">
            <v>-5.64</v>
          </cell>
          <cell r="AM58">
            <v>-14.1</v>
          </cell>
          <cell r="AN58">
            <v>-12.54</v>
          </cell>
          <cell r="AO58">
            <v>-11.03</v>
          </cell>
          <cell r="AP58">
            <v>-9.65</v>
          </cell>
          <cell r="AQ58">
            <v>-7.78</v>
          </cell>
          <cell r="AR58">
            <v>-5.46</v>
          </cell>
          <cell r="AS58">
            <v>-2.83</v>
          </cell>
          <cell r="AT58">
            <v>-0.17</v>
          </cell>
          <cell r="AU58">
            <v>2.46</v>
          </cell>
          <cell r="AV58">
            <v>4.6500000000000004</v>
          </cell>
          <cell r="AW58">
            <v>6.69</v>
          </cell>
          <cell r="AX58">
            <v>8.67</v>
          </cell>
          <cell r="AY58">
            <v>7.62</v>
          </cell>
          <cell r="AZ58">
            <v>3.05</v>
          </cell>
          <cell r="BA58">
            <v>-1.63</v>
          </cell>
          <cell r="BB58">
            <v>-6.46</v>
          </cell>
          <cell r="BC58">
            <v>-11.76</v>
          </cell>
          <cell r="BD58">
            <v>-16.989999999999998</v>
          </cell>
          <cell r="BE58">
            <v>-21.63</v>
          </cell>
          <cell r="BF58">
            <v>-26.75</v>
          </cell>
          <cell r="BG58">
            <v>-31.68</v>
          </cell>
          <cell r="BH58">
            <v>-36.81</v>
          </cell>
        </row>
        <row r="59">
          <cell r="AA59">
            <v>0</v>
          </cell>
          <cell r="AB59">
            <v>-0.04</v>
          </cell>
          <cell r="AC59">
            <v>-0.16</v>
          </cell>
          <cell r="AD59">
            <v>-0.05</v>
          </cell>
          <cell r="AE59">
            <v>-7.0000000000000007E-2</v>
          </cell>
          <cell r="AF59">
            <v>-7.0000000000000007E-2</v>
          </cell>
          <cell r="AG59">
            <v>-0.04</v>
          </cell>
          <cell r="AH59">
            <v>0.02</v>
          </cell>
          <cell r="AI59">
            <v>0.12</v>
          </cell>
          <cell r="AJ59">
            <v>0.21</v>
          </cell>
          <cell r="AK59">
            <v>0.28000000000000003</v>
          </cell>
          <cell r="AL59">
            <v>0.12</v>
          </cell>
          <cell r="AM59">
            <v>-0.04</v>
          </cell>
          <cell r="AN59">
            <v>0.32</v>
          </cell>
          <cell r="AO59">
            <v>0.66</v>
          </cell>
          <cell r="AP59">
            <v>1.04</v>
          </cell>
          <cell r="AQ59">
            <v>1.45</v>
          </cell>
          <cell r="AR59">
            <v>2.08</v>
          </cell>
          <cell r="AS59">
            <v>2.93</v>
          </cell>
          <cell r="AT59">
            <v>3.81</v>
          </cell>
          <cell r="AU59">
            <v>4.6900000000000004</v>
          </cell>
          <cell r="AV59">
            <v>5.41</v>
          </cell>
          <cell r="AW59">
            <v>5.85</v>
          </cell>
          <cell r="AX59">
            <v>6.28</v>
          </cell>
          <cell r="AY59">
            <v>6.44</v>
          </cell>
          <cell r="AZ59">
            <v>5.85</v>
          </cell>
          <cell r="BA59">
            <v>5.19</v>
          </cell>
          <cell r="BB59">
            <v>4.8600000000000003</v>
          </cell>
          <cell r="BC59">
            <v>4.34</v>
          </cell>
          <cell r="BD59">
            <v>3.48</v>
          </cell>
          <cell r="BE59">
            <v>2.4900000000000002</v>
          </cell>
          <cell r="BF59">
            <v>1.63</v>
          </cell>
          <cell r="BG59">
            <v>0.78</v>
          </cell>
          <cell r="BH59">
            <v>0.23</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E116">
            <v>1409245.8</v>
          </cell>
        </row>
        <row r="117">
          <cell r="E117">
            <v>366668.97000000003</v>
          </cell>
        </row>
        <row r="119">
          <cell r="E119">
            <v>351922.98000000004</v>
          </cell>
        </row>
        <row r="120">
          <cell r="E120">
            <v>258967.71000000002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Table of Contents"/>
      <sheetName val="Tariff Tables"/>
      <sheetName val="DSIM Cycle Tables"/>
      <sheetName val="PPC Cycle 3"/>
      <sheetName val="PCR Cycle 2"/>
      <sheetName val="PCR Cycle 3"/>
      <sheetName val="PCR Cycle 4"/>
      <sheetName val="PTD Cycle 2"/>
      <sheetName val="PTD Cycle 3"/>
      <sheetName val="TDR Cycle 2"/>
      <sheetName val="TDR Cycle 3"/>
      <sheetName val="EO Cycle 2"/>
      <sheetName val="EO Cycle 3"/>
      <sheetName val="EOR Cycle 2"/>
      <sheetName val="EOR Cycle 3"/>
      <sheetName val="OA Cycle 2"/>
      <sheetName val="OA Cycle 3"/>
      <sheetName val="OAR Cycle 2"/>
      <sheetName val="OAR Cycle 3"/>
    </sheetNames>
    <sheetDataSet>
      <sheetData sheetId="0"/>
      <sheetData sheetId="1">
        <row r="4">
          <cell r="G4">
            <v>3692703369</v>
          </cell>
        </row>
      </sheetData>
      <sheetData sheetId="2"/>
      <sheetData sheetId="3"/>
      <sheetData sheetId="4"/>
      <sheetData sheetId="5"/>
      <sheetData sheetId="6"/>
      <sheetData sheetId="7"/>
      <sheetData sheetId="8"/>
      <sheetData sheetId="9"/>
      <sheetData sheetId="10"/>
      <sheetData sheetId="11"/>
      <sheetData sheetId="12">
        <row r="73">
          <cell r="C73">
            <v>-87615.35</v>
          </cell>
          <cell r="D73">
            <v>-16793.62</v>
          </cell>
          <cell r="E73">
            <v>-1815.93</v>
          </cell>
        </row>
        <row r="77">
          <cell r="C77">
            <v>-39368.74</v>
          </cell>
          <cell r="D77">
            <v>34141.919999999998</v>
          </cell>
          <cell r="E77">
            <v>-375.54</v>
          </cell>
        </row>
        <row r="78">
          <cell r="C78">
            <v>-13044.06</v>
          </cell>
          <cell r="D78">
            <v>14350.67</v>
          </cell>
          <cell r="E78">
            <v>-72.91</v>
          </cell>
        </row>
        <row r="79">
          <cell r="C79">
            <v>-1299.17</v>
          </cell>
          <cell r="D79">
            <v>2502.6999999999998</v>
          </cell>
          <cell r="E79">
            <v>22.67</v>
          </cell>
        </row>
      </sheetData>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112023 12072023"/>
      <sheetName val="Input"/>
      <sheetName val="Program Descriptions"/>
    </sheetNames>
    <sheetDataSet>
      <sheetData sheetId="0">
        <row r="27">
          <cell r="N27">
            <v>373293.08</v>
          </cell>
          <cell r="O27">
            <v>122543.2</v>
          </cell>
          <cell r="Q27">
            <v>117614.99</v>
          </cell>
          <cell r="R27">
            <v>86548.73000000001</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Requirements"/>
      <sheetName val="Version Tracking"/>
      <sheetName val="Overview"/>
      <sheetName val="Main Inputs"/>
      <sheetName val="Margin Rates Inputs TOU"/>
      <sheetName val="Monthly LoadShapes TOU"/>
      <sheetName val="Billed kWh Sales"/>
      <sheetName val="Program Descriptions"/>
      <sheetName val="Evergy Counter Offer Budget"/>
      <sheetName val="NTG-RR"/>
      <sheetName val="DSMore Results-Metro"/>
      <sheetName val="DSMore Results-MO West"/>
      <sheetName val="Res DR Legacy MW"/>
      <sheetName val="Bus DR breakdown"/>
      <sheetName val="Credit Metrics Inputs"/>
      <sheetName val="Summary Fin Tables for Report"/>
      <sheetName val="DSIM (Rider)"/>
      <sheetName val="Credit Metrics (Rider Scenario)"/>
      <sheetName val="Exec Summary"/>
      <sheetName val="Program Totals"/>
      <sheetName val="Program Tables"/>
      <sheetName val="Monthly kWh-kW"/>
      <sheetName val="Monthly Program Costs"/>
      <sheetName val="Monthly TD Calc TOU"/>
      <sheetName val="Net Benefits"/>
      <sheetName val="Impact on kWh Sales"/>
      <sheetName val="EO Table"/>
      <sheetName val="EO Matrix @Meter"/>
      <sheetName val="EO"/>
      <sheetName val="EO Cap"/>
      <sheetName val="Cycle 4 DSIM Rate - Proposed"/>
      <sheetName val="Max Cycle 4 Rate - by Class"/>
      <sheetName val="Customer Rate-Bill Impacts"/>
      <sheetName val="Dashboard 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96">
          <cell r="H296">
            <v>395125.38</v>
          </cell>
          <cell r="I296">
            <v>395125.38</v>
          </cell>
          <cell r="J296">
            <v>623317.19999999995</v>
          </cell>
          <cell r="K296">
            <v>395125.38</v>
          </cell>
          <cell r="L296">
            <v>395125.38</v>
          </cell>
          <cell r="M296">
            <v>623317.19999999995</v>
          </cell>
          <cell r="N296">
            <v>395125.38</v>
          </cell>
          <cell r="O296">
            <v>395125.38</v>
          </cell>
          <cell r="P296">
            <v>623317.19999999995</v>
          </cell>
          <cell r="Q296">
            <v>395125.38</v>
          </cell>
          <cell r="R296">
            <v>395125.38</v>
          </cell>
          <cell r="S296">
            <v>623317.19999999995</v>
          </cell>
        </row>
        <row r="297">
          <cell r="H297">
            <v>27590.1</v>
          </cell>
          <cell r="I297">
            <v>27590.1</v>
          </cell>
          <cell r="J297">
            <v>208762.86</v>
          </cell>
          <cell r="K297">
            <v>192768.32</v>
          </cell>
          <cell r="L297">
            <v>192768.32</v>
          </cell>
          <cell r="M297">
            <v>208762.86</v>
          </cell>
          <cell r="N297">
            <v>32921.620000000003</v>
          </cell>
          <cell r="O297">
            <v>32921.620000000003</v>
          </cell>
          <cell r="P297">
            <v>48916.160000000003</v>
          </cell>
          <cell r="Q297">
            <v>43584.639999999999</v>
          </cell>
          <cell r="R297">
            <v>59579.18</v>
          </cell>
          <cell r="S297">
            <v>139551.88</v>
          </cell>
        </row>
        <row r="299">
          <cell r="H299">
            <v>44781.759999999995</v>
          </cell>
          <cell r="I299">
            <v>44781.759999999995</v>
          </cell>
          <cell r="J299">
            <v>489925.8</v>
          </cell>
          <cell r="K299">
            <v>476358.12</v>
          </cell>
          <cell r="L299">
            <v>476358.12</v>
          </cell>
          <cell r="M299">
            <v>489925.8</v>
          </cell>
          <cell r="N299">
            <v>49304.32</v>
          </cell>
          <cell r="O299">
            <v>49304.32</v>
          </cell>
          <cell r="P299">
            <v>62872.009999999995</v>
          </cell>
          <cell r="Q299">
            <v>58349.440000000002</v>
          </cell>
          <cell r="R299">
            <v>71917.13</v>
          </cell>
          <cell r="S299">
            <v>139755.57</v>
          </cell>
        </row>
        <row r="300">
          <cell r="H300">
            <v>48227.54</v>
          </cell>
          <cell r="I300">
            <v>48227.54</v>
          </cell>
          <cell r="J300">
            <v>596463.89</v>
          </cell>
          <cell r="K300">
            <v>587499.18999999994</v>
          </cell>
          <cell r="L300">
            <v>587499.18999999994</v>
          </cell>
          <cell r="M300">
            <v>596463.89</v>
          </cell>
          <cell r="N300">
            <v>51215.77</v>
          </cell>
          <cell r="O300">
            <v>51215.77</v>
          </cell>
          <cell r="P300">
            <v>60180.47</v>
          </cell>
          <cell r="Q300">
            <v>57192.24</v>
          </cell>
          <cell r="R300">
            <v>66156.929999999993</v>
          </cell>
          <cell r="S300">
            <v>110980.38999999998</v>
          </cell>
        </row>
      </sheetData>
      <sheetData sheetId="23">
        <row r="716">
          <cell r="F716">
            <v>188.74</v>
          </cell>
          <cell r="G716">
            <v>487.06000000000006</v>
          </cell>
          <cell r="H716">
            <v>1078.98</v>
          </cell>
          <cell r="I716">
            <v>1366.9</v>
          </cell>
          <cell r="J716">
            <v>2257.0099999999998</v>
          </cell>
          <cell r="K716">
            <v>21060.3</v>
          </cell>
          <cell r="L716">
            <v>37393.539999999994</v>
          </cell>
          <cell r="M716">
            <v>38920.240000000005</v>
          </cell>
          <cell r="N716">
            <v>29859.919999999998</v>
          </cell>
          <cell r="O716">
            <v>4402.58</v>
          </cell>
          <cell r="P716">
            <v>4789.99</v>
          </cell>
          <cell r="Q716">
            <v>6256.08</v>
          </cell>
        </row>
        <row r="717">
          <cell r="F717">
            <v>12.35</v>
          </cell>
          <cell r="G717">
            <v>33.68</v>
          </cell>
          <cell r="H717">
            <v>170.56</v>
          </cell>
          <cell r="I717">
            <v>231.88</v>
          </cell>
          <cell r="J717">
            <v>409.54</v>
          </cell>
          <cell r="K717">
            <v>1967.07</v>
          </cell>
          <cell r="L717">
            <v>2822.93</v>
          </cell>
          <cell r="M717">
            <v>3013.19</v>
          </cell>
          <cell r="N717">
            <v>2167.4499999999998</v>
          </cell>
          <cell r="O717">
            <v>701.08</v>
          </cell>
          <cell r="P717">
            <v>877.59</v>
          </cell>
          <cell r="Q717">
            <v>858.36</v>
          </cell>
        </row>
        <row r="719">
          <cell r="F719">
            <v>10.48</v>
          </cell>
          <cell r="G719">
            <v>28.57</v>
          </cell>
          <cell r="H719">
            <v>144.68</v>
          </cell>
          <cell r="I719">
            <v>196.7</v>
          </cell>
          <cell r="J719">
            <v>347.4</v>
          </cell>
          <cell r="K719">
            <v>1668.6</v>
          </cell>
          <cell r="L719">
            <v>2394.6</v>
          </cell>
          <cell r="M719">
            <v>2556</v>
          </cell>
          <cell r="N719">
            <v>1838.58</v>
          </cell>
          <cell r="O719">
            <v>594.71</v>
          </cell>
          <cell r="P719">
            <v>744.43</v>
          </cell>
          <cell r="Q719">
            <v>728.12</v>
          </cell>
        </row>
        <row r="720">
          <cell r="F720">
            <v>6.92</v>
          </cell>
          <cell r="G720">
            <v>18.88</v>
          </cell>
          <cell r="H720">
            <v>95.59</v>
          </cell>
          <cell r="I720">
            <v>129.97</v>
          </cell>
          <cell r="J720">
            <v>229.54</v>
          </cell>
          <cell r="K720">
            <v>1102.51</v>
          </cell>
          <cell r="L720">
            <v>1582.21</v>
          </cell>
          <cell r="M720">
            <v>1688.85</v>
          </cell>
          <cell r="N720">
            <v>1214.82</v>
          </cell>
          <cell r="O720">
            <v>392.94</v>
          </cell>
          <cell r="P720">
            <v>491.87</v>
          </cell>
          <cell r="Q720">
            <v>481.1</v>
          </cell>
        </row>
        <row r="749">
          <cell r="F749">
            <v>4427.3581852741809</v>
          </cell>
          <cell r="G749">
            <v>11433.619324719515</v>
          </cell>
          <cell r="H749">
            <v>24599.068778408669</v>
          </cell>
          <cell r="I749">
            <v>29990.571208197405</v>
          </cell>
          <cell r="J749">
            <v>45008.862221448668</v>
          </cell>
          <cell r="K749">
            <v>270836.60082287993</v>
          </cell>
          <cell r="L749">
            <v>483335.69022460346</v>
          </cell>
          <cell r="M749">
            <v>503308.34364454757</v>
          </cell>
          <cell r="N749">
            <v>392060.91839701962</v>
          </cell>
          <cell r="O749">
            <v>89111.66364707303</v>
          </cell>
          <cell r="P749">
            <v>105187.32750408507</v>
          </cell>
          <cell r="Q749">
            <v>144466.17624651454</v>
          </cell>
        </row>
        <row r="750">
          <cell r="F750">
            <v>495.75204857501524</v>
          </cell>
          <cell r="G750">
            <v>1364.7651164226747</v>
          </cell>
          <cell r="H750">
            <v>6630.6663912662752</v>
          </cell>
          <cell r="I750">
            <v>8470.7666121287402</v>
          </cell>
          <cell r="J750">
            <v>14389.890461438827</v>
          </cell>
          <cell r="K750">
            <v>48381.516313565109</v>
          </cell>
          <cell r="L750">
            <v>72306.214970273053</v>
          </cell>
          <cell r="M750">
            <v>77747.738206862399</v>
          </cell>
          <cell r="N750">
            <v>55903.155357722397</v>
          </cell>
          <cell r="O750">
            <v>25862.252320141586</v>
          </cell>
          <cell r="P750">
            <v>31896.633566749264</v>
          </cell>
          <cell r="Q750">
            <v>32434.74158381869</v>
          </cell>
        </row>
        <row r="752">
          <cell r="F752">
            <v>420.53156752462871</v>
          </cell>
          <cell r="G752">
            <v>1157.6892427612743</v>
          </cell>
          <cell r="H752">
            <v>5624.5950758389044</v>
          </cell>
          <cell r="I752">
            <v>7185.4968058589184</v>
          </cell>
          <cell r="J752">
            <v>12206.511722242329</v>
          </cell>
          <cell r="K752">
            <v>41040.586626004144</v>
          </cell>
          <cell r="L752">
            <v>61335.189659071337</v>
          </cell>
          <cell r="M752">
            <v>65951.07032559035</v>
          </cell>
          <cell r="N752">
            <v>47420.96703327803</v>
          </cell>
          <cell r="O752">
            <v>21938.171590350794</v>
          </cell>
          <cell r="P752">
            <v>27056.955893857637</v>
          </cell>
          <cell r="Q752">
            <v>27513.416756835864</v>
          </cell>
        </row>
        <row r="753">
          <cell r="F753">
            <v>277.86138545452189</v>
          </cell>
          <cell r="G753">
            <v>764.929821589683</v>
          </cell>
          <cell r="H753">
            <v>3716.3863573731583</v>
          </cell>
          <cell r="I753">
            <v>4747.7341817818951</v>
          </cell>
          <cell r="J753">
            <v>8065.3119067226226</v>
          </cell>
          <cell r="K753">
            <v>27117.094507060934</v>
          </cell>
          <cell r="L753">
            <v>40526.519509828016</v>
          </cell>
          <cell r="M753">
            <v>43576.409449461629</v>
          </cell>
          <cell r="N753">
            <v>31332.857309667143</v>
          </cell>
          <cell r="O753">
            <v>14495.393980326822</v>
          </cell>
          <cell r="P753">
            <v>17877.57170074723</v>
          </cell>
          <cell r="Q753">
            <v>18179.172953988389</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Monthly TD Calc"/>
    </sheetNames>
    <sheetDataSet>
      <sheetData sheetId="0" refreshError="1"/>
      <sheetData sheetId="1">
        <row r="44">
          <cell r="CZ44">
            <v>0.39209287804949344</v>
          </cell>
          <cell r="DB44">
            <v>0.45435908608374953</v>
          </cell>
          <cell r="DC44">
            <v>0.15354803586675725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Aug 2021"/>
      <sheetName val="Mar 2021"/>
      <sheetName val="Apr 2021"/>
      <sheetName val="May 2021"/>
      <sheetName val="Jun 2021"/>
      <sheetName val="Jul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May 2023"/>
      <sheetName val="May 2023 new format"/>
      <sheetName val="June 2023"/>
      <sheetName val="July 2023"/>
      <sheetName val="August 2023"/>
      <sheetName val="September 2023"/>
      <sheetName val="October 2023"/>
      <sheetName val="November 2023"/>
      <sheetName val="December 2023"/>
      <sheetName val="January 2024"/>
      <sheetName val="February 2024"/>
      <sheetName val="March 2024"/>
      <sheetName val="April 2024"/>
      <sheetName val="May 2024"/>
      <sheetName val="June 2024"/>
      <sheetName val="July 2024 orig"/>
      <sheetName val="July 2024 pre-112024"/>
      <sheetName val="July 2024"/>
      <sheetName val="August 2024"/>
      <sheetName val="September 2024"/>
      <sheetName val="October 2024 pre-112024"/>
      <sheetName val="October 2024"/>
      <sheetName val="Customer Recovery of DSIM- FE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6">
          <cell r="G36">
            <v>0</v>
          </cell>
        </row>
        <row r="37">
          <cell r="G37">
            <v>217.42</v>
          </cell>
        </row>
        <row r="38">
          <cell r="G38">
            <v>-103.7</v>
          </cell>
        </row>
        <row r="39">
          <cell r="G39">
            <v>-49.48</v>
          </cell>
        </row>
        <row r="44">
          <cell r="G44">
            <v>0</v>
          </cell>
        </row>
        <row r="45">
          <cell r="G45">
            <v>-974.56</v>
          </cell>
        </row>
        <row r="46">
          <cell r="G46">
            <v>-873.12</v>
          </cell>
        </row>
        <row r="47">
          <cell r="G47">
            <v>-9.4600000000000009</v>
          </cell>
        </row>
        <row r="52">
          <cell r="G52">
            <v>14801.5</v>
          </cell>
        </row>
        <row r="53">
          <cell r="G53">
            <v>7319.2283310469875</v>
          </cell>
        </row>
        <row r="54">
          <cell r="G54">
            <v>7682.1187441002339</v>
          </cell>
        </row>
        <row r="55">
          <cell r="G55">
            <v>2569.6229248527798</v>
          </cell>
        </row>
        <row r="60">
          <cell r="G60">
            <v>-2114.89</v>
          </cell>
        </row>
        <row r="64">
          <cell r="G64">
            <v>0</v>
          </cell>
        </row>
        <row r="68">
          <cell r="G68">
            <v>-4228.92</v>
          </cell>
        </row>
        <row r="69">
          <cell r="G69">
            <v>3279.8955471202935</v>
          </cell>
        </row>
        <row r="70">
          <cell r="G70">
            <v>2299.7385823630766</v>
          </cell>
        </row>
        <row r="71">
          <cell r="G71">
            <v>1287.27587051663</v>
          </cell>
        </row>
        <row r="76">
          <cell r="G76">
            <v>496960.85</v>
          </cell>
        </row>
        <row r="77">
          <cell r="G77">
            <v>197630.48</v>
          </cell>
        </row>
        <row r="78">
          <cell r="G78">
            <v>264513.15999999997</v>
          </cell>
        </row>
        <row r="79">
          <cell r="G79">
            <v>160137.68</v>
          </cell>
        </row>
        <row r="83">
          <cell r="G83">
            <v>21140.339999999997</v>
          </cell>
        </row>
        <row r="84">
          <cell r="G84">
            <v>-26688.560000000001</v>
          </cell>
        </row>
        <row r="85">
          <cell r="G85">
            <v>44550.27</v>
          </cell>
        </row>
        <row r="86">
          <cell r="G86">
            <v>-47783.02</v>
          </cell>
        </row>
        <row r="90">
          <cell r="G90">
            <v>86703.360000000001</v>
          </cell>
        </row>
        <row r="91">
          <cell r="G91">
            <v>30817.61</v>
          </cell>
        </row>
        <row r="92">
          <cell r="G92">
            <v>35485.480000000003</v>
          </cell>
        </row>
        <row r="93">
          <cell r="G93">
            <v>2582.87</v>
          </cell>
        </row>
        <row r="97">
          <cell r="G97">
            <v>-6344.82</v>
          </cell>
        </row>
        <row r="98">
          <cell r="G98">
            <v>0</v>
          </cell>
        </row>
        <row r="99">
          <cell r="G99">
            <v>0</v>
          </cell>
        </row>
        <row r="100">
          <cell r="G100">
            <v>0</v>
          </cell>
        </row>
        <row r="104">
          <cell r="G104">
            <v>152258.48000000001</v>
          </cell>
        </row>
        <row r="105">
          <cell r="G105">
            <v>30627.37</v>
          </cell>
        </row>
        <row r="106">
          <cell r="G106">
            <v>67776.160000000003</v>
          </cell>
        </row>
        <row r="107">
          <cell r="G107">
            <v>51011.6</v>
          </cell>
        </row>
        <row r="127">
          <cell r="G127">
            <v>211477562.01692507</v>
          </cell>
        </row>
        <row r="128">
          <cell r="G128">
            <v>99150773.365199938</v>
          </cell>
        </row>
        <row r="129">
          <cell r="G129">
            <v>88731587.764900014</v>
          </cell>
        </row>
        <row r="130">
          <cell r="G130">
            <v>64571647.037599988</v>
          </cell>
        </row>
      </sheetData>
      <sheetData sheetId="54">
        <row r="36">
          <cell r="G36">
            <v>0</v>
          </cell>
        </row>
        <row r="37">
          <cell r="G37">
            <v>35.53</v>
          </cell>
        </row>
        <row r="38">
          <cell r="G38">
            <v>36.159999999999997</v>
          </cell>
        </row>
        <row r="39">
          <cell r="G39">
            <v>12.83</v>
          </cell>
        </row>
        <row r="44">
          <cell r="G44">
            <v>0</v>
          </cell>
        </row>
        <row r="45">
          <cell r="G45">
            <v>-1123.32</v>
          </cell>
        </row>
        <row r="46">
          <cell r="G46">
            <v>-933.93</v>
          </cell>
        </row>
        <row r="47">
          <cell r="G47">
            <v>2.74</v>
          </cell>
        </row>
        <row r="52">
          <cell r="G52">
            <v>20173.8</v>
          </cell>
        </row>
        <row r="53">
          <cell r="G53">
            <v>7907.5700000000006</v>
          </cell>
        </row>
        <row r="54">
          <cell r="G54">
            <v>8465.7200000000012</v>
          </cell>
        </row>
        <row r="55">
          <cell r="G55">
            <v>2447.8200000000002</v>
          </cell>
        </row>
        <row r="60">
          <cell r="G60">
            <v>-2882.1400000000003</v>
          </cell>
        </row>
        <row r="64">
          <cell r="G64">
            <v>0</v>
          </cell>
        </row>
        <row r="68">
          <cell r="G68">
            <v>-5764.5</v>
          </cell>
        </row>
        <row r="69">
          <cell r="G69">
            <v>3383.6893270253859</v>
          </cell>
        </row>
        <row r="70">
          <cell r="G70">
            <v>2816.8743752955588</v>
          </cell>
        </row>
        <row r="71">
          <cell r="G71">
            <v>1221.546297679055</v>
          </cell>
        </row>
        <row r="76">
          <cell r="G76">
            <v>677349.7</v>
          </cell>
        </row>
        <row r="77">
          <cell r="G77">
            <v>224968.48</v>
          </cell>
        </row>
        <row r="78">
          <cell r="G78">
            <v>280616.26</v>
          </cell>
        </row>
        <row r="79">
          <cell r="G79">
            <v>151908.26999999999</v>
          </cell>
        </row>
        <row r="83">
          <cell r="G83">
            <v>28826.22</v>
          </cell>
        </row>
        <row r="84">
          <cell r="G84">
            <v>-30530.15</v>
          </cell>
        </row>
        <row r="85">
          <cell r="G85">
            <v>47083.26</v>
          </cell>
        </row>
        <row r="86">
          <cell r="G86">
            <v>-45327.47</v>
          </cell>
        </row>
        <row r="90">
          <cell r="G90">
            <v>118175.3</v>
          </cell>
        </row>
        <row r="91">
          <cell r="G91">
            <v>35046.870000000003</v>
          </cell>
        </row>
        <row r="92">
          <cell r="G92">
            <v>37666.61</v>
          </cell>
        </row>
        <row r="93">
          <cell r="G93">
            <v>2450.13</v>
          </cell>
        </row>
        <row r="97">
          <cell r="G97">
            <v>-8646.77</v>
          </cell>
        </row>
        <row r="98">
          <cell r="G98">
            <v>0</v>
          </cell>
        </row>
        <row r="99">
          <cell r="G99">
            <v>0</v>
          </cell>
        </row>
        <row r="100">
          <cell r="G100">
            <v>0</v>
          </cell>
        </row>
        <row r="104">
          <cell r="G104">
            <v>207529.52</v>
          </cell>
        </row>
        <row r="105">
          <cell r="G105">
            <v>35038.730000000003</v>
          </cell>
        </row>
        <row r="106">
          <cell r="G106">
            <v>71566.559999999998</v>
          </cell>
        </row>
        <row r="107">
          <cell r="G107">
            <v>48390.13</v>
          </cell>
        </row>
        <row r="127">
          <cell r="G127">
            <v>288232653.1303001</v>
          </cell>
        </row>
        <row r="128">
          <cell r="G128">
            <v>113045394.94219996</v>
          </cell>
        </row>
        <row r="129">
          <cell r="G129">
            <v>94166529.327799991</v>
          </cell>
        </row>
        <row r="130">
          <cell r="G130">
            <v>61253333.957100011</v>
          </cell>
        </row>
      </sheetData>
      <sheetData sheetId="55"/>
      <sheetData sheetId="56"/>
      <sheetData sheetId="57">
        <row r="36">
          <cell r="G36">
            <v>0</v>
          </cell>
        </row>
        <row r="37">
          <cell r="G37">
            <v>27.22</v>
          </cell>
        </row>
        <row r="38">
          <cell r="G38">
            <v>11.72</v>
          </cell>
        </row>
        <row r="39">
          <cell r="G39">
            <v>4.49</v>
          </cell>
        </row>
        <row r="44">
          <cell r="G44">
            <v>0</v>
          </cell>
        </row>
        <row r="45">
          <cell r="G45">
            <v>-1339.92</v>
          </cell>
        </row>
        <row r="46">
          <cell r="G46">
            <v>-1037.6099999999999</v>
          </cell>
        </row>
        <row r="47">
          <cell r="G47">
            <v>0.96</v>
          </cell>
        </row>
        <row r="52">
          <cell r="G52">
            <v>26816.69</v>
          </cell>
        </row>
        <row r="53">
          <cell r="G53">
            <v>9546.5</v>
          </cell>
        </row>
        <row r="54">
          <cell r="G54">
            <v>9408.7900000000009</v>
          </cell>
        </row>
        <row r="55">
          <cell r="G55">
            <v>2939.91</v>
          </cell>
        </row>
        <row r="60">
          <cell r="G60">
            <v>-3831.16</v>
          </cell>
        </row>
        <row r="64">
          <cell r="G64">
            <v>0</v>
          </cell>
        </row>
        <row r="68">
          <cell r="G68">
            <v>-7664.28</v>
          </cell>
        </row>
        <row r="69">
          <cell r="G69">
            <v>4131.9777289194599</v>
          </cell>
        </row>
        <row r="70">
          <cell r="G70">
            <v>3129.6485009431663</v>
          </cell>
        </row>
        <row r="71">
          <cell r="G71">
            <v>1468.8737701373739</v>
          </cell>
        </row>
        <row r="76">
          <cell r="G76">
            <v>900392.9</v>
          </cell>
        </row>
        <row r="77">
          <cell r="G77">
            <v>267521.26</v>
          </cell>
        </row>
        <row r="78">
          <cell r="G78">
            <v>311103.49</v>
          </cell>
        </row>
        <row r="79">
          <cell r="G79">
            <v>182151.36</v>
          </cell>
        </row>
        <row r="83">
          <cell r="G83">
            <v>38305.120000000003</v>
          </cell>
        </row>
        <row r="84">
          <cell r="G84">
            <v>-35827.14</v>
          </cell>
        </row>
        <row r="85">
          <cell r="G85">
            <v>51323.839999999997</v>
          </cell>
        </row>
        <row r="86">
          <cell r="G86">
            <v>-57966.73</v>
          </cell>
        </row>
        <row r="90">
          <cell r="G90">
            <v>157115.82999999999</v>
          </cell>
        </row>
        <row r="91">
          <cell r="G91">
            <v>42753.47</v>
          </cell>
        </row>
        <row r="92">
          <cell r="G92">
            <v>42433.41</v>
          </cell>
        </row>
        <row r="93">
          <cell r="G93">
            <v>3425.35</v>
          </cell>
        </row>
        <row r="97">
          <cell r="G97">
            <v>-11494.65</v>
          </cell>
        </row>
        <row r="98">
          <cell r="G98">
            <v>0</v>
          </cell>
        </row>
        <row r="99">
          <cell r="G99">
            <v>0</v>
          </cell>
        </row>
        <row r="100">
          <cell r="G100">
            <v>0</v>
          </cell>
        </row>
        <row r="104">
          <cell r="G104">
            <v>275926.93</v>
          </cell>
        </row>
        <row r="105">
          <cell r="G105">
            <v>42303.5</v>
          </cell>
        </row>
        <row r="106">
          <cell r="G106">
            <v>79984.44</v>
          </cell>
        </row>
        <row r="107">
          <cell r="G107">
            <v>59305.4</v>
          </cell>
        </row>
        <row r="111">
          <cell r="G111">
            <v>0</v>
          </cell>
        </row>
        <row r="112">
          <cell r="G112">
            <v>0</v>
          </cell>
        </row>
        <row r="113">
          <cell r="G113">
            <v>0</v>
          </cell>
        </row>
        <row r="114">
          <cell r="G114">
            <v>0</v>
          </cell>
        </row>
        <row r="118">
          <cell r="G118">
            <v>1.18</v>
          </cell>
        </row>
        <row r="119">
          <cell r="G119">
            <v>23.61</v>
          </cell>
        </row>
        <row r="120">
          <cell r="G120">
            <v>13.37</v>
          </cell>
        </row>
        <row r="121">
          <cell r="G121">
            <v>64.5</v>
          </cell>
        </row>
        <row r="162">
          <cell r="G162">
            <v>383211763.58247501</v>
          </cell>
        </row>
        <row r="163">
          <cell r="G163">
            <v>135913276.50970003</v>
          </cell>
        </row>
        <row r="164">
          <cell r="G164">
            <v>105348229.404</v>
          </cell>
        </row>
        <row r="165">
          <cell r="G165">
            <v>75151776.621100008</v>
          </cell>
        </row>
      </sheetData>
      <sheetData sheetId="58">
        <row r="36">
          <cell r="G36">
            <v>0</v>
          </cell>
        </row>
        <row r="37">
          <cell r="G37">
            <v>33.85</v>
          </cell>
        </row>
        <row r="38">
          <cell r="G38">
            <v>32.78</v>
          </cell>
        </row>
        <row r="39">
          <cell r="G39">
            <v>15.13</v>
          </cell>
        </row>
        <row r="44">
          <cell r="G44">
            <v>0</v>
          </cell>
        </row>
        <row r="45">
          <cell r="G45">
            <v>2.74</v>
          </cell>
        </row>
        <row r="46">
          <cell r="G46">
            <v>13.78</v>
          </cell>
        </row>
        <row r="47">
          <cell r="G47">
            <v>3.24</v>
          </cell>
        </row>
        <row r="52">
          <cell r="G52">
            <v>18598.87</v>
          </cell>
        </row>
        <row r="53">
          <cell r="G53">
            <v>3851.03</v>
          </cell>
        </row>
        <row r="54">
          <cell r="G54">
            <v>3975.26</v>
          </cell>
        </row>
        <row r="55">
          <cell r="G55">
            <v>1530.45</v>
          </cell>
        </row>
        <row r="60">
          <cell r="G60">
            <v>-0.67999999999999994</v>
          </cell>
        </row>
        <row r="64">
          <cell r="G64">
            <v>0</v>
          </cell>
        </row>
        <row r="68">
          <cell r="G68">
            <v>-1.1000000000000001</v>
          </cell>
        </row>
        <row r="69">
          <cell r="G69">
            <v>1280.8609368484986</v>
          </cell>
        </row>
        <row r="70">
          <cell r="G70">
            <v>984.41991667350646</v>
          </cell>
        </row>
        <row r="71">
          <cell r="G71">
            <v>761.68914647799465</v>
          </cell>
        </row>
        <row r="76">
          <cell r="G76">
            <v>416595.22</v>
          </cell>
        </row>
        <row r="77">
          <cell r="G77">
            <v>88906.78</v>
          </cell>
        </row>
        <row r="78">
          <cell r="G78">
            <v>84916.65</v>
          </cell>
        </row>
        <row r="79">
          <cell r="G79">
            <v>90571.82</v>
          </cell>
        </row>
        <row r="83">
          <cell r="G83">
            <v>-26030.2</v>
          </cell>
        </row>
        <row r="84">
          <cell r="G84">
            <v>11356.78</v>
          </cell>
        </row>
        <row r="85">
          <cell r="G85">
            <v>-51895.09</v>
          </cell>
        </row>
        <row r="86">
          <cell r="G86">
            <v>-98545.27</v>
          </cell>
        </row>
        <row r="90">
          <cell r="G90">
            <v>182229.69</v>
          </cell>
        </row>
        <row r="91">
          <cell r="G91">
            <v>71563.740000000005</v>
          </cell>
        </row>
        <row r="92">
          <cell r="G92">
            <v>62404.67</v>
          </cell>
        </row>
        <row r="93">
          <cell r="G93">
            <v>11103.84</v>
          </cell>
        </row>
        <row r="97">
          <cell r="G97">
            <v>-7439.32</v>
          </cell>
        </row>
        <row r="98">
          <cell r="G98">
            <v>0</v>
          </cell>
        </row>
        <row r="99">
          <cell r="G99">
            <v>0</v>
          </cell>
        </row>
        <row r="100">
          <cell r="G100">
            <v>0</v>
          </cell>
        </row>
        <row r="104">
          <cell r="G104">
            <v>282648.32000000001</v>
          </cell>
        </row>
        <row r="105">
          <cell r="G105">
            <v>51157.85</v>
          </cell>
        </row>
        <row r="106">
          <cell r="G106">
            <v>70247.75</v>
          </cell>
        </row>
        <row r="107">
          <cell r="G107">
            <v>54201.7</v>
          </cell>
        </row>
        <row r="111">
          <cell r="G111">
            <v>0</v>
          </cell>
        </row>
        <row r="112">
          <cell r="G112">
            <v>0</v>
          </cell>
        </row>
        <row r="113">
          <cell r="G113">
            <v>0</v>
          </cell>
        </row>
        <row r="114">
          <cell r="G114">
            <v>0</v>
          </cell>
        </row>
        <row r="118">
          <cell r="G118">
            <v>3718.53</v>
          </cell>
        </row>
        <row r="119">
          <cell r="G119">
            <v>1275.4100000000001</v>
          </cell>
        </row>
        <row r="120">
          <cell r="G120">
            <v>1010.9</v>
          </cell>
        </row>
        <row r="121">
          <cell r="G121">
            <v>1276.1300000000001</v>
          </cell>
        </row>
        <row r="162">
          <cell r="G162">
            <v>371910329.86815</v>
          </cell>
        </row>
        <row r="163">
          <cell r="G163">
            <v>127995629.06739999</v>
          </cell>
        </row>
        <row r="164">
          <cell r="G164">
            <v>100412051.37710001</v>
          </cell>
        </row>
        <row r="165">
          <cell r="G165">
            <v>70225098.40170002</v>
          </cell>
        </row>
      </sheetData>
      <sheetData sheetId="59">
        <row r="36">
          <cell r="G36">
            <v>0</v>
          </cell>
        </row>
        <row r="37">
          <cell r="G37">
            <v>43.78</v>
          </cell>
        </row>
        <row r="38">
          <cell r="G38">
            <v>44.65</v>
          </cell>
        </row>
        <row r="39">
          <cell r="G39">
            <v>19.8</v>
          </cell>
        </row>
        <row r="44">
          <cell r="G44">
            <v>0</v>
          </cell>
        </row>
        <row r="45">
          <cell r="G45">
            <v>9.5399999999999991</v>
          </cell>
        </row>
        <row r="46">
          <cell r="G46">
            <v>9.56</v>
          </cell>
        </row>
        <row r="47">
          <cell r="G47">
            <v>4.2300000000000004</v>
          </cell>
        </row>
        <row r="52">
          <cell r="G52">
            <v>16784.649999999998</v>
          </cell>
        </row>
        <row r="53">
          <cell r="G53">
            <v>3825.44</v>
          </cell>
        </row>
        <row r="54">
          <cell r="G54">
            <v>4160.63</v>
          </cell>
        </row>
        <row r="55">
          <cell r="G55">
            <v>1538.42</v>
          </cell>
        </row>
        <row r="60">
          <cell r="G60">
            <v>0.15</v>
          </cell>
        </row>
        <row r="64">
          <cell r="G64">
            <v>0</v>
          </cell>
        </row>
        <row r="68">
          <cell r="G68">
            <v>-3.999999999999998E-2</v>
          </cell>
        </row>
        <row r="69">
          <cell r="G69">
            <v>1266.5272169651089</v>
          </cell>
        </row>
        <row r="70">
          <cell r="G70">
            <v>1034.0347433396419</v>
          </cell>
        </row>
        <row r="71">
          <cell r="G71">
            <v>764.41803969524915</v>
          </cell>
        </row>
        <row r="76">
          <cell r="G76">
            <v>376061.17</v>
          </cell>
        </row>
        <row r="77">
          <cell r="G77">
            <v>88267.78</v>
          </cell>
        </row>
        <row r="78">
          <cell r="G78">
            <v>89683</v>
          </cell>
        </row>
        <row r="79">
          <cell r="G79">
            <v>90198.02</v>
          </cell>
        </row>
        <row r="83">
          <cell r="G83">
            <v>-23497.24</v>
          </cell>
        </row>
        <row r="84">
          <cell r="G84">
            <v>11507.17</v>
          </cell>
        </row>
        <row r="85">
          <cell r="G85">
            <v>-53184.11</v>
          </cell>
        </row>
        <row r="86">
          <cell r="G86">
            <v>-113325.71</v>
          </cell>
        </row>
        <row r="90">
          <cell r="G90">
            <v>164516.19</v>
          </cell>
        </row>
        <row r="91">
          <cell r="G91">
            <v>71604.490000000005</v>
          </cell>
        </row>
        <row r="92">
          <cell r="G92">
            <v>64655.19</v>
          </cell>
        </row>
        <row r="93">
          <cell r="G93">
            <v>13105.69</v>
          </cell>
        </row>
        <row r="97">
          <cell r="G97">
            <v>-6715.55</v>
          </cell>
        </row>
        <row r="98">
          <cell r="G98">
            <v>0</v>
          </cell>
        </row>
        <row r="99">
          <cell r="G99">
            <v>0</v>
          </cell>
        </row>
        <row r="100">
          <cell r="G100">
            <v>0</v>
          </cell>
        </row>
        <row r="104">
          <cell r="G104">
            <v>255171.59</v>
          </cell>
        </row>
        <row r="105">
          <cell r="G105">
            <v>51155.91</v>
          </cell>
        </row>
        <row r="106">
          <cell r="G106">
            <v>72997.789999999994</v>
          </cell>
        </row>
        <row r="107">
          <cell r="G107">
            <v>59361.09</v>
          </cell>
        </row>
        <row r="111">
          <cell r="G111">
            <v>0</v>
          </cell>
        </row>
        <row r="112">
          <cell r="G112">
            <v>0</v>
          </cell>
        </row>
        <row r="113">
          <cell r="G113">
            <v>0</v>
          </cell>
        </row>
        <row r="114">
          <cell r="G114">
            <v>0</v>
          </cell>
        </row>
        <row r="118">
          <cell r="G118">
            <v>3357.36</v>
          </cell>
        </row>
        <row r="119">
          <cell r="G119">
            <v>1278.54</v>
          </cell>
        </row>
        <row r="120">
          <cell r="G120">
            <v>1042.83</v>
          </cell>
        </row>
        <row r="121">
          <cell r="G121">
            <v>1541.85</v>
          </cell>
        </row>
        <row r="162">
          <cell r="G162">
            <v>335752179.32269996</v>
          </cell>
        </row>
        <row r="163">
          <cell r="G163">
            <v>127882782.21389998</v>
          </cell>
        </row>
        <row r="164">
          <cell r="G164">
            <v>104282563.54089998</v>
          </cell>
        </row>
        <row r="165">
          <cell r="G165">
            <v>77092321.546499982</v>
          </cell>
        </row>
      </sheetData>
      <sheetData sheetId="60"/>
      <sheetData sheetId="61">
        <row r="36">
          <cell r="G36">
            <v>0</v>
          </cell>
        </row>
        <row r="37">
          <cell r="G37">
            <v>230.38</v>
          </cell>
        </row>
        <row r="38">
          <cell r="G38">
            <v>-99.51</v>
          </cell>
        </row>
        <row r="39">
          <cell r="G39">
            <v>-43.79</v>
          </cell>
        </row>
        <row r="44">
          <cell r="G44">
            <v>0</v>
          </cell>
        </row>
        <row r="45">
          <cell r="G45">
            <v>-5688.36</v>
          </cell>
        </row>
        <row r="46">
          <cell r="G46">
            <v>-5581.19</v>
          </cell>
        </row>
        <row r="47">
          <cell r="G47">
            <v>-2035.3799999999999</v>
          </cell>
        </row>
        <row r="52">
          <cell r="G52">
            <v>13213.52</v>
          </cell>
        </row>
        <row r="53">
          <cell r="G53">
            <v>3599.19</v>
          </cell>
        </row>
        <row r="54">
          <cell r="G54">
            <v>3812.8599999999997</v>
          </cell>
        </row>
        <row r="55">
          <cell r="G55">
            <v>1397.1</v>
          </cell>
        </row>
        <row r="60">
          <cell r="G60">
            <v>-4547.68</v>
          </cell>
        </row>
        <row r="64">
          <cell r="G64">
            <v>0</v>
          </cell>
        </row>
        <row r="68">
          <cell r="G68">
            <v>-1.8199999999999998</v>
          </cell>
        </row>
        <row r="69">
          <cell r="G69">
            <v>1225.6409651556135</v>
          </cell>
        </row>
        <row r="70">
          <cell r="G70">
            <v>955.70884564566222</v>
          </cell>
        </row>
        <row r="71">
          <cell r="G71">
            <v>700.95018919872439</v>
          </cell>
        </row>
        <row r="76">
          <cell r="G76">
            <v>296018.57999999996</v>
          </cell>
        </row>
        <row r="77">
          <cell r="G77">
            <v>80703.45</v>
          </cell>
        </row>
        <row r="78">
          <cell r="G78">
            <v>82442.97</v>
          </cell>
        </row>
        <row r="79">
          <cell r="G79">
            <v>82262.77</v>
          </cell>
        </row>
        <row r="83">
          <cell r="G83">
            <v>-18493.47</v>
          </cell>
        </row>
        <row r="84">
          <cell r="G84">
            <v>16208.48</v>
          </cell>
        </row>
        <row r="85">
          <cell r="G85">
            <v>-43330.84</v>
          </cell>
        </row>
        <row r="86">
          <cell r="G86">
            <v>-101329.76999999999</v>
          </cell>
        </row>
        <row r="90">
          <cell r="G90">
            <v>129517.28</v>
          </cell>
        </row>
        <row r="91">
          <cell r="G91">
            <v>65315.39</v>
          </cell>
        </row>
        <row r="92">
          <cell r="G92">
            <v>59435.75</v>
          </cell>
        </row>
        <row r="93">
          <cell r="G93">
            <v>11952.71</v>
          </cell>
        </row>
        <row r="97">
          <cell r="G97">
            <v>-738.59000000000015</v>
          </cell>
        </row>
        <row r="98">
          <cell r="G98">
            <v>0</v>
          </cell>
        </row>
        <row r="99">
          <cell r="G99">
            <v>0</v>
          </cell>
        </row>
        <row r="100">
          <cell r="G100">
            <v>0</v>
          </cell>
        </row>
        <row r="104">
          <cell r="G104">
            <v>200884.15</v>
          </cell>
        </row>
        <row r="105">
          <cell r="G105">
            <v>46635.14</v>
          </cell>
        </row>
        <row r="106">
          <cell r="G106">
            <v>67104.850000000006</v>
          </cell>
        </row>
        <row r="107">
          <cell r="G107">
            <v>54138.75</v>
          </cell>
        </row>
        <row r="111">
          <cell r="G111">
            <v>0</v>
          </cell>
        </row>
        <row r="112">
          <cell r="G112">
            <v>0</v>
          </cell>
        </row>
        <row r="113">
          <cell r="G113">
            <v>0</v>
          </cell>
        </row>
        <row r="114">
          <cell r="G114">
            <v>0</v>
          </cell>
        </row>
        <row r="118">
          <cell r="G118">
            <v>2643.2</v>
          </cell>
        </row>
        <row r="119">
          <cell r="G119">
            <v>1165.46</v>
          </cell>
        </row>
        <row r="120">
          <cell r="G120">
            <v>958.64</v>
          </cell>
        </row>
        <row r="121">
          <cell r="G121">
            <v>1406.2</v>
          </cell>
        </row>
        <row r="162">
          <cell r="G162">
            <v>264320965.15840003</v>
          </cell>
        </row>
        <row r="163">
          <cell r="G163">
            <v>116660964.78370003</v>
          </cell>
        </row>
        <row r="164">
          <cell r="G164">
            <v>95864081.57069999</v>
          </cell>
        </row>
        <row r="165">
          <cell r="G165">
            <v>70310064.048600003</v>
          </cell>
        </row>
      </sheetData>
      <sheetData sheetId="6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630816.72</v>
          </cell>
          <cell r="O34">
            <v>130594.88</v>
          </cell>
          <cell r="Q34">
            <v>171743</v>
          </cell>
          <cell r="R34">
            <v>135615.12</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683864.26</v>
          </cell>
          <cell r="O34">
            <v>154393.46</v>
          </cell>
          <cell r="Q34">
            <v>-28242.059999999998</v>
          </cell>
          <cell r="R34">
            <v>30700.540000000005</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1436346.53</v>
          </cell>
          <cell r="O34">
            <v>481731.2</v>
          </cell>
          <cell r="Q34">
            <v>403668.94999999995</v>
          </cell>
          <cell r="R34">
            <v>350776.4</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771794.21</v>
          </cell>
          <cell r="O34">
            <v>194758.25</v>
          </cell>
          <cell r="Q34">
            <v>37544.789999999994</v>
          </cell>
          <cell r="R34">
            <v>20469.809999999998</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dimension ref="A1:E75"/>
  <sheetViews>
    <sheetView workbookViewId="0"/>
  </sheetViews>
  <sheetFormatPr defaultColWidth="8.7265625" defaultRowHeight="14.5" x14ac:dyDescent="0.35"/>
  <cols>
    <col min="1" max="1" width="17" style="3" bestFit="1" customWidth="1"/>
    <col min="2" max="2" width="62.26953125" style="276" customWidth="1"/>
    <col min="3" max="3" width="63.453125" style="276" customWidth="1"/>
    <col min="4" max="16384" width="8.7265625" style="46"/>
  </cols>
  <sheetData>
    <row r="1" spans="1:5" x14ac:dyDescent="0.35">
      <c r="A1" s="3" t="str">
        <f>+'PPC Cycle 3'!A1</f>
        <v>Evergy Missouri West, Inc. - DSIM Rider Update Filed 12/01/2024</v>
      </c>
    </row>
    <row r="4" spans="1:5" s="3" customFormat="1" x14ac:dyDescent="0.35">
      <c r="A4" s="277" t="s">
        <v>183</v>
      </c>
      <c r="B4" s="278" t="s">
        <v>184</v>
      </c>
      <c r="C4" s="278" t="s">
        <v>185</v>
      </c>
    </row>
    <row r="5" spans="1:5" s="280" customFormat="1" ht="29" x14ac:dyDescent="0.35">
      <c r="A5" s="279" t="s">
        <v>186</v>
      </c>
      <c r="B5" s="384" t="s">
        <v>258</v>
      </c>
      <c r="C5" s="384" t="s">
        <v>187</v>
      </c>
      <c r="D5" s="385"/>
      <c r="E5" s="385"/>
    </row>
    <row r="6" spans="1:5" s="280" customFormat="1" ht="29" x14ac:dyDescent="0.35">
      <c r="A6" s="279" t="s">
        <v>188</v>
      </c>
      <c r="B6" s="384" t="s">
        <v>189</v>
      </c>
      <c r="C6" s="384" t="s">
        <v>190</v>
      </c>
      <c r="D6" s="385"/>
      <c r="E6" s="385"/>
    </row>
    <row r="7" spans="1:5" s="280" customFormat="1" ht="87" x14ac:dyDescent="0.35">
      <c r="A7" s="279" t="s">
        <v>191</v>
      </c>
      <c r="B7" s="384" t="s">
        <v>259</v>
      </c>
      <c r="C7" s="384" t="s">
        <v>262</v>
      </c>
      <c r="D7" s="385"/>
      <c r="E7" s="385"/>
    </row>
    <row r="8" spans="1:5" s="280" customFormat="1" ht="72.5" x14ac:dyDescent="0.35">
      <c r="A8" s="279" t="s">
        <v>265</v>
      </c>
      <c r="B8" s="384" t="s">
        <v>266</v>
      </c>
      <c r="C8" s="384" t="s">
        <v>267</v>
      </c>
      <c r="D8" s="385"/>
      <c r="E8" s="385"/>
    </row>
    <row r="9" spans="1:5" s="280" customFormat="1" ht="72.5" x14ac:dyDescent="0.35">
      <c r="A9" s="279" t="s">
        <v>192</v>
      </c>
      <c r="B9" s="384" t="s">
        <v>271</v>
      </c>
      <c r="C9" s="384" t="s">
        <v>193</v>
      </c>
      <c r="D9" s="385"/>
      <c r="E9" s="385"/>
    </row>
    <row r="10" spans="1:5" s="280" customFormat="1" ht="130.5" x14ac:dyDescent="0.35">
      <c r="A10" s="279" t="s">
        <v>194</v>
      </c>
      <c r="B10" s="384" t="s">
        <v>272</v>
      </c>
      <c r="C10" s="384" t="s">
        <v>195</v>
      </c>
      <c r="D10" s="385"/>
      <c r="E10" s="385"/>
    </row>
    <row r="11" spans="1:5" s="280" customFormat="1" ht="130.5" x14ac:dyDescent="0.35">
      <c r="A11" s="279" t="s">
        <v>243</v>
      </c>
      <c r="B11" s="384" t="s">
        <v>244</v>
      </c>
      <c r="C11" s="384" t="s">
        <v>195</v>
      </c>
      <c r="D11" s="385"/>
      <c r="E11" s="385"/>
    </row>
    <row r="12" spans="1:5" s="280" customFormat="1" ht="43.5" x14ac:dyDescent="0.35">
      <c r="A12" s="279" t="s">
        <v>196</v>
      </c>
      <c r="B12" s="384" t="s">
        <v>273</v>
      </c>
      <c r="C12" s="384" t="s">
        <v>274</v>
      </c>
      <c r="D12" s="385"/>
      <c r="E12" s="385"/>
    </row>
    <row r="13" spans="1:5" s="280" customFormat="1" ht="72.5" x14ac:dyDescent="0.35">
      <c r="A13" s="279" t="s">
        <v>197</v>
      </c>
      <c r="B13" s="384" t="s">
        <v>275</v>
      </c>
      <c r="C13" s="384" t="s">
        <v>276</v>
      </c>
      <c r="D13" s="385"/>
      <c r="E13" s="385"/>
    </row>
    <row r="14" spans="1:5" s="280" customFormat="1" ht="58" x14ac:dyDescent="0.35">
      <c r="A14" s="279" t="s">
        <v>268</v>
      </c>
      <c r="B14" s="384" t="s">
        <v>269</v>
      </c>
      <c r="C14" s="384" t="s">
        <v>270</v>
      </c>
      <c r="D14" s="385"/>
      <c r="E14" s="385"/>
    </row>
    <row r="15" spans="1:5" s="280" customFormat="1" ht="159.5" x14ac:dyDescent="0.35">
      <c r="A15" s="279" t="s">
        <v>198</v>
      </c>
      <c r="B15" s="384" t="s">
        <v>232</v>
      </c>
      <c r="C15" s="384" t="s">
        <v>199</v>
      </c>
      <c r="D15" s="385"/>
      <c r="E15" s="385"/>
    </row>
    <row r="16" spans="1:5" s="280" customFormat="1" ht="159.5" x14ac:dyDescent="0.35">
      <c r="A16" s="279" t="s">
        <v>200</v>
      </c>
      <c r="B16" s="384" t="s">
        <v>260</v>
      </c>
      <c r="C16" s="384" t="s">
        <v>285</v>
      </c>
      <c r="D16" s="385"/>
      <c r="E16" s="385"/>
    </row>
    <row r="17" spans="1:5" s="280" customFormat="1" ht="159.5" x14ac:dyDescent="0.35">
      <c r="A17" s="279" t="s">
        <v>201</v>
      </c>
      <c r="B17" s="384" t="s">
        <v>277</v>
      </c>
      <c r="C17" s="384" t="s">
        <v>202</v>
      </c>
      <c r="D17" s="385"/>
      <c r="E17" s="385"/>
    </row>
    <row r="18" spans="1:5" s="280" customFormat="1" ht="200.5" customHeight="1" x14ac:dyDescent="0.35">
      <c r="A18" s="279" t="s">
        <v>203</v>
      </c>
      <c r="B18" s="384" t="s">
        <v>286</v>
      </c>
      <c r="C18" s="384" t="s">
        <v>261</v>
      </c>
      <c r="D18" s="386"/>
      <c r="E18" s="385"/>
    </row>
    <row r="19" spans="1:5" s="280" customFormat="1" ht="87" x14ac:dyDescent="0.35">
      <c r="A19" s="279" t="s">
        <v>204</v>
      </c>
      <c r="B19" s="384" t="s">
        <v>278</v>
      </c>
      <c r="C19" s="384" t="s">
        <v>205</v>
      </c>
      <c r="D19" s="385"/>
      <c r="E19" s="385"/>
    </row>
    <row r="20" spans="1:5" s="280" customFormat="1" ht="87" x14ac:dyDescent="0.35">
      <c r="A20" s="279" t="s">
        <v>206</v>
      </c>
      <c r="B20" s="384" t="s">
        <v>287</v>
      </c>
      <c r="C20" s="384" t="s">
        <v>207</v>
      </c>
      <c r="D20" s="386"/>
      <c r="E20" s="385"/>
    </row>
    <row r="21" spans="1:5" s="280" customFormat="1" ht="29" x14ac:dyDescent="0.35">
      <c r="A21" s="279" t="s">
        <v>208</v>
      </c>
      <c r="B21" s="384" t="s">
        <v>279</v>
      </c>
      <c r="C21" s="384" t="s">
        <v>283</v>
      </c>
      <c r="D21" s="385"/>
      <c r="E21" s="385"/>
    </row>
    <row r="22" spans="1:5" s="280" customFormat="1" ht="29" x14ac:dyDescent="0.35">
      <c r="A22" s="279" t="s">
        <v>209</v>
      </c>
      <c r="B22" s="384" t="s">
        <v>280</v>
      </c>
      <c r="C22" s="384" t="s">
        <v>284</v>
      </c>
      <c r="D22" s="385"/>
      <c r="E22" s="385"/>
    </row>
    <row r="23" spans="1:5" s="280" customFormat="1" ht="72.5" x14ac:dyDescent="0.35">
      <c r="A23" s="279" t="s">
        <v>210</v>
      </c>
      <c r="B23" s="384" t="s">
        <v>281</v>
      </c>
      <c r="C23" s="384" t="s">
        <v>211</v>
      </c>
      <c r="D23" s="385"/>
      <c r="E23" s="385"/>
    </row>
    <row r="24" spans="1:5" s="280" customFormat="1" ht="72.5" x14ac:dyDescent="0.35">
      <c r="A24" s="279" t="s">
        <v>212</v>
      </c>
      <c r="B24" s="384" t="s">
        <v>282</v>
      </c>
      <c r="C24" s="387" t="s">
        <v>211</v>
      </c>
      <c r="D24" s="386"/>
      <c r="E24" s="385"/>
    </row>
    <row r="25" spans="1:5" s="280" customFormat="1" x14ac:dyDescent="0.35">
      <c r="A25" s="281"/>
      <c r="B25" s="282"/>
      <c r="C25" s="282"/>
    </row>
    <row r="26" spans="1:5" s="280" customFormat="1" x14ac:dyDescent="0.35">
      <c r="A26" s="281"/>
      <c r="B26" s="282"/>
      <c r="C26" s="282"/>
    </row>
    <row r="27" spans="1:5" s="280" customFormat="1" x14ac:dyDescent="0.35">
      <c r="A27" s="281"/>
      <c r="B27" s="282"/>
      <c r="C27" s="282"/>
    </row>
    <row r="28" spans="1:5" s="280" customFormat="1" x14ac:dyDescent="0.35">
      <c r="A28" s="281"/>
      <c r="B28" s="282"/>
      <c r="C28" s="282"/>
    </row>
    <row r="29" spans="1:5" s="280" customFormat="1" x14ac:dyDescent="0.35">
      <c r="A29" s="281"/>
      <c r="B29" s="282"/>
      <c r="C29" s="282"/>
    </row>
    <row r="30" spans="1:5" s="280" customFormat="1" x14ac:dyDescent="0.35">
      <c r="A30" s="281"/>
      <c r="B30" s="282"/>
      <c r="C30" s="282"/>
    </row>
    <row r="31" spans="1:5" s="280" customFormat="1" x14ac:dyDescent="0.35">
      <c r="A31" s="281"/>
      <c r="B31" s="282"/>
      <c r="C31" s="282"/>
    </row>
    <row r="32" spans="1:5" s="280" customFormat="1" x14ac:dyDescent="0.35">
      <c r="A32" s="281"/>
      <c r="B32" s="282"/>
      <c r="C32" s="282"/>
    </row>
    <row r="33" spans="1:3" s="280" customFormat="1" x14ac:dyDescent="0.35">
      <c r="A33" s="281"/>
      <c r="B33" s="282"/>
      <c r="C33" s="282"/>
    </row>
    <row r="34" spans="1:3" s="280" customFormat="1" x14ac:dyDescent="0.35">
      <c r="A34" s="281"/>
      <c r="B34" s="282"/>
      <c r="C34" s="282"/>
    </row>
    <row r="35" spans="1:3" s="280" customFormat="1" x14ac:dyDescent="0.35">
      <c r="A35" s="281"/>
      <c r="B35" s="282"/>
      <c r="C35" s="282"/>
    </row>
    <row r="36" spans="1:3" s="280" customFormat="1" x14ac:dyDescent="0.35">
      <c r="A36" s="281"/>
      <c r="B36" s="282"/>
      <c r="C36" s="282"/>
    </row>
    <row r="37" spans="1:3" s="280" customFormat="1" x14ac:dyDescent="0.35">
      <c r="A37" s="281"/>
      <c r="B37" s="282"/>
      <c r="C37" s="282"/>
    </row>
    <row r="38" spans="1:3" s="280" customFormat="1" x14ac:dyDescent="0.35">
      <c r="A38" s="281"/>
      <c r="B38" s="282"/>
      <c r="C38" s="282"/>
    </row>
    <row r="39" spans="1:3" s="280" customFormat="1" x14ac:dyDescent="0.35">
      <c r="A39" s="281"/>
      <c r="B39" s="282"/>
      <c r="C39" s="282"/>
    </row>
    <row r="40" spans="1:3" s="280" customFormat="1" x14ac:dyDescent="0.35">
      <c r="A40" s="281"/>
      <c r="B40" s="282"/>
      <c r="C40" s="282"/>
    </row>
    <row r="41" spans="1:3" s="280" customFormat="1" x14ac:dyDescent="0.35">
      <c r="A41" s="281"/>
      <c r="B41" s="282"/>
      <c r="C41" s="282"/>
    </row>
    <row r="42" spans="1:3" s="280" customFormat="1" x14ac:dyDescent="0.35">
      <c r="A42" s="281"/>
      <c r="B42" s="282"/>
      <c r="C42" s="282"/>
    </row>
    <row r="43" spans="1:3" s="280" customFormat="1" x14ac:dyDescent="0.35">
      <c r="A43" s="281"/>
      <c r="B43" s="282"/>
      <c r="C43" s="282"/>
    </row>
    <row r="44" spans="1:3" s="280" customFormat="1" x14ac:dyDescent="0.35">
      <c r="A44" s="281"/>
      <c r="B44" s="282"/>
      <c r="C44" s="282"/>
    </row>
    <row r="45" spans="1:3" s="280" customFormat="1" x14ac:dyDescent="0.35">
      <c r="A45" s="281"/>
      <c r="B45" s="282"/>
      <c r="C45" s="282"/>
    </row>
    <row r="46" spans="1:3" s="280" customFormat="1" x14ac:dyDescent="0.35">
      <c r="A46" s="281"/>
      <c r="B46" s="282"/>
      <c r="C46" s="282"/>
    </row>
    <row r="47" spans="1:3" s="280" customFormat="1" x14ac:dyDescent="0.35">
      <c r="A47" s="281"/>
      <c r="B47" s="282"/>
      <c r="C47" s="282"/>
    </row>
    <row r="48" spans="1:3" s="280" customFormat="1" x14ac:dyDescent="0.35">
      <c r="A48" s="281"/>
      <c r="B48" s="282"/>
      <c r="C48" s="282"/>
    </row>
    <row r="49" spans="1:3" s="280" customFormat="1" x14ac:dyDescent="0.35">
      <c r="A49" s="281"/>
      <c r="B49" s="282"/>
      <c r="C49" s="282"/>
    </row>
    <row r="50" spans="1:3" s="280" customFormat="1" x14ac:dyDescent="0.35">
      <c r="A50" s="281"/>
      <c r="B50" s="282"/>
      <c r="C50" s="282"/>
    </row>
    <row r="51" spans="1:3" s="280" customFormat="1" x14ac:dyDescent="0.35">
      <c r="A51" s="281"/>
      <c r="B51" s="282"/>
      <c r="C51" s="282"/>
    </row>
    <row r="52" spans="1:3" s="280" customFormat="1" x14ac:dyDescent="0.35">
      <c r="A52" s="281"/>
      <c r="B52" s="282"/>
      <c r="C52" s="282"/>
    </row>
    <row r="53" spans="1:3" s="280" customFormat="1" x14ac:dyDescent="0.35">
      <c r="A53" s="281"/>
      <c r="B53" s="282"/>
      <c r="C53" s="282"/>
    </row>
    <row r="54" spans="1:3" s="280" customFormat="1" x14ac:dyDescent="0.35">
      <c r="A54" s="281"/>
      <c r="B54" s="282"/>
      <c r="C54" s="282"/>
    </row>
    <row r="55" spans="1:3" s="280" customFormat="1" x14ac:dyDescent="0.35">
      <c r="A55" s="281"/>
      <c r="B55" s="282"/>
      <c r="C55" s="282"/>
    </row>
    <row r="56" spans="1:3" s="280" customFormat="1" x14ac:dyDescent="0.35">
      <c r="A56" s="281"/>
      <c r="B56" s="282"/>
      <c r="C56" s="282"/>
    </row>
    <row r="57" spans="1:3" s="280" customFormat="1" x14ac:dyDescent="0.35">
      <c r="A57" s="281"/>
      <c r="B57" s="282"/>
      <c r="C57" s="282"/>
    </row>
    <row r="58" spans="1:3" s="280" customFormat="1" x14ac:dyDescent="0.35">
      <c r="A58" s="281"/>
      <c r="B58" s="282"/>
      <c r="C58" s="282"/>
    </row>
    <row r="59" spans="1:3" s="280" customFormat="1" x14ac:dyDescent="0.35">
      <c r="A59" s="281"/>
      <c r="B59" s="282"/>
      <c r="C59" s="282"/>
    </row>
    <row r="60" spans="1:3" s="280" customFormat="1" x14ac:dyDescent="0.35">
      <c r="A60" s="281"/>
      <c r="B60" s="282"/>
      <c r="C60" s="282"/>
    </row>
    <row r="61" spans="1:3" s="280" customFormat="1" x14ac:dyDescent="0.35">
      <c r="A61" s="281"/>
      <c r="B61" s="282"/>
      <c r="C61" s="282"/>
    </row>
    <row r="62" spans="1:3" s="280" customFormat="1" x14ac:dyDescent="0.35">
      <c r="A62" s="281"/>
      <c r="B62" s="282"/>
      <c r="C62" s="282"/>
    </row>
    <row r="63" spans="1:3" s="280" customFormat="1" x14ac:dyDescent="0.35">
      <c r="A63" s="281"/>
      <c r="B63" s="282"/>
      <c r="C63" s="282"/>
    </row>
    <row r="64" spans="1:3" s="280" customFormat="1" x14ac:dyDescent="0.35">
      <c r="A64" s="281"/>
      <c r="B64" s="282"/>
      <c r="C64" s="282"/>
    </row>
    <row r="65" spans="1:3" s="280" customFormat="1" x14ac:dyDescent="0.35">
      <c r="A65" s="281"/>
      <c r="B65" s="282"/>
      <c r="C65" s="282"/>
    </row>
    <row r="66" spans="1:3" s="280" customFormat="1" x14ac:dyDescent="0.35">
      <c r="A66" s="281"/>
      <c r="B66" s="282"/>
      <c r="C66" s="282"/>
    </row>
    <row r="67" spans="1:3" s="280" customFormat="1" x14ac:dyDescent="0.35">
      <c r="A67" s="281"/>
      <c r="B67" s="282"/>
      <c r="C67" s="282"/>
    </row>
    <row r="68" spans="1:3" s="280" customFormat="1" x14ac:dyDescent="0.35">
      <c r="A68" s="281"/>
      <c r="B68" s="282"/>
      <c r="C68" s="282"/>
    </row>
    <row r="69" spans="1:3" s="280" customFormat="1" x14ac:dyDescent="0.35">
      <c r="A69" s="281"/>
      <c r="B69" s="282"/>
      <c r="C69" s="282"/>
    </row>
    <row r="70" spans="1:3" s="280" customFormat="1" x14ac:dyDescent="0.35">
      <c r="A70" s="281"/>
      <c r="B70" s="282"/>
      <c r="C70" s="282"/>
    </row>
    <row r="71" spans="1:3" s="280" customFormat="1" x14ac:dyDescent="0.35">
      <c r="A71" s="281"/>
      <c r="B71" s="282"/>
      <c r="C71" s="282"/>
    </row>
    <row r="72" spans="1:3" s="280" customFormat="1" x14ac:dyDescent="0.35">
      <c r="A72" s="281"/>
      <c r="B72" s="282"/>
      <c r="C72" s="282"/>
    </row>
    <row r="73" spans="1:3" s="280" customFormat="1" x14ac:dyDescent="0.35">
      <c r="A73" s="281"/>
      <c r="B73" s="282"/>
      <c r="C73" s="282"/>
    </row>
    <row r="74" spans="1:3" s="280" customFormat="1" x14ac:dyDescent="0.35">
      <c r="A74" s="281"/>
      <c r="B74" s="282"/>
      <c r="C74" s="282"/>
    </row>
    <row r="75" spans="1:3" s="280" customFormat="1" x14ac:dyDescent="0.35">
      <c r="A75" s="281"/>
      <c r="B75" s="282"/>
      <c r="C75" s="282"/>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3"/>
  <sheetViews>
    <sheetView workbookViewId="0">
      <selection activeCell="G6" sqref="G6"/>
    </sheetView>
  </sheetViews>
  <sheetFormatPr defaultColWidth="9.1796875" defaultRowHeight="14.5" x14ac:dyDescent="0.35"/>
  <cols>
    <col min="1" max="1" width="24.7265625" style="46" customWidth="1"/>
    <col min="2" max="2" width="16.1796875" style="46" customWidth="1"/>
    <col min="3" max="3" width="15.1796875" style="46" customWidth="1"/>
    <col min="4" max="4" width="11.54296875" style="46" bestFit="1" customWidth="1"/>
    <col min="5" max="5" width="10.54296875" style="46" bestFit="1" customWidth="1"/>
    <col min="6" max="6" width="11.54296875" style="46" bestFit="1" customWidth="1"/>
    <col min="7" max="16384" width="9.1796875" style="46"/>
  </cols>
  <sheetData>
    <row r="1" spans="1:23" x14ac:dyDescent="0.35">
      <c r="A1" s="3" t="str">
        <f>+'PPC Cycle 3'!A1</f>
        <v>Evergy Missouri West, Inc. - DSIM Rider Update Filed 12/01/2024</v>
      </c>
    </row>
    <row r="2" spans="1:23" x14ac:dyDescent="0.35">
      <c r="A2" s="9" t="str">
        <f>+'PPC Cycle 3'!A2</f>
        <v>Projections for Cycle 3 January 2025 - December 2025 DSIM</v>
      </c>
    </row>
    <row r="3" spans="1:23" x14ac:dyDescent="0.35">
      <c r="A3" s="9"/>
    </row>
    <row r="4" spans="1:23" ht="40.5" customHeight="1" x14ac:dyDescent="0.35">
      <c r="B4" s="389" t="s">
        <v>111</v>
      </c>
      <c r="C4" s="389"/>
    </row>
    <row r="5" spans="1:23" ht="101.5" x14ac:dyDescent="0.35">
      <c r="B5" s="142" t="s">
        <v>64</v>
      </c>
      <c r="C5" s="48" t="s">
        <v>29</v>
      </c>
      <c r="D5" s="266" t="s">
        <v>308</v>
      </c>
    </row>
    <row r="6" spans="1:23" x14ac:dyDescent="0.35">
      <c r="A6" s="20" t="s">
        <v>24</v>
      </c>
      <c r="B6" s="23">
        <f>SUM('[13]Summary Monthly TD Calc'!$AB18:$AM18)</f>
        <v>5969601.0269000027</v>
      </c>
      <c r="C6" s="85">
        <f>SUM(D6:F6)</f>
        <v>229217.28</v>
      </c>
      <c r="D6" s="211">
        <f>SUM('[13]Summary Monthly TD Calc'!$AB3:$AM3)</f>
        <v>229217.28</v>
      </c>
      <c r="G6" s="39"/>
      <c r="H6" s="39"/>
    </row>
    <row r="7" spans="1:23" x14ac:dyDescent="0.35">
      <c r="A7" s="20" t="s">
        <v>105</v>
      </c>
      <c r="B7" s="23">
        <f>SUM('[13]Summary Monthly TD Calc'!$AB19:$AM19)</f>
        <v>8233183.5001110602</v>
      </c>
      <c r="C7" s="85">
        <f>SUM(D7:F7)</f>
        <v>323140.17999999993</v>
      </c>
      <c r="D7" s="211">
        <f>SUM('[13]Summary Monthly TD Calc'!$AB4:$AM4)</f>
        <v>323140.17999999993</v>
      </c>
      <c r="G7" s="39"/>
      <c r="H7" s="39"/>
    </row>
    <row r="8" spans="1:23" x14ac:dyDescent="0.35">
      <c r="A8" s="20" t="s">
        <v>106</v>
      </c>
      <c r="B8" s="23">
        <f>SUM('[13]Summary Monthly TD Calc'!$AB21:$AM21)</f>
        <v>10213909.714631479</v>
      </c>
      <c r="C8" s="85">
        <f>SUM(D8:F8)</f>
        <v>206039.88999999998</v>
      </c>
      <c r="D8" s="211">
        <f>SUM('[13]Summary Monthly TD Calc'!$AB6:$AM6)</f>
        <v>206039.88999999998</v>
      </c>
      <c r="G8" s="39"/>
      <c r="H8" s="39"/>
    </row>
    <row r="9" spans="1:23" x14ac:dyDescent="0.35">
      <c r="A9" s="20" t="s">
        <v>107</v>
      </c>
      <c r="B9" s="23">
        <f>SUM('[13]Summary Monthly TD Calc'!$AB22:$AM22)</f>
        <v>7687122.6295574913</v>
      </c>
      <c r="C9" s="85">
        <f>SUM(D9:F9)</f>
        <v>34438.679999999993</v>
      </c>
      <c r="D9" s="211">
        <f>SUM('[13]Summary Monthly TD Calc'!$AB7:$AM7)</f>
        <v>34438.679999999993</v>
      </c>
      <c r="G9" s="39"/>
      <c r="H9" s="39"/>
    </row>
    <row r="10" spans="1:23" x14ac:dyDescent="0.35">
      <c r="A10" s="30" t="s">
        <v>5</v>
      </c>
      <c r="B10" s="24">
        <f>SUM(B6:B9)</f>
        <v>32103816.871200033</v>
      </c>
      <c r="C10" s="24">
        <f>SUM(C6:C9)</f>
        <v>792836.03</v>
      </c>
      <c r="D10" s="24">
        <f t="shared" ref="D10" si="0">SUM(D6:D9)</f>
        <v>792836.03</v>
      </c>
      <c r="Q10" s="325"/>
    </row>
    <row r="12" spans="1:23" x14ac:dyDescent="0.35">
      <c r="A12" s="69" t="s">
        <v>30</v>
      </c>
      <c r="B12" s="20"/>
      <c r="C12" s="21"/>
      <c r="N12" s="1"/>
      <c r="O12" s="1"/>
      <c r="P12" s="1"/>
      <c r="Q12" s="1"/>
      <c r="R12" s="1"/>
      <c r="S12" s="1"/>
      <c r="T12" s="1"/>
      <c r="U12" s="1"/>
      <c r="V12" s="1"/>
      <c r="W12" s="1"/>
    </row>
    <row r="13" spans="1:23" ht="45.65" customHeight="1" x14ac:dyDescent="0.35">
      <c r="A13" s="400" t="s">
        <v>322</v>
      </c>
      <c r="B13" s="400"/>
      <c r="C13" s="400"/>
      <c r="D13" s="400"/>
      <c r="E13" s="400"/>
      <c r="F13" s="3"/>
      <c r="G13" s="3"/>
      <c r="H13" s="3"/>
      <c r="I13" s="3"/>
      <c r="J13" s="3"/>
      <c r="K13" s="3"/>
      <c r="L13" s="3"/>
      <c r="M13" s="3"/>
    </row>
    <row r="14" spans="1:23" x14ac:dyDescent="0.35">
      <c r="A14" s="402" t="s">
        <v>309</v>
      </c>
      <c r="B14" s="402"/>
      <c r="C14" s="402"/>
      <c r="D14" s="402"/>
      <c r="E14" s="402"/>
      <c r="F14" s="3"/>
      <c r="G14" s="3"/>
      <c r="H14" s="3"/>
      <c r="I14" s="3"/>
      <c r="J14" s="3"/>
      <c r="K14" s="3"/>
      <c r="L14" s="3"/>
      <c r="M14" s="3"/>
    </row>
    <row r="15" spans="1:23" ht="31.15" customHeight="1" x14ac:dyDescent="0.35">
      <c r="A15" s="400" t="s">
        <v>323</v>
      </c>
      <c r="B15" s="400"/>
      <c r="C15" s="400"/>
      <c r="D15" s="400"/>
      <c r="E15" s="400"/>
      <c r="F15" s="3"/>
      <c r="G15" s="3"/>
      <c r="H15" s="3"/>
      <c r="I15" s="3"/>
      <c r="J15" s="3"/>
      <c r="K15" s="3"/>
      <c r="L15" s="3"/>
      <c r="M15" s="3"/>
    </row>
    <row r="24" spans="2:5" x14ac:dyDescent="0.35">
      <c r="E24" s="244"/>
    </row>
    <row r="29" spans="2:5" x14ac:dyDescent="0.35">
      <c r="B29" s="8"/>
      <c r="C29" s="8"/>
    </row>
    <row r="33" spans="2:3" x14ac:dyDescent="0.35">
      <c r="B33" s="8"/>
      <c r="C33" s="8"/>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4367-4215-4A06-9ED3-BA417E26FB31}">
  <sheetPr>
    <pageSetUpPr fitToPage="1"/>
  </sheetPr>
  <dimension ref="A1:W33"/>
  <sheetViews>
    <sheetView workbookViewId="0">
      <selection activeCell="F10" sqref="F10"/>
    </sheetView>
  </sheetViews>
  <sheetFormatPr defaultColWidth="9.1796875" defaultRowHeight="14.5" x14ac:dyDescent="0.35"/>
  <cols>
    <col min="1" max="1" width="24.7265625" style="46" customWidth="1"/>
    <col min="2" max="2" width="16.1796875" style="46" customWidth="1"/>
    <col min="3" max="3" width="15.1796875" style="46" customWidth="1"/>
    <col min="4" max="4" width="14.26953125" style="46" customWidth="1"/>
    <col min="5" max="5" width="10.54296875" style="46" bestFit="1" customWidth="1"/>
    <col min="6" max="6" width="11.54296875" style="46" bestFit="1" customWidth="1"/>
    <col min="7" max="16384" width="9.1796875" style="46"/>
  </cols>
  <sheetData>
    <row r="1" spans="1:23" x14ac:dyDescent="0.35">
      <c r="A1" s="3" t="str">
        <f>+'PPC Cycle 3'!A1</f>
        <v>Evergy Missouri West, Inc. - DSIM Rider Update Filed 12/01/2024</v>
      </c>
    </row>
    <row r="2" spans="1:23" x14ac:dyDescent="0.35">
      <c r="A2" s="372" t="str">
        <f>+'PPC Cycle 4'!A2</f>
        <v>Projections for Cycle 4 January 2025 - December 2025 DSIM</v>
      </c>
    </row>
    <row r="3" spans="1:23" x14ac:dyDescent="0.35">
      <c r="A3" s="9"/>
    </row>
    <row r="4" spans="1:23" ht="40.5" customHeight="1" x14ac:dyDescent="0.35">
      <c r="B4" s="389" t="s">
        <v>310</v>
      </c>
      <c r="C4" s="389"/>
    </row>
    <row r="5" spans="1:23" ht="44.5" customHeight="1" x14ac:dyDescent="0.35">
      <c r="B5" s="142" t="s">
        <v>64</v>
      </c>
      <c r="C5" s="48" t="s">
        <v>29</v>
      </c>
      <c r="D5" s="378" t="str">
        <f>+'PPC Cycle 4'!D4</f>
        <v>3. Cycle 4 PY1- January 2025 - December 2025</v>
      </c>
    </row>
    <row r="6" spans="1:23" x14ac:dyDescent="0.35">
      <c r="A6" s="20" t="s">
        <v>24</v>
      </c>
      <c r="B6" s="23">
        <f>ROUND(SUM('[3]Monthly TD Calc TOU'!$F749:$Q749),4)</f>
        <v>2103766.2001999998</v>
      </c>
      <c r="C6" s="85">
        <f>SUM(D6:F6)</f>
        <v>148061.34</v>
      </c>
      <c r="D6" s="211">
        <f>ROUND(+SUM('[3]Monthly TD Calc TOU'!$F716:$Q716),2)</f>
        <v>148061.34</v>
      </c>
      <c r="G6" s="39"/>
      <c r="H6" s="39"/>
    </row>
    <row r="7" spans="1:23" x14ac:dyDescent="0.35">
      <c r="A7" s="20" t="s">
        <v>105</v>
      </c>
      <c r="B7" s="23">
        <f>ROUND(SUM('[3]Monthly TD Calc TOU'!$F750:$Q750),4)</f>
        <v>375884.09289999999</v>
      </c>
      <c r="C7" s="85">
        <f>SUM(D7:F7)</f>
        <v>13265.68</v>
      </c>
      <c r="D7" s="211">
        <f>ROUND(+SUM('[3]Monthly TD Calc TOU'!$F717:$Q717),2)</f>
        <v>13265.68</v>
      </c>
      <c r="G7" s="39"/>
      <c r="H7" s="39"/>
    </row>
    <row r="8" spans="1:23" x14ac:dyDescent="0.35">
      <c r="A8" s="20" t="s">
        <v>106</v>
      </c>
      <c r="B8" s="23">
        <f>ROUND(SUM('[3]Monthly TD Calc TOU'!$F752:$Q752),4)</f>
        <v>318851.18229999999</v>
      </c>
      <c r="C8" s="85">
        <f>SUM(D8:F8)</f>
        <v>11252.87</v>
      </c>
      <c r="D8" s="211">
        <f>ROUND(+SUM('[3]Monthly TD Calc TOU'!$F719:$Q719),2)</f>
        <v>11252.87</v>
      </c>
      <c r="G8" s="39"/>
      <c r="H8" s="39"/>
    </row>
    <row r="9" spans="1:23" x14ac:dyDescent="0.35">
      <c r="A9" s="20" t="s">
        <v>107</v>
      </c>
      <c r="B9" s="23">
        <f>ROUND(SUM('[3]Monthly TD Calc TOU'!$F753:$Q753),4)</f>
        <v>210677.24309999999</v>
      </c>
      <c r="C9" s="85">
        <f>SUM(D9:F9)</f>
        <v>7435.2</v>
      </c>
      <c r="D9" s="211">
        <f>ROUND(+SUM('[3]Monthly TD Calc TOU'!$F720:$Q720),2)</f>
        <v>7435.2</v>
      </c>
      <c r="G9" s="39"/>
      <c r="H9" s="39"/>
    </row>
    <row r="10" spans="1:23" x14ac:dyDescent="0.35">
      <c r="A10" s="30" t="s">
        <v>5</v>
      </c>
      <c r="B10" s="24">
        <f>SUM(B6:B9)</f>
        <v>3009178.7185</v>
      </c>
      <c r="C10" s="24">
        <f>SUM(C6:C9)</f>
        <v>180015.09</v>
      </c>
      <c r="D10" s="24">
        <f t="shared" ref="D10" si="0">SUM(D6:D9)</f>
        <v>180015.09</v>
      </c>
      <c r="Q10" s="325"/>
    </row>
    <row r="12" spans="1:23" x14ac:dyDescent="0.35">
      <c r="A12" s="69" t="s">
        <v>30</v>
      </c>
      <c r="B12" s="20"/>
      <c r="C12" s="21"/>
      <c r="N12" s="1"/>
      <c r="O12" s="1"/>
      <c r="P12" s="1"/>
      <c r="Q12" s="1"/>
      <c r="R12" s="1"/>
      <c r="S12" s="1"/>
      <c r="T12" s="1"/>
      <c r="U12" s="1"/>
      <c r="V12" s="1"/>
      <c r="W12" s="1"/>
    </row>
    <row r="13" spans="1:23" ht="45.65" customHeight="1" x14ac:dyDescent="0.35">
      <c r="A13" s="400" t="s">
        <v>327</v>
      </c>
      <c r="B13" s="400"/>
      <c r="C13" s="400"/>
      <c r="D13" s="400"/>
      <c r="E13" s="400"/>
      <c r="F13" s="3"/>
      <c r="G13" s="3"/>
      <c r="H13" s="3"/>
      <c r="I13" s="3"/>
      <c r="J13" s="3"/>
      <c r="K13" s="3"/>
      <c r="L13" s="3"/>
      <c r="M13" s="3"/>
    </row>
    <row r="14" spans="1:23" x14ac:dyDescent="0.35">
      <c r="A14" s="402" t="s">
        <v>309</v>
      </c>
      <c r="B14" s="402"/>
      <c r="C14" s="402"/>
      <c r="D14" s="402"/>
      <c r="E14" s="402"/>
      <c r="F14" s="3"/>
      <c r="G14" s="3"/>
      <c r="H14" s="3"/>
      <c r="I14" s="3"/>
      <c r="J14" s="3"/>
      <c r="K14" s="3"/>
      <c r="L14" s="3"/>
      <c r="M14" s="3"/>
    </row>
    <row r="15" spans="1:23" ht="31.15" customHeight="1" x14ac:dyDescent="0.35">
      <c r="A15" s="400" t="s">
        <v>328</v>
      </c>
      <c r="B15" s="400"/>
      <c r="C15" s="400"/>
      <c r="D15" s="400"/>
      <c r="E15" s="400"/>
      <c r="F15" s="3"/>
      <c r="G15" s="3"/>
      <c r="H15" s="3"/>
      <c r="I15" s="3"/>
      <c r="J15" s="3"/>
      <c r="K15" s="3"/>
      <c r="L15" s="3"/>
      <c r="M15" s="3"/>
    </row>
    <row r="24" spans="2:5" x14ac:dyDescent="0.35">
      <c r="E24" s="244"/>
    </row>
    <row r="29" spans="2:5" x14ac:dyDescent="0.35">
      <c r="B29" s="8"/>
      <c r="C29" s="8"/>
    </row>
    <row r="33" spans="2:3" x14ac:dyDescent="0.35">
      <c r="B33" s="8"/>
      <c r="C33" s="8"/>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63"/>
  <sheetViews>
    <sheetView zoomScale="85" zoomScaleNormal="85" workbookViewId="0">
      <pane xSplit="2" ySplit="13" topLeftCell="C14" activePane="bottomRight" state="frozen"/>
      <selection activeCell="B5" sqref="B5:C22"/>
      <selection pane="topRight" activeCell="B5" sqref="B5:C22"/>
      <selection pane="bottomLeft" activeCell="B5" sqref="B5:C22"/>
      <selection pane="bottomRight" activeCell="N17" sqref="N17"/>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6" style="46" customWidth="1"/>
    <col min="14" max="14" width="15" style="46" bestFit="1" customWidth="1"/>
    <col min="15" max="15" width="16" style="46" bestFit="1" customWidth="1"/>
    <col min="16" max="16" width="17.81640625" style="174" hidden="1" customWidth="1" outlineLevel="1"/>
    <col min="17" max="17" width="15.26953125" style="46" bestFit="1" customWidth="1" collapsed="1"/>
    <col min="18" max="18" width="17.453125" style="46" bestFit="1" customWidth="1"/>
    <col min="19" max="19" width="16.26953125" style="46" bestFit="1" customWidth="1"/>
    <col min="20" max="20" width="15.26953125" style="46" bestFit="1" customWidth="1"/>
    <col min="21" max="21" width="12.453125" style="46" customWidth="1"/>
    <col min="22" max="23" width="14.26953125" style="46" bestFit="1" customWidth="1"/>
    <col min="24" max="16384" width="9.1796875" style="46"/>
  </cols>
  <sheetData>
    <row r="1" spans="1:36" x14ac:dyDescent="0.35">
      <c r="A1" s="3" t="str">
        <f>+'PPC Cycle 3'!A1</f>
        <v>Evergy Missouri West, Inc. - DSIM Rider Update Filed 12/01/2024</v>
      </c>
      <c r="B1" s="3"/>
      <c r="C1" s="3"/>
      <c r="D1" s="3"/>
    </row>
    <row r="2" spans="1:36" x14ac:dyDescent="0.35">
      <c r="E2" s="3" t="s">
        <v>60</v>
      </c>
    </row>
    <row r="3" spans="1:36" ht="29" x14ac:dyDescent="0.35">
      <c r="E3" s="48" t="s">
        <v>45</v>
      </c>
      <c r="F3" s="70" t="s">
        <v>69</v>
      </c>
      <c r="G3" s="70" t="s">
        <v>53</v>
      </c>
      <c r="H3" s="48" t="s">
        <v>3</v>
      </c>
      <c r="I3" s="70" t="s">
        <v>54</v>
      </c>
      <c r="J3" s="48" t="s">
        <v>10</v>
      </c>
      <c r="K3" s="48" t="s">
        <v>9</v>
      </c>
      <c r="T3" s="48"/>
    </row>
    <row r="4" spans="1:36" x14ac:dyDescent="0.35">
      <c r="A4" s="20" t="s">
        <v>24</v>
      </c>
      <c r="B4" s="20"/>
      <c r="C4" s="20"/>
      <c r="D4" s="20"/>
      <c r="E4" s="22">
        <f>SUM(C18:M18)</f>
        <v>98241.14</v>
      </c>
      <c r="F4" s="128">
        <f>N24</f>
        <v>0</v>
      </c>
      <c r="G4" s="22">
        <f>SUM(C30:L30)</f>
        <v>0</v>
      </c>
      <c r="H4" s="22">
        <f>G4-E4</f>
        <v>-98241.14</v>
      </c>
      <c r="I4" s="22">
        <f>+B42</f>
        <v>174201.24999999965</v>
      </c>
      <c r="J4" s="22">
        <f>SUM(C47:L47)</f>
        <v>4500.1500000000005</v>
      </c>
      <c r="K4" s="25">
        <f>SUM(H4:J4)</f>
        <v>80460.259999999646</v>
      </c>
      <c r="L4" s="47">
        <f>+K4-M42</f>
        <v>0</v>
      </c>
    </row>
    <row r="5" spans="1:36" ht="15" thickBot="1" x14ac:dyDescent="0.4">
      <c r="A5" s="20" t="s">
        <v>25</v>
      </c>
      <c r="B5" s="20"/>
      <c r="C5" s="20"/>
      <c r="D5" s="20"/>
      <c r="E5" s="22">
        <f>SUM(C19:M21)</f>
        <v>52391.099999999991</v>
      </c>
      <c r="F5" s="128">
        <f>SUM(N25:N27)</f>
        <v>0</v>
      </c>
      <c r="G5" s="22">
        <f>SUM(C31:L33)</f>
        <v>0</v>
      </c>
      <c r="H5" s="22">
        <f>G5-E5</f>
        <v>-52391.099999999991</v>
      </c>
      <c r="I5" s="22">
        <f>+B43</f>
        <v>104743.25427000012</v>
      </c>
      <c r="J5" s="22">
        <f>SUM(C48:L48)</f>
        <v>2777.06</v>
      </c>
      <c r="K5" s="25">
        <f>SUM(H5:J5)</f>
        <v>55129.214270000128</v>
      </c>
      <c r="L5" s="47">
        <f>+K5-M43</f>
        <v>0</v>
      </c>
    </row>
    <row r="6" spans="1:36" ht="15.5" thickTop="1" thickBot="1" x14ac:dyDescent="0.4">
      <c r="E6" s="27">
        <f t="shared" ref="E6" si="0">SUM(E4:E5)</f>
        <v>150632.24</v>
      </c>
      <c r="F6" s="129">
        <f t="shared" ref="F6:I6" si="1">SUM(F4:F5)</f>
        <v>0</v>
      </c>
      <c r="G6" s="27">
        <f t="shared" si="1"/>
        <v>0</v>
      </c>
      <c r="H6" s="27">
        <f t="shared" si="1"/>
        <v>-150632.24</v>
      </c>
      <c r="I6" s="27">
        <f t="shared" si="1"/>
        <v>278944.5042699998</v>
      </c>
      <c r="J6" s="27">
        <f>SUM(J4:J5)</f>
        <v>7277.2100000000009</v>
      </c>
      <c r="K6" s="27">
        <f>SUM(K4:K5)</f>
        <v>135589.47426999977</v>
      </c>
      <c r="U6" s="5"/>
    </row>
    <row r="7" spans="1:36" ht="44" thickTop="1" x14ac:dyDescent="0.35">
      <c r="K7" s="208"/>
      <c r="L7" s="207" t="s">
        <v>122</v>
      </c>
    </row>
    <row r="8" spans="1:36" x14ac:dyDescent="0.35">
      <c r="A8" s="20" t="s">
        <v>105</v>
      </c>
      <c r="K8" s="25">
        <f>ROUND($K$5*L8,2)</f>
        <v>21615.77</v>
      </c>
      <c r="L8" s="205">
        <f>+'PCR Cycle 2'!K8</f>
        <v>0.39209287804949344</v>
      </c>
      <c r="M8" s="39"/>
    </row>
    <row r="9" spans="1:36" x14ac:dyDescent="0.35">
      <c r="A9" s="20" t="s">
        <v>106</v>
      </c>
      <c r="K9" s="25">
        <f t="shared" ref="K9:K10" si="2">ROUND($K$5*L9,2)</f>
        <v>25048.46</v>
      </c>
      <c r="L9" s="205">
        <f>+'PCR Cycle 2'!K9</f>
        <v>0.45435908608374953</v>
      </c>
      <c r="M9" s="39"/>
    </row>
    <row r="10" spans="1:36" ht="15" thickBot="1" x14ac:dyDescent="0.4">
      <c r="A10" s="20" t="s">
        <v>107</v>
      </c>
      <c r="J10" s="4"/>
      <c r="K10" s="25">
        <f t="shared" si="2"/>
        <v>8464.98</v>
      </c>
      <c r="L10" s="205">
        <f>+'PCR Cycle 2'!K10</f>
        <v>0.15354803586675725</v>
      </c>
      <c r="M10" s="39"/>
      <c r="W10" s="4"/>
    </row>
    <row r="11" spans="1:36" ht="15.5" thickTop="1" thickBot="1" x14ac:dyDescent="0.4">
      <c r="A11" s="20" t="s">
        <v>109</v>
      </c>
      <c r="E11" s="47"/>
      <c r="J11" s="47"/>
      <c r="K11" s="27">
        <f>SUM(K8:K10)</f>
        <v>55129.209999999992</v>
      </c>
      <c r="L11" s="206">
        <f>SUM(L8:L10)</f>
        <v>1.0000000000000002</v>
      </c>
      <c r="W11" s="4"/>
      <c r="X11" s="5"/>
    </row>
    <row r="12" spans="1:36" ht="15.5" thickTop="1" thickBot="1" x14ac:dyDescent="0.4">
      <c r="W12" s="4"/>
      <c r="X12" s="5"/>
    </row>
    <row r="13" spans="1:36" ht="105.75" customHeight="1" thickBot="1" x14ac:dyDescent="0.4">
      <c r="B13" s="112" t="str">
        <f>+'PCR Cycle 3'!B10</f>
        <v>Cumulative Over/Under Carryover From 06/01/2024 Filing</v>
      </c>
      <c r="C13" s="143" t="str">
        <f>+'PCR Cycle 3'!C10</f>
        <v>Reverse May 2024 - July 2024 Forecast From 06/01/2024 Filing</v>
      </c>
      <c r="D13" s="193"/>
      <c r="E13" s="395" t="s">
        <v>32</v>
      </c>
      <c r="F13" s="395"/>
      <c r="G13" s="396"/>
      <c r="H13" s="403" t="s">
        <v>32</v>
      </c>
      <c r="I13" s="404"/>
      <c r="J13" s="405"/>
      <c r="K13" s="392" t="s">
        <v>8</v>
      </c>
      <c r="L13" s="393"/>
      <c r="M13" s="394"/>
      <c r="P13" s="276" t="s">
        <v>221</v>
      </c>
    </row>
    <row r="14" spans="1:36" x14ac:dyDescent="0.35">
      <c r="A14" s="46" t="s">
        <v>62</v>
      </c>
      <c r="C14" s="102"/>
      <c r="D14" s="194">
        <f>+'PCR Cycle 3'!D14</f>
        <v>0</v>
      </c>
      <c r="E14" s="19">
        <f>+'PCR Cycle 2'!D14</f>
        <v>45443</v>
      </c>
      <c r="F14" s="19">
        <f t="shared" ref="F14:M14" si="3">EOMONTH(E14,1)</f>
        <v>45473</v>
      </c>
      <c r="G14" s="19">
        <f t="shared" si="3"/>
        <v>45504</v>
      </c>
      <c r="H14" s="14">
        <f t="shared" si="3"/>
        <v>45535</v>
      </c>
      <c r="I14" s="19">
        <f t="shared" si="3"/>
        <v>45565</v>
      </c>
      <c r="J14" s="15">
        <f t="shared" si="3"/>
        <v>45596</v>
      </c>
      <c r="K14" s="19">
        <f t="shared" si="3"/>
        <v>45626</v>
      </c>
      <c r="L14" s="19">
        <f t="shared" si="3"/>
        <v>45657</v>
      </c>
      <c r="M14" s="15">
        <f t="shared" si="3"/>
        <v>45688</v>
      </c>
      <c r="AA14" s="1"/>
      <c r="AB14" s="1"/>
      <c r="AC14" s="1"/>
      <c r="AD14" s="1"/>
      <c r="AE14" s="1"/>
      <c r="AF14" s="1"/>
      <c r="AG14" s="1"/>
      <c r="AH14" s="1"/>
      <c r="AI14" s="1"/>
      <c r="AJ14" s="1"/>
    </row>
    <row r="15" spans="1:36" x14ac:dyDescent="0.35">
      <c r="A15" s="46" t="s">
        <v>5</v>
      </c>
      <c r="C15" s="364">
        <v>0</v>
      </c>
      <c r="D15" s="177">
        <f>+D30+D33</f>
        <v>0</v>
      </c>
      <c r="E15" s="106">
        <f t="shared" ref="E15:L15" si="4">SUM(E30:E33)</f>
        <v>0</v>
      </c>
      <c r="F15" s="106">
        <f t="shared" si="4"/>
        <v>0</v>
      </c>
      <c r="G15" s="107">
        <f>SUM(G30:G33)</f>
        <v>0</v>
      </c>
      <c r="H15" s="16">
        <f t="shared" si="4"/>
        <v>0</v>
      </c>
      <c r="I15" s="55">
        <f t="shared" si="4"/>
        <v>0</v>
      </c>
      <c r="J15" s="154">
        <f t="shared" si="4"/>
        <v>0</v>
      </c>
      <c r="K15" s="147">
        <f t="shared" si="4"/>
        <v>0</v>
      </c>
      <c r="L15" s="77">
        <f t="shared" si="4"/>
        <v>0</v>
      </c>
      <c r="M15" s="78"/>
      <c r="P15" s="174">
        <f>-SUM(K15:M15)</f>
        <v>0</v>
      </c>
    </row>
    <row r="16" spans="1:36" x14ac:dyDescent="0.35">
      <c r="C16" s="299"/>
      <c r="D16" s="178"/>
      <c r="E16" s="17"/>
      <c r="F16" s="17"/>
      <c r="G16" s="17"/>
      <c r="H16" s="10"/>
      <c r="I16" s="17"/>
      <c r="J16" s="11"/>
      <c r="K16" s="31"/>
      <c r="L16" s="31"/>
      <c r="M16" s="29"/>
    </row>
    <row r="17" spans="1:16" x14ac:dyDescent="0.35">
      <c r="A17" s="46" t="s">
        <v>61</v>
      </c>
      <c r="C17" s="299"/>
      <c r="D17" s="178"/>
      <c r="E17" s="18"/>
      <c r="F17" s="18"/>
      <c r="G17" s="18"/>
      <c r="H17" s="317"/>
      <c r="I17" s="249"/>
      <c r="J17" s="321"/>
      <c r="K17" s="31"/>
      <c r="L17" s="31"/>
      <c r="M17" s="29"/>
      <c r="N17" s="63" t="s">
        <v>66</v>
      </c>
      <c r="O17" s="39"/>
    </row>
    <row r="18" spans="1:16" x14ac:dyDescent="0.35">
      <c r="A18" s="46" t="s">
        <v>24</v>
      </c>
      <c r="C18" s="364">
        <v>-60501.47</v>
      </c>
      <c r="D18" s="177">
        <v>0</v>
      </c>
      <c r="E18" s="126">
        <f>ROUND('[5]May 2024'!$G52,2)</f>
        <v>14801.5</v>
      </c>
      <c r="F18" s="126">
        <f>ROUND('[5]June 2024'!$G52,2)</f>
        <v>20173.8</v>
      </c>
      <c r="G18" s="126">
        <f>ROUND('[5]July 2024'!$G52,2)</f>
        <v>26816.69</v>
      </c>
      <c r="H18" s="16">
        <f>ROUND('[5]August 2024'!$G52,2)</f>
        <v>18598.87</v>
      </c>
      <c r="I18" s="55">
        <f>ROUND('[5]September 2024'!$G52,2)</f>
        <v>16784.650000000001</v>
      </c>
      <c r="J18" s="157">
        <f>ROUND('[5]October 2024'!$G52,2)</f>
        <v>13213.52</v>
      </c>
      <c r="K18" s="116">
        <f>ROUND('PCR Cycle 2'!J26*'TDR Cycle 2'!$N18,2)</f>
        <v>12081.94</v>
      </c>
      <c r="L18" s="41">
        <f>ROUND('PCR Cycle 2'!K26*'TDR Cycle 2'!$N18,2)</f>
        <v>16166.95</v>
      </c>
      <c r="M18" s="61">
        <f>ROUND('PCR Cycle 2'!L26*'TDR Cycle 2'!$N18,2)</f>
        <v>20104.689999999999</v>
      </c>
      <c r="N18" s="72">
        <v>5.0000000000000002E-5</v>
      </c>
      <c r="O18" s="4"/>
      <c r="P18" s="174">
        <f t="shared" ref="P18:P21" si="5">-SUM(K18:M18)</f>
        <v>-48353.58</v>
      </c>
    </row>
    <row r="19" spans="1:16" x14ac:dyDescent="0.35">
      <c r="A19" s="46" t="s">
        <v>105</v>
      </c>
      <c r="C19" s="364">
        <v>-23783.800000000003</v>
      </c>
      <c r="D19" s="177"/>
      <c r="E19" s="126">
        <f>ROUND('[5]May 2024'!$G53,2)</f>
        <v>7319.23</v>
      </c>
      <c r="F19" s="126">
        <f>ROUND('[5]June 2024'!$G53,2)</f>
        <v>7907.57</v>
      </c>
      <c r="G19" s="126">
        <f>ROUND('[5]July 2024'!$G53,2)</f>
        <v>9546.5</v>
      </c>
      <c r="H19" s="16">
        <f>ROUND('[5]August 2024'!$G53,2)</f>
        <v>3851.03</v>
      </c>
      <c r="I19" s="55">
        <f>ROUND('[5]September 2024'!$G53,2)</f>
        <v>3825.44</v>
      </c>
      <c r="J19" s="157">
        <f>ROUND('[5]October 2024'!$G53,2)</f>
        <v>3599.19</v>
      </c>
      <c r="K19" s="116">
        <f>ROUND('PCR Cycle 2'!J27*'TDR Cycle 2'!$N19,2)</f>
        <v>3184.18</v>
      </c>
      <c r="L19" s="41">
        <f>ROUND('PCR Cycle 2'!K27*'TDR Cycle 2'!$N19,2)</f>
        <v>3313.18</v>
      </c>
      <c r="M19" s="61">
        <f>ROUND('PCR Cycle 2'!L27*'TDR Cycle 2'!$N19,2)</f>
        <v>3259.27</v>
      </c>
      <c r="N19" s="72">
        <v>3.0000000000000001E-5</v>
      </c>
      <c r="O19" s="4"/>
      <c r="P19" s="174">
        <f t="shared" si="5"/>
        <v>-9756.6299999999992</v>
      </c>
    </row>
    <row r="20" spans="1:16" x14ac:dyDescent="0.35">
      <c r="A20" s="46" t="s">
        <v>106</v>
      </c>
      <c r="C20" s="364">
        <v>-26344.989999999998</v>
      </c>
      <c r="D20" s="177"/>
      <c r="E20" s="126">
        <f>ROUND('[5]May 2024'!$G54,2)</f>
        <v>7682.12</v>
      </c>
      <c r="F20" s="126">
        <f>ROUND('[5]June 2024'!$G54,2)</f>
        <v>8465.7199999999993</v>
      </c>
      <c r="G20" s="126">
        <f>ROUND('[5]July 2024'!$G54,2)</f>
        <v>9408.7900000000009</v>
      </c>
      <c r="H20" s="16">
        <f>ROUND('[5]August 2024'!$G54,2)</f>
        <v>3975.26</v>
      </c>
      <c r="I20" s="55">
        <f>ROUND('[5]September 2024'!$G54,2)</f>
        <v>4160.63</v>
      </c>
      <c r="J20" s="157">
        <f>ROUND('[5]October 2024'!$G54,2)</f>
        <v>3812.86</v>
      </c>
      <c r="K20" s="116">
        <f>ROUND('PCR Cycle 2'!J28*'TDR Cycle 2'!$N20,2)</f>
        <v>3601.39</v>
      </c>
      <c r="L20" s="41">
        <f>ROUND('PCR Cycle 2'!K28*'TDR Cycle 2'!$N20,2)</f>
        <v>3747.3</v>
      </c>
      <c r="M20" s="61">
        <f>ROUND('PCR Cycle 2'!L28*'TDR Cycle 2'!$N20,2)</f>
        <v>3686.32</v>
      </c>
      <c r="N20" s="72">
        <v>4.0000000000000003E-5</v>
      </c>
      <c r="O20" s="4"/>
      <c r="P20" s="174">
        <f t="shared" si="5"/>
        <v>-11035.01</v>
      </c>
    </row>
    <row r="21" spans="1:16" x14ac:dyDescent="0.35">
      <c r="A21" s="46" t="s">
        <v>107</v>
      </c>
      <c r="C21" s="364">
        <v>-7895.0400000000009</v>
      </c>
      <c r="D21" s="177">
        <v>0</v>
      </c>
      <c r="E21" s="126">
        <f>ROUND('[5]May 2024'!$G55,2)</f>
        <v>2569.62</v>
      </c>
      <c r="F21" s="126">
        <f>ROUND('[5]June 2024'!$G55,2)</f>
        <v>2447.8200000000002</v>
      </c>
      <c r="G21" s="126">
        <f>ROUND('[5]July 2024'!$G55,2)</f>
        <v>2939.91</v>
      </c>
      <c r="H21" s="16">
        <f>ROUND('[5]August 2024'!$G55,2)</f>
        <v>1530.45</v>
      </c>
      <c r="I21" s="55">
        <f>ROUND('[5]September 2024'!$G55,2)</f>
        <v>1538.42</v>
      </c>
      <c r="J21" s="157">
        <f>ROUND('[5]October 2024'!$G55,2)</f>
        <v>1397.1</v>
      </c>
      <c r="K21" s="116">
        <f>ROUND('PCR Cycle 2'!J29*'TDR Cycle 2'!$N21,2)</f>
        <v>1189.79</v>
      </c>
      <c r="L21" s="41">
        <f>ROUND('PCR Cycle 2'!K29*'TDR Cycle 2'!$N21,2)</f>
        <v>1237.99</v>
      </c>
      <c r="M21" s="61">
        <f>ROUND('PCR Cycle 2'!L29*'TDR Cycle 2'!$N21,2)</f>
        <v>1217.8499999999999</v>
      </c>
      <c r="N21" s="72">
        <v>2.0000000000000002E-5</v>
      </c>
      <c r="O21" s="4"/>
      <c r="P21" s="174">
        <f t="shared" si="5"/>
        <v>-3645.6299999999997</v>
      </c>
    </row>
    <row r="22" spans="1:16" x14ac:dyDescent="0.35">
      <c r="C22" s="301"/>
      <c r="D22" s="179"/>
      <c r="E22" s="68"/>
      <c r="F22" s="68"/>
      <c r="G22" s="68"/>
      <c r="H22" s="67"/>
      <c r="I22" s="68"/>
      <c r="J22" s="156"/>
      <c r="K22" s="56"/>
      <c r="L22" s="56"/>
      <c r="M22" s="13"/>
      <c r="O22" s="4"/>
    </row>
    <row r="23" spans="1:16" x14ac:dyDescent="0.35">
      <c r="A23" s="39" t="s">
        <v>65</v>
      </c>
      <c r="B23" s="39"/>
      <c r="C23" s="301"/>
      <c r="D23" s="179"/>
      <c r="E23" s="68"/>
      <c r="F23" s="68"/>
      <c r="G23" s="68"/>
      <c r="H23" s="67"/>
      <c r="I23" s="68"/>
      <c r="J23" s="326"/>
      <c r="K23" s="56"/>
      <c r="L23" s="56"/>
      <c r="M23" s="13"/>
      <c r="N23" s="7"/>
    </row>
    <row r="24" spans="1:16" x14ac:dyDescent="0.35">
      <c r="A24" s="46" t="s">
        <v>24</v>
      </c>
      <c r="C24" s="365">
        <v>0</v>
      </c>
      <c r="D24" s="180"/>
      <c r="E24" s="108">
        <v>0</v>
      </c>
      <c r="F24" s="108">
        <v>0</v>
      </c>
      <c r="G24" s="118">
        <v>0</v>
      </c>
      <c r="H24" s="73">
        <v>0</v>
      </c>
      <c r="I24" s="74">
        <v>0</v>
      </c>
      <c r="J24" s="157">
        <v>0</v>
      </c>
      <c r="K24" s="148">
        <v>0</v>
      </c>
      <c r="L24" s="134">
        <v>0</v>
      </c>
      <c r="M24" s="79"/>
      <c r="N24" s="59">
        <f>SUM(C24:L24)</f>
        <v>0</v>
      </c>
      <c r="P24" s="174">
        <f t="shared" ref="P24:P27" si="6">-SUM(K24:M24)</f>
        <v>0</v>
      </c>
    </row>
    <row r="25" spans="1:16" x14ac:dyDescent="0.35">
      <c r="A25" s="46" t="s">
        <v>105</v>
      </c>
      <c r="C25" s="365">
        <v>0</v>
      </c>
      <c r="D25" s="180"/>
      <c r="E25" s="108">
        <v>0</v>
      </c>
      <c r="F25" s="108">
        <v>0</v>
      </c>
      <c r="G25" s="118">
        <v>0</v>
      </c>
      <c r="H25" s="73">
        <v>0</v>
      </c>
      <c r="I25" s="74">
        <v>0</v>
      </c>
      <c r="J25" s="157">
        <v>0</v>
      </c>
      <c r="K25" s="148">
        <v>0</v>
      </c>
      <c r="L25" s="134">
        <v>0</v>
      </c>
      <c r="M25" s="79"/>
      <c r="N25" s="59">
        <f t="shared" ref="N25:N27" si="7">SUM(C25:L25)</f>
        <v>0</v>
      </c>
      <c r="P25" s="174">
        <f t="shared" si="6"/>
        <v>0</v>
      </c>
    </row>
    <row r="26" spans="1:16" x14ac:dyDescent="0.35">
      <c r="A26" s="46" t="s">
        <v>106</v>
      </c>
      <c r="C26" s="365">
        <v>0</v>
      </c>
      <c r="D26" s="180"/>
      <c r="E26" s="108">
        <v>0</v>
      </c>
      <c r="F26" s="108">
        <v>0</v>
      </c>
      <c r="G26" s="118">
        <v>0</v>
      </c>
      <c r="H26" s="73">
        <v>0</v>
      </c>
      <c r="I26" s="74">
        <v>0</v>
      </c>
      <c r="J26" s="157">
        <v>0</v>
      </c>
      <c r="K26" s="148">
        <v>0</v>
      </c>
      <c r="L26" s="134">
        <v>0</v>
      </c>
      <c r="M26" s="79"/>
      <c r="N26" s="59">
        <f t="shared" si="7"/>
        <v>0</v>
      </c>
      <c r="P26" s="174">
        <f t="shared" si="6"/>
        <v>0</v>
      </c>
    </row>
    <row r="27" spans="1:16" x14ac:dyDescent="0.35">
      <c r="A27" s="46" t="s">
        <v>107</v>
      </c>
      <c r="C27" s="365">
        <v>0</v>
      </c>
      <c r="D27" s="180"/>
      <c r="E27" s="108">
        <v>0</v>
      </c>
      <c r="F27" s="108">
        <v>0</v>
      </c>
      <c r="G27" s="118">
        <v>0</v>
      </c>
      <c r="H27" s="73">
        <v>0</v>
      </c>
      <c r="I27" s="74">
        <v>0</v>
      </c>
      <c r="J27" s="157">
        <v>0</v>
      </c>
      <c r="K27" s="148">
        <v>0</v>
      </c>
      <c r="L27" s="134">
        <v>0</v>
      </c>
      <c r="M27" s="79"/>
      <c r="N27" s="59">
        <f t="shared" si="7"/>
        <v>0</v>
      </c>
      <c r="P27" s="174">
        <f t="shared" si="6"/>
        <v>0</v>
      </c>
    </row>
    <row r="28" spans="1:16" x14ac:dyDescent="0.35">
      <c r="C28" s="301"/>
      <c r="D28" s="179"/>
      <c r="E28" s="68"/>
      <c r="F28" s="68"/>
      <c r="G28" s="68"/>
      <c r="H28" s="67"/>
      <c r="I28" s="68"/>
      <c r="J28" s="156"/>
      <c r="K28" s="56"/>
      <c r="L28" s="56"/>
      <c r="M28" s="13"/>
    </row>
    <row r="29" spans="1:16" x14ac:dyDescent="0.35">
      <c r="A29" s="46" t="s">
        <v>67</v>
      </c>
      <c r="C29" s="308"/>
      <c r="D29" s="181"/>
      <c r="E29" s="37"/>
      <c r="F29" s="37"/>
      <c r="G29" s="37"/>
      <c r="H29" s="36"/>
      <c r="I29" s="37"/>
      <c r="J29" s="158"/>
      <c r="K29" s="52"/>
      <c r="L29" s="52"/>
      <c r="M29" s="38"/>
    </row>
    <row r="30" spans="1:16" x14ac:dyDescent="0.35">
      <c r="A30" s="46" t="s">
        <v>24</v>
      </c>
      <c r="C30" s="364">
        <v>0</v>
      </c>
      <c r="D30" s="177"/>
      <c r="E30" s="126">
        <v>0</v>
      </c>
      <c r="F30" s="126">
        <v>0</v>
      </c>
      <c r="G30" s="126">
        <v>0</v>
      </c>
      <c r="H30" s="16">
        <v>0</v>
      </c>
      <c r="I30" s="55">
        <v>0</v>
      </c>
      <c r="J30" s="157">
        <v>0</v>
      </c>
      <c r="K30" s="149">
        <v>0</v>
      </c>
      <c r="L30" s="133">
        <v>0</v>
      </c>
      <c r="M30" s="78"/>
      <c r="P30" s="174">
        <f t="shared" ref="P30:P35" si="8">-SUM(K30:M30)</f>
        <v>0</v>
      </c>
    </row>
    <row r="31" spans="1:16" x14ac:dyDescent="0.35">
      <c r="A31" s="46" t="s">
        <v>105</v>
      </c>
      <c r="C31" s="364">
        <v>0</v>
      </c>
      <c r="D31" s="177"/>
      <c r="E31" s="126">
        <v>0</v>
      </c>
      <c r="F31" s="126">
        <v>0</v>
      </c>
      <c r="G31" s="126">
        <v>0</v>
      </c>
      <c r="H31" s="16">
        <v>0</v>
      </c>
      <c r="I31" s="55">
        <v>0</v>
      </c>
      <c r="J31" s="157">
        <v>0</v>
      </c>
      <c r="K31" s="149">
        <v>0</v>
      </c>
      <c r="L31" s="133">
        <v>0</v>
      </c>
      <c r="M31" s="78"/>
      <c r="P31" s="174">
        <f t="shared" si="8"/>
        <v>0</v>
      </c>
    </row>
    <row r="32" spans="1:16" x14ac:dyDescent="0.35">
      <c r="A32" s="46" t="s">
        <v>106</v>
      </c>
      <c r="C32" s="364">
        <v>0</v>
      </c>
      <c r="D32" s="177"/>
      <c r="E32" s="126">
        <v>0</v>
      </c>
      <c r="F32" s="126">
        <v>0</v>
      </c>
      <c r="G32" s="126">
        <v>0</v>
      </c>
      <c r="H32" s="16">
        <v>0</v>
      </c>
      <c r="I32" s="55">
        <v>0</v>
      </c>
      <c r="J32" s="157">
        <v>0</v>
      </c>
      <c r="K32" s="149">
        <v>0</v>
      </c>
      <c r="L32" s="133">
        <v>0</v>
      </c>
      <c r="M32" s="78"/>
      <c r="P32" s="174">
        <f t="shared" si="8"/>
        <v>0</v>
      </c>
    </row>
    <row r="33" spans="1:16" x14ac:dyDescent="0.35">
      <c r="A33" s="46" t="s">
        <v>107</v>
      </c>
      <c r="C33" s="364">
        <v>0</v>
      </c>
      <c r="D33" s="177"/>
      <c r="E33" s="126">
        <v>0</v>
      </c>
      <c r="F33" s="126">
        <v>0</v>
      </c>
      <c r="G33" s="126">
        <v>0</v>
      </c>
      <c r="H33" s="16">
        <v>0</v>
      </c>
      <c r="I33" s="55">
        <v>0</v>
      </c>
      <c r="J33" s="157">
        <v>0</v>
      </c>
      <c r="K33" s="149">
        <v>0</v>
      </c>
      <c r="L33" s="133">
        <v>0</v>
      </c>
      <c r="M33" s="78"/>
      <c r="O33" s="47"/>
      <c r="P33" s="174">
        <f t="shared" si="8"/>
        <v>0</v>
      </c>
    </row>
    <row r="34" spans="1:16" x14ac:dyDescent="0.35">
      <c r="C34" s="299"/>
      <c r="D34" s="178"/>
      <c r="E34" s="18"/>
      <c r="F34" s="18"/>
      <c r="G34" s="18"/>
      <c r="H34" s="90"/>
      <c r="I34" s="18"/>
      <c r="J34" s="155"/>
      <c r="K34" s="56"/>
      <c r="L34" s="56"/>
      <c r="M34" s="13"/>
    </row>
    <row r="35" spans="1:16" ht="15" thickBot="1" x14ac:dyDescent="0.4">
      <c r="A35" s="3" t="s">
        <v>15</v>
      </c>
      <c r="B35" s="3"/>
      <c r="C35" s="366">
        <v>-3933.85</v>
      </c>
      <c r="D35" s="182"/>
      <c r="E35" s="126">
        <v>2059</v>
      </c>
      <c r="F35" s="126">
        <f>1879.06+0.01</f>
        <v>1879.07</v>
      </c>
      <c r="G35" s="127">
        <v>1650.22</v>
      </c>
      <c r="H35" s="26">
        <f>1442.13-0.01</f>
        <v>1442.1200000000001</v>
      </c>
      <c r="I35" s="115">
        <f>1242.09+0.01</f>
        <v>1242.0999999999999</v>
      </c>
      <c r="J35" s="159">
        <v>1081.43</v>
      </c>
      <c r="K35" s="150">
        <f>ROUND((SUM(J42:J43)+SUM(J47:J48)+SUM(K38:K39)/2)*K$45,2)</f>
        <v>981.72</v>
      </c>
      <c r="L35" s="135">
        <f>ROUND((SUM(K42:K43)+SUM(K47:K48)+SUM(L38:L39)/2)*L$45,2)+0.01</f>
        <v>875.41</v>
      </c>
      <c r="M35" s="81"/>
      <c r="P35" s="174">
        <f t="shared" si="8"/>
        <v>-1857.13</v>
      </c>
    </row>
    <row r="36" spans="1:16" x14ac:dyDescent="0.35">
      <c r="C36" s="64"/>
      <c r="D36" s="185"/>
      <c r="E36" s="66"/>
      <c r="F36" s="66"/>
      <c r="G36" s="33"/>
      <c r="H36" s="64"/>
      <c r="I36" s="33"/>
      <c r="J36" s="160"/>
      <c r="K36" s="34"/>
      <c r="L36" s="34"/>
      <c r="M36" s="60"/>
    </row>
    <row r="37" spans="1:16" x14ac:dyDescent="0.35">
      <c r="A37" s="46" t="s">
        <v>51</v>
      </c>
      <c r="C37" s="65"/>
      <c r="D37" s="186"/>
      <c r="E37" s="35"/>
      <c r="F37" s="35"/>
      <c r="G37" s="35"/>
      <c r="H37" s="65"/>
      <c r="I37" s="35"/>
      <c r="J37" s="161"/>
      <c r="K37" s="34"/>
      <c r="L37" s="34"/>
      <c r="M37" s="60"/>
    </row>
    <row r="38" spans="1:16" x14ac:dyDescent="0.35">
      <c r="A38" s="46" t="s">
        <v>24</v>
      </c>
      <c r="C38" s="183">
        <f t="shared" ref="C38:M38" si="9">C30-C18</f>
        <v>60501.47</v>
      </c>
      <c r="D38" s="187">
        <f t="shared" si="9"/>
        <v>0</v>
      </c>
      <c r="E38" s="41">
        <f t="shared" si="9"/>
        <v>-14801.5</v>
      </c>
      <c r="F38" s="41">
        <f>F30-F18</f>
        <v>-20173.8</v>
      </c>
      <c r="G38" s="105">
        <f>G30-G18</f>
        <v>-26816.69</v>
      </c>
      <c r="H38" s="40">
        <f>H30-H18</f>
        <v>-18598.87</v>
      </c>
      <c r="I38" s="41">
        <f>I30-I18</f>
        <v>-16784.650000000001</v>
      </c>
      <c r="J38" s="61">
        <f>J30-J18</f>
        <v>-13213.52</v>
      </c>
      <c r="K38" s="116">
        <f t="shared" si="9"/>
        <v>-12081.94</v>
      </c>
      <c r="L38" s="41">
        <f t="shared" si="9"/>
        <v>-16166.95</v>
      </c>
      <c r="M38" s="61">
        <f t="shared" si="9"/>
        <v>-20104.689999999999</v>
      </c>
    </row>
    <row r="39" spans="1:16" x14ac:dyDescent="0.35">
      <c r="A39" s="46" t="s">
        <v>25</v>
      </c>
      <c r="C39" s="183">
        <f>SUM(C31:C33)-SUM(C19:C21)</f>
        <v>58023.83</v>
      </c>
      <c r="D39" s="187">
        <f t="shared" ref="D39:M39" si="10">SUM(D31:D33)-SUM(D19:D21)</f>
        <v>0</v>
      </c>
      <c r="E39" s="41">
        <f t="shared" si="10"/>
        <v>-17570.969999999998</v>
      </c>
      <c r="F39" s="41">
        <f>SUM(F31:F33)-SUM(F19:F21)</f>
        <v>-18821.11</v>
      </c>
      <c r="G39" s="105">
        <f>SUM(G31:G33)-SUM(G19:G21)</f>
        <v>-21895.200000000001</v>
      </c>
      <c r="H39" s="40">
        <f>SUM(H31:H33)-SUM(H19:H21)</f>
        <v>-9356.7400000000016</v>
      </c>
      <c r="I39" s="41">
        <f>SUM(I31:I33)-SUM(I19:I21)</f>
        <v>-9524.49</v>
      </c>
      <c r="J39" s="61">
        <f>SUM(J31:J33)-SUM(J19:J21)</f>
        <v>-8809.15</v>
      </c>
      <c r="K39" s="116">
        <f t="shared" si="10"/>
        <v>-7975.36</v>
      </c>
      <c r="L39" s="41">
        <f t="shared" si="10"/>
        <v>-8298.4699999999993</v>
      </c>
      <c r="M39" s="61">
        <f t="shared" si="10"/>
        <v>-8163.4400000000005</v>
      </c>
    </row>
    <row r="40" spans="1:16" x14ac:dyDescent="0.35">
      <c r="C40" s="98"/>
      <c r="D40" s="178"/>
      <c r="E40" s="17"/>
      <c r="F40" s="17"/>
      <c r="G40" s="17"/>
      <c r="H40" s="10"/>
      <c r="I40" s="17"/>
      <c r="J40" s="11"/>
      <c r="K40" s="17"/>
      <c r="L40" s="17"/>
      <c r="M40" s="11"/>
    </row>
    <row r="41" spans="1:16" ht="15" thickBot="1" x14ac:dyDescent="0.4">
      <c r="A41" s="46" t="s">
        <v>52</v>
      </c>
      <c r="C41" s="98"/>
      <c r="D41" s="178"/>
      <c r="E41" s="17"/>
      <c r="F41" s="17"/>
      <c r="G41" s="17"/>
      <c r="H41" s="10"/>
      <c r="I41" s="17"/>
      <c r="J41" s="11"/>
      <c r="K41" s="17"/>
      <c r="L41" s="17"/>
      <c r="M41" s="11"/>
    </row>
    <row r="42" spans="1:16" x14ac:dyDescent="0.35">
      <c r="A42" s="46" t="s">
        <v>24</v>
      </c>
      <c r="B42" s="302">
        <v>174201.24999999965</v>
      </c>
      <c r="C42" s="183">
        <f t="shared" ref="C42:E43" si="11">+B42+C38+B47</f>
        <v>234702.71999999965</v>
      </c>
      <c r="D42" s="187">
        <f t="shared" si="11"/>
        <v>232337.64999999964</v>
      </c>
      <c r="E42" s="41">
        <f t="shared" si="11"/>
        <v>217536.14999999964</v>
      </c>
      <c r="F42" s="41">
        <f t="shared" ref="F42:M42" si="12">+E42+F38+E47</f>
        <v>198589.70999999964</v>
      </c>
      <c r="G42" s="105">
        <f>+F42+G38+F47</f>
        <v>172913.80999999965</v>
      </c>
      <c r="H42" s="40">
        <f t="shared" si="12"/>
        <v>155333.89999999964</v>
      </c>
      <c r="I42" s="41">
        <f t="shared" si="12"/>
        <v>139444.94999999966</v>
      </c>
      <c r="J42" s="61">
        <f t="shared" si="12"/>
        <v>126998.53999999966</v>
      </c>
      <c r="K42" s="116">
        <f t="shared" si="12"/>
        <v>115584.10999999965</v>
      </c>
      <c r="L42" s="41">
        <f t="shared" si="12"/>
        <v>100024.81999999966</v>
      </c>
      <c r="M42" s="61">
        <f t="shared" si="12"/>
        <v>80460.25999999966</v>
      </c>
    </row>
    <row r="43" spans="1:16" ht="15" thickBot="1" x14ac:dyDescent="0.4">
      <c r="A43" s="46" t="s">
        <v>25</v>
      </c>
      <c r="B43" s="303">
        <v>104743.25427000012</v>
      </c>
      <c r="C43" s="183">
        <f t="shared" si="11"/>
        <v>162767.08427000011</v>
      </c>
      <c r="D43" s="187">
        <f t="shared" si="11"/>
        <v>161198.30427000011</v>
      </c>
      <c r="E43" s="41">
        <f t="shared" si="11"/>
        <v>143627.33427000011</v>
      </c>
      <c r="F43" s="41">
        <f t="shared" ref="F43:M43" si="13">+E43+F39+E48</f>
        <v>125637.86427000011</v>
      </c>
      <c r="G43" s="105">
        <f>+F43+G39+F48</f>
        <v>104480.94427000011</v>
      </c>
      <c r="H43" s="40">
        <f t="shared" si="13"/>
        <v>95755.464270000099</v>
      </c>
      <c r="I43" s="41">
        <f t="shared" si="13"/>
        <v>86777.394270000092</v>
      </c>
      <c r="J43" s="61">
        <f t="shared" si="13"/>
        <v>78443.234270000103</v>
      </c>
      <c r="K43" s="116">
        <f t="shared" si="13"/>
        <v>70881.7942700001</v>
      </c>
      <c r="L43" s="41">
        <f t="shared" si="13"/>
        <v>62957.384270000097</v>
      </c>
      <c r="M43" s="61">
        <f t="shared" si="13"/>
        <v>55129.214270000091</v>
      </c>
    </row>
    <row r="44" spans="1:16" x14ac:dyDescent="0.35">
      <c r="C44" s="98"/>
      <c r="D44" s="178"/>
      <c r="E44" s="17"/>
      <c r="F44" s="17"/>
      <c r="G44" s="17"/>
      <c r="H44" s="10"/>
      <c r="I44" s="17"/>
      <c r="J44" s="11"/>
      <c r="K44" s="17"/>
      <c r="L44" s="17"/>
      <c r="M44" s="11"/>
    </row>
    <row r="45" spans="1:16" x14ac:dyDescent="0.35">
      <c r="A45" s="39" t="s">
        <v>121</v>
      </c>
      <c r="B45" s="39"/>
      <c r="C45" s="101"/>
      <c r="D45" s="188"/>
      <c r="E45" s="309">
        <f>+'PCR Cycle 3'!E45</f>
        <v>5.4564799999999997E-3</v>
      </c>
      <c r="F45" s="309">
        <f>+'PCR Cycle 3'!F45</f>
        <v>5.4667700000000001E-3</v>
      </c>
      <c r="G45" s="309">
        <f>+'PCR Cycle 3'!G45</f>
        <v>5.46883E-3</v>
      </c>
      <c r="H45" s="310">
        <f>+'PCR Cycle 3'!H45</f>
        <v>5.4406000000000003E-3</v>
      </c>
      <c r="I45" s="309">
        <f>+'PCR Cycle 3'!I45</f>
        <v>5.1888699999999999E-3</v>
      </c>
      <c r="J45" s="311">
        <f>+'PCR Cycle 3'!J45</f>
        <v>4.9961500000000004E-3</v>
      </c>
      <c r="K45" s="383">
        <f>J45</f>
        <v>4.9961500000000004E-3</v>
      </c>
      <c r="L45" s="381">
        <f>J45</f>
        <v>4.9961500000000004E-3</v>
      </c>
      <c r="M45" s="311"/>
    </row>
    <row r="46" spans="1:16" x14ac:dyDescent="0.35">
      <c r="A46" s="39" t="s">
        <v>36</v>
      </c>
      <c r="B46" s="39"/>
      <c r="C46" s="103"/>
      <c r="D46" s="189"/>
      <c r="E46" s="82"/>
      <c r="F46" s="82"/>
      <c r="G46" s="82"/>
      <c r="H46" s="83"/>
      <c r="I46" s="82"/>
      <c r="J46" s="84"/>
      <c r="K46" s="82"/>
      <c r="L46" s="82"/>
      <c r="M46" s="84"/>
    </row>
    <row r="47" spans="1:16" x14ac:dyDescent="0.35">
      <c r="A47" s="46" t="s">
        <v>24</v>
      </c>
      <c r="C47" s="367">
        <v>-2365.0699999999997</v>
      </c>
      <c r="D47" s="187"/>
      <c r="E47" s="41">
        <f>ROUND((D42+D47+E38/2)*E$45,2)</f>
        <v>1227.3599999999999</v>
      </c>
      <c r="F47" s="41">
        <f t="shared" ref="F47:F48" si="14">ROUND((E42+E47+F38/2)*F$45,2)</f>
        <v>1140.79</v>
      </c>
      <c r="G47" s="105">
        <f t="shared" ref="G47:G48" si="15">ROUND((F42+F47+G38/2)*G$45,2)</f>
        <v>1018.96</v>
      </c>
      <c r="H47" s="40">
        <f t="shared" ref="H47:H48" si="16">ROUND((G42+G47+H38/2)*H$45,2)</f>
        <v>895.7</v>
      </c>
      <c r="I47" s="116">
        <f t="shared" ref="I47:J48" si="17">ROUND((H42+H47+I38/2)*I$45,2)</f>
        <v>767.11</v>
      </c>
      <c r="J47" s="61">
        <f t="shared" si="17"/>
        <v>667.51</v>
      </c>
      <c r="K47" s="151">
        <f t="shared" ref="K47:K48" si="18">ROUND((J42+J47+K38/2)*K$45,2)</f>
        <v>607.66</v>
      </c>
      <c r="L47" s="105">
        <f t="shared" ref="L47:L48" si="19">ROUND((K42+K47+L38/2)*L$45,2)</f>
        <v>540.13</v>
      </c>
      <c r="M47" s="61">
        <f t="shared" ref="M47:M48" si="20">ROUND((L42+L47+M38/2)*M$45,2)</f>
        <v>0</v>
      </c>
      <c r="P47" s="174">
        <f t="shared" ref="P47:P48" si="21">-SUM(K47:M47)</f>
        <v>-1147.79</v>
      </c>
    </row>
    <row r="48" spans="1:16" ht="15" thickBot="1" x14ac:dyDescent="0.4">
      <c r="A48" s="46" t="s">
        <v>25</v>
      </c>
      <c r="C48" s="367">
        <v>-1568.78</v>
      </c>
      <c r="D48" s="187"/>
      <c r="E48" s="41">
        <f>ROUND((D43+D48+E39/2)*E$45,2)</f>
        <v>831.64</v>
      </c>
      <c r="F48" s="41">
        <f t="shared" si="14"/>
        <v>738.28</v>
      </c>
      <c r="G48" s="105">
        <f t="shared" si="15"/>
        <v>631.26</v>
      </c>
      <c r="H48" s="40">
        <f t="shared" si="16"/>
        <v>546.41999999999996</v>
      </c>
      <c r="I48" s="116">
        <f t="shared" si="17"/>
        <v>474.99</v>
      </c>
      <c r="J48" s="61">
        <f t="shared" si="17"/>
        <v>413.92</v>
      </c>
      <c r="K48" s="151">
        <f t="shared" si="18"/>
        <v>374.06</v>
      </c>
      <c r="L48" s="105">
        <f t="shared" si="19"/>
        <v>335.27</v>
      </c>
      <c r="M48" s="61">
        <f t="shared" si="20"/>
        <v>0</v>
      </c>
      <c r="P48" s="174">
        <f t="shared" si="21"/>
        <v>-709.32999999999993</v>
      </c>
    </row>
    <row r="49" spans="1:13" ht="15.5" thickTop="1" thickBot="1" x14ac:dyDescent="0.4">
      <c r="A49" s="54" t="s">
        <v>22</v>
      </c>
      <c r="B49" s="54"/>
      <c r="C49" s="184">
        <v>0</v>
      </c>
      <c r="D49" s="190"/>
      <c r="E49" s="42">
        <f>SUM(E47:E48)+SUM(E42:E43)-E52</f>
        <v>0</v>
      </c>
      <c r="F49" s="42">
        <f t="shared" ref="F49:M49" si="22">SUM(F47:F48)+SUM(F42:F43)-F52</f>
        <v>0</v>
      </c>
      <c r="G49" s="50">
        <f t="shared" si="22"/>
        <v>0</v>
      </c>
      <c r="H49" s="51">
        <f t="shared" si="22"/>
        <v>0</v>
      </c>
      <c r="I49" s="42">
        <f t="shared" si="22"/>
        <v>0</v>
      </c>
      <c r="J49" s="62">
        <f t="shared" si="22"/>
        <v>0</v>
      </c>
      <c r="K49" s="152">
        <f t="shared" si="22"/>
        <v>0</v>
      </c>
      <c r="L49" s="50">
        <f t="shared" si="22"/>
        <v>0</v>
      </c>
      <c r="M49" s="62">
        <f t="shared" si="22"/>
        <v>0</v>
      </c>
    </row>
    <row r="50" spans="1:13" ht="15.5" thickTop="1" thickBot="1" x14ac:dyDescent="0.4">
      <c r="A50" s="54" t="s">
        <v>23</v>
      </c>
      <c r="B50" s="54"/>
      <c r="C50" s="184">
        <v>0</v>
      </c>
      <c r="D50" s="190"/>
      <c r="E50" s="42">
        <f>SUM(E47:E48)-E35</f>
        <v>0</v>
      </c>
      <c r="F50" s="42">
        <f t="shared" ref="F50:J50" si="23">SUM(F47:F48)-F35</f>
        <v>0</v>
      </c>
      <c r="G50" s="50">
        <f t="shared" ref="G50:I50" si="24">SUM(G47:G48)-G35</f>
        <v>0</v>
      </c>
      <c r="H50" s="51">
        <f t="shared" si="24"/>
        <v>0</v>
      </c>
      <c r="I50" s="42">
        <f t="shared" si="24"/>
        <v>0</v>
      </c>
      <c r="J50" s="62">
        <f t="shared" si="23"/>
        <v>0</v>
      </c>
      <c r="K50" s="153">
        <f t="shared" ref="K50:M50" si="25">SUM(K47:K48)-K35</f>
        <v>0</v>
      </c>
      <c r="L50" s="42">
        <f t="shared" si="25"/>
        <v>-9.9999999999909051E-3</v>
      </c>
      <c r="M50" s="42">
        <f t="shared" si="25"/>
        <v>0</v>
      </c>
    </row>
    <row r="51" spans="1:13" ht="15.5" thickTop="1" thickBot="1" x14ac:dyDescent="0.4">
      <c r="C51" s="98"/>
      <c r="D51" s="178"/>
      <c r="E51" s="17"/>
      <c r="F51" s="17"/>
      <c r="G51" s="17"/>
      <c r="H51" s="10"/>
      <c r="I51" s="17"/>
      <c r="J51" s="11"/>
      <c r="K51" s="17"/>
      <c r="L51" s="17"/>
      <c r="M51" s="11"/>
    </row>
    <row r="52" spans="1:13" ht="15" thickBot="1" x14ac:dyDescent="0.4">
      <c r="A52" s="46" t="s">
        <v>35</v>
      </c>
      <c r="B52" s="113">
        <f>+B42+B43</f>
        <v>278944.5042699998</v>
      </c>
      <c r="C52" s="183">
        <f t="shared" ref="C52:M52" si="26">(C15-SUM(C18:C21))+SUM(C47:C48)+B52</f>
        <v>393535.95426999981</v>
      </c>
      <c r="D52" s="187">
        <f t="shared" si="26"/>
        <v>393535.95426999981</v>
      </c>
      <c r="E52" s="41">
        <f t="shared" si="26"/>
        <v>363222.48426999984</v>
      </c>
      <c r="F52" s="41">
        <f>(F15-SUM(F18:F21))+SUM(F47:F48)+E52</f>
        <v>326106.64426999982</v>
      </c>
      <c r="G52" s="105">
        <f>(G15-SUM(G18:G21))+SUM(G47:G48)+F52</f>
        <v>279044.97426999983</v>
      </c>
      <c r="H52" s="40">
        <f>(H15-SUM(H18:H21))+SUM(H47:H48)+G52</f>
        <v>252531.48426999984</v>
      </c>
      <c r="I52" s="41">
        <f>(I15-SUM(I18:I21))+SUM(I47:I48)+H52</f>
        <v>227464.44426999983</v>
      </c>
      <c r="J52" s="61">
        <f>(J15-SUM(J18:J21))+SUM(J47:J48)+I52</f>
        <v>206523.20426999984</v>
      </c>
      <c r="K52" s="151">
        <f t="shared" si="26"/>
        <v>187447.62426999985</v>
      </c>
      <c r="L52" s="105">
        <f t="shared" si="26"/>
        <v>163857.60426999987</v>
      </c>
      <c r="M52" s="61">
        <f t="shared" si="26"/>
        <v>135589.47426999986</v>
      </c>
    </row>
    <row r="53" spans="1:13" x14ac:dyDescent="0.35">
      <c r="A53" s="46" t="s">
        <v>12</v>
      </c>
      <c r="C53" s="114"/>
      <c r="D53" s="191"/>
      <c r="E53" s="17"/>
      <c r="F53" s="17"/>
      <c r="G53" s="17"/>
      <c r="H53" s="10"/>
      <c r="I53" s="17"/>
      <c r="J53" s="11"/>
      <c r="K53" s="17"/>
      <c r="L53" s="17"/>
      <c r="M53" s="11"/>
    </row>
    <row r="54" spans="1:13" ht="15" thickBot="1" x14ac:dyDescent="0.4">
      <c r="A54" s="37"/>
      <c r="B54" s="37"/>
      <c r="C54" s="138"/>
      <c r="D54" s="192"/>
      <c r="E54" s="44"/>
      <c r="F54" s="44"/>
      <c r="G54" s="44"/>
      <c r="H54" s="43"/>
      <c r="I54" s="44"/>
      <c r="J54" s="45"/>
      <c r="K54" s="44"/>
      <c r="L54" s="44"/>
      <c r="M54" s="45"/>
    </row>
    <row r="56" spans="1:13" x14ac:dyDescent="0.35">
      <c r="A56" s="69" t="s">
        <v>11</v>
      </c>
      <c r="B56" s="69"/>
      <c r="C56" s="69"/>
      <c r="D56" s="69"/>
    </row>
    <row r="57" spans="1:13" ht="34.5" customHeight="1" x14ac:dyDescent="0.35">
      <c r="A57" s="390" t="s">
        <v>222</v>
      </c>
      <c r="B57" s="390"/>
      <c r="C57" s="390"/>
      <c r="D57" s="390"/>
      <c r="E57" s="390"/>
      <c r="F57" s="390"/>
      <c r="G57" s="390"/>
      <c r="H57" s="390"/>
      <c r="I57" s="390"/>
      <c r="J57" s="390"/>
      <c r="K57" s="176"/>
      <c r="L57" s="136"/>
      <c r="M57" s="136"/>
    </row>
    <row r="58" spans="1:13" ht="56.5" customHeight="1" x14ac:dyDescent="0.35">
      <c r="A58" s="390" t="s">
        <v>251</v>
      </c>
      <c r="B58" s="391"/>
      <c r="C58" s="391"/>
      <c r="D58" s="391"/>
      <c r="E58" s="391"/>
      <c r="F58" s="391"/>
      <c r="G58" s="391"/>
      <c r="H58" s="391"/>
      <c r="I58" s="391"/>
      <c r="J58" s="391"/>
      <c r="K58" s="391"/>
      <c r="L58" s="136"/>
      <c r="M58" s="136"/>
    </row>
    <row r="59" spans="1:13" ht="33.75" customHeight="1" x14ac:dyDescent="0.35">
      <c r="A59" s="390" t="s">
        <v>223</v>
      </c>
      <c r="B59" s="390"/>
      <c r="C59" s="390"/>
      <c r="D59" s="390"/>
      <c r="E59" s="390"/>
      <c r="F59" s="390"/>
      <c r="G59" s="390"/>
      <c r="H59" s="390"/>
      <c r="I59" s="390"/>
      <c r="J59" s="390"/>
      <c r="K59" s="176"/>
      <c r="L59" s="136"/>
      <c r="M59" s="136"/>
    </row>
    <row r="60" spans="1:13" x14ac:dyDescent="0.35">
      <c r="A60" s="390" t="s">
        <v>256</v>
      </c>
      <c r="B60" s="391"/>
      <c r="C60" s="391"/>
      <c r="D60" s="391"/>
      <c r="E60" s="391"/>
      <c r="F60" s="391"/>
      <c r="G60" s="391"/>
      <c r="H60" s="391"/>
      <c r="I60" s="391"/>
      <c r="J60" s="391"/>
      <c r="K60" s="391"/>
    </row>
    <row r="61" spans="1:13" x14ac:dyDescent="0.35">
      <c r="A61" s="63" t="s">
        <v>289</v>
      </c>
      <c r="B61" s="3"/>
      <c r="C61" s="3"/>
      <c r="D61" s="3"/>
    </row>
    <row r="62" spans="1:13" x14ac:dyDescent="0.35">
      <c r="A62" s="3" t="s">
        <v>68</v>
      </c>
      <c r="B62" s="3"/>
      <c r="C62" s="3"/>
      <c r="D62" s="3"/>
    </row>
    <row r="63" spans="1:13" x14ac:dyDescent="0.35">
      <c r="A63" s="3" t="s">
        <v>178</v>
      </c>
      <c r="B63" s="3"/>
      <c r="C63" s="3"/>
      <c r="D63" s="3"/>
    </row>
  </sheetData>
  <mergeCells count="7">
    <mergeCell ref="A60:K60"/>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J67"/>
  <sheetViews>
    <sheetView zoomScale="85" zoomScaleNormal="85" workbookViewId="0">
      <pane xSplit="2" ySplit="11" topLeftCell="C12" activePane="bottomRight" state="frozen"/>
      <selection activeCell="B5" sqref="B5:C22"/>
      <selection pane="topRight" activeCell="B5" sqref="B5:C22"/>
      <selection pane="bottomLeft" activeCell="B5" sqref="B5:C22"/>
      <selection pane="bottomRight" activeCell="R54" sqref="R54:R60"/>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customWidth="1" outlineLevel="1"/>
    <col min="5" max="5" width="15.453125" style="46" customWidth="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7.81640625" style="174" hidden="1" customWidth="1" outlineLevel="1"/>
    <col min="17" max="17" width="15.26953125" style="46" bestFit="1" customWidth="1" collapsed="1"/>
    <col min="18" max="18" width="17.453125" style="46" bestFit="1" customWidth="1"/>
    <col min="19" max="19" width="16.26953125" style="46" bestFit="1" customWidth="1"/>
    <col min="20" max="20" width="15.26953125" style="46" bestFit="1" customWidth="1"/>
    <col min="21" max="21" width="12.453125" style="46" customWidth="1"/>
    <col min="22" max="23" width="14.26953125" style="46" bestFit="1" customWidth="1"/>
    <col min="24" max="16384" width="9.1796875" style="46"/>
  </cols>
  <sheetData>
    <row r="1" spans="1:36" x14ac:dyDescent="0.35">
      <c r="A1" s="3" t="str">
        <f>+'PPC Cycle 3'!A1</f>
        <v>Evergy Missouri West, Inc. - DSIM Rider Update Filed 12/01/2024</v>
      </c>
      <c r="B1" s="3"/>
      <c r="C1" s="3"/>
      <c r="D1" s="3"/>
    </row>
    <row r="2" spans="1:36" x14ac:dyDescent="0.35">
      <c r="E2" s="3" t="s">
        <v>137</v>
      </c>
    </row>
    <row r="3" spans="1:36" ht="29" x14ac:dyDescent="0.35">
      <c r="E3" s="48" t="s">
        <v>45</v>
      </c>
      <c r="F3" s="70" t="s">
        <v>69</v>
      </c>
      <c r="G3" s="70" t="s">
        <v>53</v>
      </c>
      <c r="H3" s="48" t="s">
        <v>3</v>
      </c>
      <c r="I3" s="70" t="s">
        <v>54</v>
      </c>
      <c r="J3" s="48" t="s">
        <v>10</v>
      </c>
      <c r="K3" s="48" t="s">
        <v>9</v>
      </c>
      <c r="T3" s="48"/>
    </row>
    <row r="4" spans="1:36" x14ac:dyDescent="0.35">
      <c r="A4" s="20" t="s">
        <v>24</v>
      </c>
      <c r="B4" s="20"/>
      <c r="C4" s="20"/>
      <c r="D4" s="20"/>
      <c r="E4" s="22">
        <f>SUM(C15:M15)</f>
        <v>957757.03</v>
      </c>
      <c r="F4" s="128">
        <f>N21</f>
        <v>22158893.468486357</v>
      </c>
      <c r="G4" s="22">
        <f>SUM(C27:L27)</f>
        <v>1133212.9100000001</v>
      </c>
      <c r="H4" s="22">
        <f>G4-E4</f>
        <v>175455.88000000012</v>
      </c>
      <c r="I4" s="22">
        <f>+B41</f>
        <v>-178363.07999999978</v>
      </c>
      <c r="J4" s="22">
        <f>SUM(C48:L48)</f>
        <v>5927.0300000000007</v>
      </c>
      <c r="K4" s="25">
        <f>SUM(H4:J4)</f>
        <v>3019.8300000003383</v>
      </c>
      <c r="L4" s="47">
        <f>+K4-M41</f>
        <v>-5.4569682106375694E-12</v>
      </c>
    </row>
    <row r="5" spans="1:36" x14ac:dyDescent="0.35">
      <c r="A5" s="20" t="s">
        <v>105</v>
      </c>
      <c r="B5" s="20"/>
      <c r="C5" s="20"/>
      <c r="D5" s="20"/>
      <c r="E5" s="22">
        <f>SUM(C16:M16)</f>
        <v>393897.10000000003</v>
      </c>
      <c r="F5" s="128">
        <f>N22</f>
        <v>9823003</v>
      </c>
      <c r="G5" s="22">
        <f>SUM(C28:L28)</f>
        <v>454663.04999999993</v>
      </c>
      <c r="H5" s="22">
        <f t="shared" ref="H5:H6" si="0">G5-E5</f>
        <v>60765.949999999895</v>
      </c>
      <c r="I5" s="22">
        <f>+B42</f>
        <v>-89360.130000000034</v>
      </c>
      <c r="J5" s="22">
        <f>SUM(C49:L49)</f>
        <v>486.32999999999987</v>
      </c>
      <c r="K5" s="25">
        <f t="shared" ref="K5:K6" si="1">SUM(H5:J5)</f>
        <v>-28107.85000000014</v>
      </c>
      <c r="L5" s="47">
        <f t="shared" ref="L5:L6" si="2">+K5-M42</f>
        <v>-9.822542779147625E-11</v>
      </c>
    </row>
    <row r="6" spans="1:36" x14ac:dyDescent="0.35">
      <c r="A6" s="20" t="s">
        <v>106</v>
      </c>
      <c r="B6" s="20"/>
      <c r="C6" s="20"/>
      <c r="D6" s="20"/>
      <c r="E6" s="22">
        <f>SUM(C17:M17)</f>
        <v>356034.89</v>
      </c>
      <c r="F6" s="128">
        <f>N23</f>
        <v>16640284.270000001</v>
      </c>
      <c r="G6" s="22">
        <f>SUM(C29:L29)</f>
        <v>377078.67</v>
      </c>
      <c r="H6" s="22">
        <f t="shared" si="0"/>
        <v>21043.77999999997</v>
      </c>
      <c r="I6" s="22">
        <f>+B43</f>
        <v>25143.120000000064</v>
      </c>
      <c r="J6" s="22">
        <f>SUM(C50:L50)</f>
        <v>3116.5499999999997</v>
      </c>
      <c r="K6" s="25">
        <f t="shared" si="1"/>
        <v>49303.450000000041</v>
      </c>
      <c r="L6" s="47">
        <f t="shared" si="2"/>
        <v>0</v>
      </c>
    </row>
    <row r="7" spans="1:36" ht="15" thickBot="1" x14ac:dyDescent="0.4">
      <c r="A7" s="20" t="s">
        <v>107</v>
      </c>
      <c r="B7" s="20"/>
      <c r="C7" s="20"/>
      <c r="D7" s="20"/>
      <c r="E7" s="22">
        <f>SUM(C18:M18)</f>
        <v>67713.38</v>
      </c>
      <c r="F7" s="128">
        <f>N24</f>
        <v>5735869.7800000003</v>
      </c>
      <c r="G7" s="22">
        <f>SUM(C30:L30)</f>
        <v>59669.560000000005</v>
      </c>
      <c r="H7" s="22">
        <f>G7-E7</f>
        <v>-8043.82</v>
      </c>
      <c r="I7" s="22">
        <f>+B44</f>
        <v>21555.660000000022</v>
      </c>
      <c r="J7" s="22">
        <f>SUM(C51:L51)</f>
        <v>987.2</v>
      </c>
      <c r="K7" s="25">
        <f>SUM(H7:J7)</f>
        <v>14499.040000000023</v>
      </c>
      <c r="L7" s="47">
        <f>+K7-M44</f>
        <v>-1.4551915228366852E-11</v>
      </c>
    </row>
    <row r="8" spans="1:36" ht="15.5" thickTop="1" thickBot="1" x14ac:dyDescent="0.4">
      <c r="E8" s="27">
        <f t="shared" ref="E8:K8" si="3">SUM(E4:E7)</f>
        <v>1775402.4</v>
      </c>
      <c r="F8" s="129">
        <f t="shared" si="3"/>
        <v>54358050.518486358</v>
      </c>
      <c r="G8" s="27">
        <f t="shared" si="3"/>
        <v>2024624.19</v>
      </c>
      <c r="H8" s="27">
        <f t="shared" si="3"/>
        <v>249221.78999999998</v>
      </c>
      <c r="I8" s="27">
        <f t="shared" si="3"/>
        <v>-221024.42999999976</v>
      </c>
      <c r="J8" s="27">
        <f t="shared" si="3"/>
        <v>10517.11</v>
      </c>
      <c r="K8" s="27">
        <f t="shared" si="3"/>
        <v>38714.470000000263</v>
      </c>
      <c r="U8" s="5"/>
    </row>
    <row r="9" spans="1:36" ht="15.5" thickTop="1" thickBot="1" x14ac:dyDescent="0.4">
      <c r="W9" s="4"/>
      <c r="X9" s="5"/>
    </row>
    <row r="10" spans="1:36" ht="87.5" thickBot="1" x14ac:dyDescent="0.4">
      <c r="B10" s="112" t="str">
        <f>+'PCR Cycle 2'!B13</f>
        <v>Cumulative Over/Under Carryover From 06/01/2024 Filing</v>
      </c>
      <c r="C10" s="143" t="str">
        <f>+'PCR Cycle 2'!C13</f>
        <v>Reverse May 2024 - July 2024 Forecast From 06/01/2024 Filing</v>
      </c>
      <c r="D10" s="368" t="s">
        <v>296</v>
      </c>
      <c r="E10" s="409" t="s">
        <v>32</v>
      </c>
      <c r="F10" s="395"/>
      <c r="G10" s="396"/>
      <c r="H10" s="403" t="s">
        <v>32</v>
      </c>
      <c r="I10" s="404"/>
      <c r="J10" s="405"/>
      <c r="K10" s="392" t="s">
        <v>8</v>
      </c>
      <c r="L10" s="393"/>
      <c r="M10" s="394"/>
      <c r="P10" s="276" t="s">
        <v>221</v>
      </c>
    </row>
    <row r="11" spans="1:36" x14ac:dyDescent="0.35">
      <c r="A11" s="46" t="s">
        <v>62</v>
      </c>
      <c r="C11" s="102"/>
      <c r="D11" s="194"/>
      <c r="E11" s="19">
        <f>+'PCR Cycle 2'!D14</f>
        <v>45443</v>
      </c>
      <c r="F11" s="19">
        <f t="shared" ref="F11:M11" si="4">EOMONTH(E11,1)</f>
        <v>45473</v>
      </c>
      <c r="G11" s="19">
        <f t="shared" si="4"/>
        <v>45504</v>
      </c>
      <c r="H11" s="14">
        <f t="shared" si="4"/>
        <v>45535</v>
      </c>
      <c r="I11" s="19">
        <f t="shared" si="4"/>
        <v>45565</v>
      </c>
      <c r="J11" s="15">
        <f t="shared" si="4"/>
        <v>45596</v>
      </c>
      <c r="K11" s="19">
        <f t="shared" si="4"/>
        <v>45626</v>
      </c>
      <c r="L11" s="19">
        <f t="shared" si="4"/>
        <v>45657</v>
      </c>
      <c r="M11" s="15">
        <f t="shared" si="4"/>
        <v>45688</v>
      </c>
      <c r="AA11" s="1"/>
      <c r="AB11" s="1"/>
      <c r="AC11" s="1"/>
      <c r="AD11" s="1"/>
      <c r="AE11" s="1"/>
      <c r="AF11" s="1"/>
      <c r="AG11" s="1"/>
      <c r="AH11" s="1"/>
      <c r="AI11" s="1"/>
      <c r="AJ11" s="1"/>
    </row>
    <row r="12" spans="1:36" x14ac:dyDescent="0.35">
      <c r="A12" s="46" t="s">
        <v>5</v>
      </c>
      <c r="C12" s="369">
        <v>-602936.29</v>
      </c>
      <c r="D12" s="177">
        <f>SUM(D27:D30)</f>
        <v>-405.22999999992317</v>
      </c>
      <c r="E12" s="106">
        <f>SUM(E27:E30)</f>
        <v>224005.55000000002</v>
      </c>
      <c r="F12" s="106">
        <f t="shared" ref="F12:L12" si="5">SUM(F27:F30)</f>
        <v>371917.20000000007</v>
      </c>
      <c r="G12" s="107">
        <f t="shared" si="5"/>
        <v>474330.67</v>
      </c>
      <c r="H12" s="16">
        <f t="shared" si="5"/>
        <v>471987.52</v>
      </c>
      <c r="I12" s="55">
        <f t="shared" si="5"/>
        <v>370235.31</v>
      </c>
      <c r="J12" s="154">
        <f t="shared" si="5"/>
        <v>233558.41999999998</v>
      </c>
      <c r="K12" s="147">
        <f t="shared" si="5"/>
        <v>236844.59</v>
      </c>
      <c r="L12" s="77">
        <f t="shared" si="5"/>
        <v>245086.44999999998</v>
      </c>
      <c r="M12" s="78"/>
      <c r="P12" s="174">
        <f>-SUM(K12:M12)</f>
        <v>-481931.04</v>
      </c>
    </row>
    <row r="13" spans="1:36" x14ac:dyDescent="0.35">
      <c r="C13" s="98"/>
      <c r="D13" s="178"/>
      <c r="E13" s="17"/>
      <c r="F13" s="17"/>
      <c r="G13" s="17"/>
      <c r="H13" s="10"/>
      <c r="I13" s="17"/>
      <c r="J13" s="11"/>
      <c r="K13" s="31"/>
      <c r="L13" s="31"/>
      <c r="M13" s="29"/>
    </row>
    <row r="14" spans="1:36" x14ac:dyDescent="0.35">
      <c r="A14" s="46" t="s">
        <v>61</v>
      </c>
      <c r="C14" s="98"/>
      <c r="D14" s="178"/>
      <c r="E14" s="18"/>
      <c r="F14" s="18"/>
      <c r="G14" s="18"/>
      <c r="H14" s="90"/>
      <c r="I14" s="18"/>
      <c r="J14" s="155"/>
      <c r="K14" s="31"/>
      <c r="L14" s="31"/>
      <c r="M14" s="29"/>
      <c r="N14" s="63" t="s">
        <v>66</v>
      </c>
      <c r="O14" s="39"/>
    </row>
    <row r="15" spans="1:36" x14ac:dyDescent="0.35">
      <c r="A15" s="46" t="s">
        <v>24</v>
      </c>
      <c r="C15" s="369">
        <v>-354365.79000000004</v>
      </c>
      <c r="D15" s="177">
        <v>0</v>
      </c>
      <c r="E15" s="126">
        <f>ROUND('[5]May 2024'!$G90,2)</f>
        <v>86703.360000000001</v>
      </c>
      <c r="F15" s="126">
        <f>ROUND('[5]June 2024'!$G90,2)</f>
        <v>118175.3</v>
      </c>
      <c r="G15" s="126">
        <f>ROUND('[5]July 2024'!$G90,2)</f>
        <v>157115.82999999999</v>
      </c>
      <c r="H15" s="16">
        <f>ROUND('[5]August 2024'!$G90,2)</f>
        <v>182229.69</v>
      </c>
      <c r="I15" s="55">
        <f>ROUND('[5]September 2024'!$G90,2)</f>
        <v>164516.19</v>
      </c>
      <c r="J15" s="229">
        <f>ROUND('[5]October 2024'!$G90,2)</f>
        <v>129517.28</v>
      </c>
      <c r="K15" s="116">
        <f>ROUND('PCR Cycle 2'!J26*'TDR Cycle 3'!$N15,2)</f>
        <v>118403.01</v>
      </c>
      <c r="L15" s="41">
        <f>ROUND('PCR Cycle 2'!K26*'TDR Cycle 3'!$N15,2)</f>
        <v>158436.15</v>
      </c>
      <c r="M15" s="61">
        <f>ROUND('PCR Cycle 2'!L26*'TDR Cycle 3'!$N15,2)</f>
        <v>197026.01</v>
      </c>
      <c r="N15" s="72">
        <v>4.8999999999999998E-4</v>
      </c>
      <c r="O15" s="4"/>
      <c r="P15" s="174">
        <f t="shared" ref="P15:P18" si="6">-SUM(K15:M15)</f>
        <v>-473865.17</v>
      </c>
    </row>
    <row r="16" spans="1:36" x14ac:dyDescent="0.35">
      <c r="A16" s="46" t="s">
        <v>105</v>
      </c>
      <c r="C16" s="369">
        <v>-105328.23000000001</v>
      </c>
      <c r="D16" s="177">
        <v>0</v>
      </c>
      <c r="E16" s="126">
        <f>ROUND('[5]May 2024'!$G91,2)</f>
        <v>30817.61</v>
      </c>
      <c r="F16" s="126">
        <f>ROUND('[5]June 2024'!$G91,2)</f>
        <v>35046.870000000003</v>
      </c>
      <c r="G16" s="126">
        <f>ROUND('[5]July 2024'!$G91,2)</f>
        <v>42753.47</v>
      </c>
      <c r="H16" s="16">
        <f>ROUND('[5]August 2024'!$G91,2)</f>
        <v>71563.740000000005</v>
      </c>
      <c r="I16" s="55">
        <f>ROUND('[5]September 2024'!$G91,2)</f>
        <v>71604.490000000005</v>
      </c>
      <c r="J16" s="229">
        <f>ROUND('[5]October 2024'!$G91,2)</f>
        <v>65315.39</v>
      </c>
      <c r="K16" s="116">
        <f>ROUND('PCR Cycle 2'!J27*'TDR Cycle 3'!$N16,2)</f>
        <v>59438</v>
      </c>
      <c r="L16" s="41">
        <f>ROUND('PCR Cycle 2'!K27*'TDR Cycle 3'!$N16,2)</f>
        <v>61846.080000000002</v>
      </c>
      <c r="M16" s="61">
        <f>ROUND('PCR Cycle 2'!L27*'TDR Cycle 3'!$N16,2)</f>
        <v>60839.68</v>
      </c>
      <c r="N16" s="72">
        <v>5.5999999999999995E-4</v>
      </c>
      <c r="O16" s="4"/>
      <c r="P16" s="174">
        <f t="shared" si="6"/>
        <v>-182123.76</v>
      </c>
    </row>
    <row r="17" spans="1:16" x14ac:dyDescent="0.35">
      <c r="A17" s="46" t="s">
        <v>106</v>
      </c>
      <c r="C17" s="369">
        <v>-117088.86000000002</v>
      </c>
      <c r="D17" s="177">
        <v>0</v>
      </c>
      <c r="E17" s="126">
        <f>ROUND('[5]May 2024'!$G92,2)</f>
        <v>35485.480000000003</v>
      </c>
      <c r="F17" s="126">
        <f>ROUND('[5]June 2024'!$G92,2)</f>
        <v>37666.61</v>
      </c>
      <c r="G17" s="126">
        <f>ROUND('[5]July 2024'!$G92,2)</f>
        <v>42433.41</v>
      </c>
      <c r="H17" s="16">
        <f>ROUND('[5]August 2024'!$G92,2)</f>
        <v>62404.67</v>
      </c>
      <c r="I17" s="55">
        <f>ROUND('[5]September 2024'!$G92,2)</f>
        <v>64655.19</v>
      </c>
      <c r="J17" s="229">
        <f>ROUND('[5]October 2024'!$G92,2)</f>
        <v>59435.75</v>
      </c>
      <c r="K17" s="116">
        <f>ROUND('PCR Cycle 2'!J28*'TDR Cycle 3'!$N17,2)</f>
        <v>55821.56</v>
      </c>
      <c r="L17" s="41">
        <f>ROUND('PCR Cycle 2'!K28*'TDR Cycle 3'!$N17,2)</f>
        <v>58083.12</v>
      </c>
      <c r="M17" s="61">
        <f>ROUND('PCR Cycle 2'!L28*'TDR Cycle 3'!$N17,2)</f>
        <v>57137.96</v>
      </c>
      <c r="N17" s="72">
        <v>6.2E-4</v>
      </c>
      <c r="O17" s="4"/>
      <c r="P17" s="174">
        <f t="shared" si="6"/>
        <v>-171042.63999999998</v>
      </c>
    </row>
    <row r="18" spans="1:16" x14ac:dyDescent="0.35">
      <c r="A18" s="46" t="s">
        <v>107</v>
      </c>
      <c r="C18" s="369">
        <v>-7895.0400000000009</v>
      </c>
      <c r="D18" s="177">
        <v>0</v>
      </c>
      <c r="E18" s="126">
        <f>ROUND('[5]May 2024'!$G93,2)</f>
        <v>2582.87</v>
      </c>
      <c r="F18" s="126">
        <f>ROUND('[5]June 2024'!$G93,2)</f>
        <v>2450.13</v>
      </c>
      <c r="G18" s="126">
        <f>ROUND('[5]July 2024'!$G93,2)</f>
        <v>3425.35</v>
      </c>
      <c r="H18" s="16">
        <f>ROUND('[5]August 2024'!$G93,2)</f>
        <v>11103.84</v>
      </c>
      <c r="I18" s="55">
        <f>ROUND('[5]September 2024'!$G93,2)</f>
        <v>13105.69</v>
      </c>
      <c r="J18" s="229">
        <f>ROUND('[5]October 2024'!$G93,2)</f>
        <v>11952.71</v>
      </c>
      <c r="K18" s="116">
        <f>ROUND('PCR Cycle 2'!J29*'TDR Cycle 3'!$N18,2)</f>
        <v>10113.200000000001</v>
      </c>
      <c r="L18" s="41">
        <f>ROUND('PCR Cycle 2'!K29*'TDR Cycle 3'!$N18,2)</f>
        <v>10522.93</v>
      </c>
      <c r="M18" s="61">
        <f>ROUND('PCR Cycle 2'!L29*'TDR Cycle 3'!$N18,2)</f>
        <v>10351.700000000001</v>
      </c>
      <c r="N18" s="72">
        <v>1.6999999999999999E-4</v>
      </c>
      <c r="O18" s="4"/>
      <c r="P18" s="174">
        <f t="shared" si="6"/>
        <v>-30987.83</v>
      </c>
    </row>
    <row r="19" spans="1:16" x14ac:dyDescent="0.35">
      <c r="C19" s="67"/>
      <c r="D19" s="179"/>
      <c r="E19" s="68"/>
      <c r="F19" s="68"/>
      <c r="G19" s="68"/>
      <c r="H19" s="67"/>
      <c r="I19" s="68"/>
      <c r="J19" s="156"/>
      <c r="K19" s="56"/>
      <c r="L19" s="56"/>
      <c r="M19" s="13"/>
      <c r="O19" s="4"/>
    </row>
    <row r="20" spans="1:16" x14ac:dyDescent="0.35">
      <c r="A20" s="39" t="s">
        <v>65</v>
      </c>
      <c r="B20" s="39"/>
      <c r="C20" s="67"/>
      <c r="D20" s="179"/>
      <c r="E20" s="68"/>
      <c r="F20" s="68"/>
      <c r="G20" s="68"/>
      <c r="H20" s="67"/>
      <c r="I20" s="68"/>
      <c r="J20" s="326"/>
      <c r="K20" s="68"/>
      <c r="L20" s="68"/>
      <c r="M20" s="13"/>
      <c r="N20" s="7"/>
    </row>
    <row r="21" spans="1:16" x14ac:dyDescent="0.35">
      <c r="A21" s="46" t="s">
        <v>24</v>
      </c>
      <c r="C21" s="370">
        <v>-6445013.580000001</v>
      </c>
      <c r="D21" s="180">
        <f>SUM('[13]Summary Monthly TD Calc'!$O18:$S18)-SUM('[14]Summary Monthly TD Calc'!$M18:$Q18)</f>
        <v>-10454.501513641328</v>
      </c>
      <c r="E21" s="108">
        <f>ROUND(SUM('[13]Monthly TD Calc-PY1-3'!BE461:BE461),2)+ROUND(SUM('[13]Monthly TD Calc-PY4'!BE469:BE469),2)+ROUND(SUM('[13]Monthly TD Calc-PY5'!BE577:BE577),2)</f>
        <v>3100438.5700000003</v>
      </c>
      <c r="F21" s="108">
        <f>ROUND(SUM('[13]Monthly TD Calc-PY1-3'!BF461:BF461),2)+ROUND(SUM('[13]Monthly TD Calc-PY4'!BF469:BF469),2)+ROUND(SUM('[13]Monthly TD Calc-PY5'!BF577:BF577),2)</f>
        <v>3287943.63</v>
      </c>
      <c r="G21" s="108">
        <f>ROUND(SUM('[13]Monthly TD Calc-PY1-3'!BG461:BG461),2)+ROUND(SUM('[13]Monthly TD Calc-PY4'!BG469:BG469),2)+ROUND(SUM('[13]Monthly TD Calc-PY5'!BG577:BG577),2)</f>
        <v>4492241.08</v>
      </c>
      <c r="H21" s="73">
        <f>ROUND(SUM('[13]Monthly TD Calc-PY1-3'!BH461:BH461),2)+ROUND(SUM('[13]Monthly TD Calc-PY4'!BH469:BH469),2)+ROUND(SUM('[13]Monthly TD Calc-PY5'!BH577:BH577),2)</f>
        <v>4364887.68</v>
      </c>
      <c r="I21" s="74">
        <f>ROUND(SUM('[13]Monthly TD Calc-PY1-3'!BI461:BI461),2)+ROUND(SUM('[13]Monthly TD Calc-PY4'!BI469:BI469),2)+ROUND(SUM('[13]Monthly TD Calc-PY5'!BI577:BI577),2)</f>
        <v>3212479.8699999996</v>
      </c>
      <c r="J21" s="157">
        <f>ROUND(SUM('[13]Monthly TD Calc-PY1-3'!BJ461:BJ461),2)+ROUND(SUM('[13]Monthly TD Calc-PY4'!BJ469:BJ469),2)+ROUND(SUM('[13]Monthly TD Calc-PY5'!BJ577:BJ577),2)</f>
        <v>3274595.97</v>
      </c>
      <c r="K21" s="148">
        <f>ROUND(SUM('[13]Monthly TD Calc-PY1-3'!BK461:BK461),2)+ROUND(SUM('[13]Monthly TD Calc-PY4'!BK469:BK469),2)+ROUND(SUM('[13]Monthly TD Calc-PY5'!BK577:BK577),2)</f>
        <v>3205946.74</v>
      </c>
      <c r="L21" s="134">
        <f>ROUND(SUM('[13]Monthly TD Calc-PY1-3'!BL461:BL461),2)+ROUND(SUM('[13]Monthly TD Calc-PY4'!BL469:BL469),2)+ROUND(SUM('[13]Monthly TD Calc-PY5'!BL577:BL577),2)</f>
        <v>3675828.0100000002</v>
      </c>
      <c r="M21" s="79"/>
      <c r="N21" s="59">
        <f>SUM(C21:L21)</f>
        <v>22158893.468486357</v>
      </c>
      <c r="P21" s="174">
        <f t="shared" ref="P21:P24" si="7">-SUM(K21:M21)</f>
        <v>-6881774.75</v>
      </c>
    </row>
    <row r="22" spans="1:16" x14ac:dyDescent="0.35">
      <c r="A22" s="46" t="s">
        <v>105</v>
      </c>
      <c r="C22" s="370">
        <v>-2896099.2199999997</v>
      </c>
      <c r="D22" s="180">
        <f>SUM('[13]Summary Monthly TD Calc'!$O19:$S19)-SUM('[14]Summary Monthly TD Calc'!$M19:$Q19)</f>
        <v>0</v>
      </c>
      <c r="E22" s="108">
        <f>ROUND(SUM('[13]Monthly TD Calc-PY1-3'!BE462:BE462),2)+ROUND(SUM('[13]Monthly TD Calc-PY4'!BE470:BE470),2)+ROUND(SUM('[13]Monthly TD Calc-PY5'!BE578:BE578),2)</f>
        <v>1425836.3599999999</v>
      </c>
      <c r="F22" s="108">
        <f>ROUND(SUM('[13]Monthly TD Calc-PY1-3'!BF462:BF462),2)+ROUND(SUM('[13]Monthly TD Calc-PY4'!BF470:BF470),2)+ROUND(SUM('[13]Monthly TD Calc-PY5'!BF578:BF578),2)</f>
        <v>1406025.72</v>
      </c>
      <c r="G22" s="108">
        <f>ROUND(SUM('[13]Monthly TD Calc-PY1-3'!BG462:BG462),2)+ROUND(SUM('[13]Monthly TD Calc-PY4'!BG470:BG470),2)+ROUND(SUM('[13]Monthly TD Calc-PY5'!BG578:BG578),2)</f>
        <v>1577804.82</v>
      </c>
      <c r="H22" s="73">
        <f>ROUND(SUM('[13]Monthly TD Calc-PY1-3'!BH462:BH462),2)+ROUND(SUM('[13]Monthly TD Calc-PY4'!BH470:BH470),2)+ROUND(SUM('[13]Monthly TD Calc-PY5'!BH578:BH578),2)</f>
        <v>1678317.19</v>
      </c>
      <c r="I22" s="74">
        <f>ROUND(SUM('[13]Monthly TD Calc-PY1-3'!BI462:BI462),2)+ROUND(SUM('[13]Monthly TD Calc-PY4'!BI470:BI470),2)+ROUND(SUM('[13]Monthly TD Calc-PY5'!BI578:BI578),2)</f>
        <v>1533401.52</v>
      </c>
      <c r="J22" s="157">
        <f>ROUND(SUM('[13]Monthly TD Calc-PY1-3'!BJ462:BJ462),2)+ROUND(SUM('[13]Monthly TD Calc-PY4'!BJ470:BJ470),2)+ROUND(SUM('[13]Monthly TD Calc-PY5'!BJ578:BJ578),2)</f>
        <v>1629893.1</v>
      </c>
      <c r="K22" s="148">
        <f>ROUND(SUM('[13]Monthly TD Calc-PY1-3'!BK462:BK462),2)+ROUND(SUM('[13]Monthly TD Calc-PY4'!BK470:BK470),2)+ROUND(SUM('[13]Monthly TD Calc-PY5'!BK578:BK578),2)</f>
        <v>1613876.6099999999</v>
      </c>
      <c r="L22" s="134">
        <f>ROUND(SUM('[13]Monthly TD Calc-PY1-3'!BL462:BL462),2)+ROUND(SUM('[13]Monthly TD Calc-PY4'!BL470:BL470),2)+ROUND(SUM('[13]Monthly TD Calc-PY5'!BL578:BL578),2)</f>
        <v>1853946.9</v>
      </c>
      <c r="M22" s="79"/>
      <c r="N22" s="59">
        <f t="shared" ref="N22:N24" si="8">SUM(C22:L22)</f>
        <v>9823003</v>
      </c>
      <c r="P22" s="174">
        <f t="shared" si="7"/>
        <v>-3467823.51</v>
      </c>
    </row>
    <row r="23" spans="1:16" x14ac:dyDescent="0.35">
      <c r="A23" s="46" t="s">
        <v>106</v>
      </c>
      <c r="C23" s="370">
        <v>-4903400.9399999995</v>
      </c>
      <c r="D23" s="180">
        <f>SUM('[13]Summary Monthly TD Calc'!$O21:$S21)-SUM('[14]Summary Monthly TD Calc'!$M21:$Q21)</f>
        <v>0</v>
      </c>
      <c r="E23" s="108">
        <f>ROUND(SUM('[13]Monthly TD Calc-PY1-3'!BE464:BE464),2)+ROUND(SUM('[13]Monthly TD Calc-PY4'!BE472:BE472),2)+ROUND(SUM('[13]Monthly TD Calc-PY5'!BE580:BE580),2)</f>
        <v>2461738.9500000002</v>
      </c>
      <c r="F23" s="108">
        <f>ROUND(SUM('[13]Monthly TD Calc-PY1-3'!BF464:BF464),2)+ROUND(SUM('[13]Monthly TD Calc-PY4'!BF472:BF472),2)+ROUND(SUM('[13]Monthly TD Calc-PY5'!BF580:BF580),2)</f>
        <v>2405586.4900000002</v>
      </c>
      <c r="G23" s="108">
        <f>ROUND(SUM('[13]Monthly TD Calc-PY1-3'!BG464:BG464),2)+ROUND(SUM('[13]Monthly TD Calc-PY4'!BG472:BG472),2)+ROUND(SUM('[13]Monthly TD Calc-PY5'!BG580:BG580),2)</f>
        <v>2628453</v>
      </c>
      <c r="H23" s="73">
        <f>ROUND(SUM('[13]Monthly TD Calc-PY1-3'!BH464:BH464),2)+ROUND(SUM('[13]Monthly TD Calc-PY4'!BH472:BH472),2)+ROUND(SUM('[13]Monthly TD Calc-PY5'!BH580:BH580),2)</f>
        <v>2835433.96</v>
      </c>
      <c r="I23" s="74">
        <f>ROUND(SUM('[13]Monthly TD Calc-PY1-3'!BI464:BI464),2)+ROUND(SUM('[13]Monthly TD Calc-PY4'!BI472:BI472),2)+ROUND(SUM('[13]Monthly TD Calc-PY5'!BI580:BI580),2)</f>
        <v>2653600.98</v>
      </c>
      <c r="J23" s="157">
        <f>ROUND(SUM('[13]Monthly TD Calc-PY1-3'!BJ464:BJ464),2)+ROUND(SUM('[13]Monthly TD Calc-PY4'!BJ472:BJ472),2)+ROUND(SUM('[13]Monthly TD Calc-PY5'!BJ580:BJ580),2)</f>
        <v>2828947.7600000002</v>
      </c>
      <c r="K23" s="148">
        <f>ROUND(SUM('[13]Monthly TD Calc-PY1-3'!BK464:BK464),2)+ROUND(SUM('[13]Monthly TD Calc-PY4'!BK472:BK472),2)+ROUND(SUM('[13]Monthly TD Calc-PY5'!BK580:BK580),2)</f>
        <v>2747668.14</v>
      </c>
      <c r="L23" s="134">
        <f>ROUND(SUM('[13]Monthly TD Calc-PY1-3'!BL464:BL464),2)+ROUND(SUM('[13]Monthly TD Calc-PY4'!BL472:BL472),2)+ROUND(SUM('[13]Monthly TD Calc-PY5'!BL580:BL580),2)</f>
        <v>2982255.9299999997</v>
      </c>
      <c r="M23" s="79"/>
      <c r="N23" s="59">
        <f t="shared" si="8"/>
        <v>16640284.270000001</v>
      </c>
      <c r="P23" s="174">
        <f t="shared" si="7"/>
        <v>-5729924.0700000003</v>
      </c>
    </row>
    <row r="24" spans="1:16" x14ac:dyDescent="0.35">
      <c r="A24" s="46" t="s">
        <v>107</v>
      </c>
      <c r="C24" s="370">
        <v>-1788377.36</v>
      </c>
      <c r="D24" s="180">
        <f>SUM('[13]Summary Monthly TD Calc'!$O22:$S22)-SUM('[14]Summary Monthly TD Calc'!$M22:$Q22)</f>
        <v>0</v>
      </c>
      <c r="E24" s="108">
        <f>ROUND(SUM('[13]Monthly TD Calc-PY1-3'!BE465:BE465),2)+ROUND(SUM('[13]Monthly TD Calc-PY4'!BE473:BE473),2)+ROUND(SUM('[13]Monthly TD Calc-PY5'!BE581:BE581),2)</f>
        <v>878071.3600000001</v>
      </c>
      <c r="F24" s="108">
        <f>ROUND(SUM('[13]Monthly TD Calc-PY1-3'!BF465:BF465),2)+ROUND(SUM('[13]Monthly TD Calc-PY4'!BF473:BF473),2)+ROUND(SUM('[13]Monthly TD Calc-PY5'!BF581:BF581),2)</f>
        <v>871726.47</v>
      </c>
      <c r="G24" s="108">
        <f>ROUND(SUM('[13]Monthly TD Calc-PY1-3'!BG465:BG465),2)+ROUND(SUM('[13]Monthly TD Calc-PY4'!BG473:BG473),2)+ROUND(SUM('[13]Monthly TD Calc-PY5'!BG581:BG581),2)</f>
        <v>901971.87</v>
      </c>
      <c r="H24" s="73">
        <f>ROUND(SUM('[13]Monthly TD Calc-PY1-3'!BH465:BH465),2)+ROUND(SUM('[13]Monthly TD Calc-PY4'!BH473:BH473),2)+ROUND(SUM('[13]Monthly TD Calc-PY5'!BH581:BH581),2)</f>
        <v>922902.14</v>
      </c>
      <c r="I24" s="74">
        <f>ROUND(SUM('[13]Monthly TD Calc-PY1-3'!BI465:BI465),2)+ROUND(SUM('[13]Monthly TD Calc-PY4'!BI473:BI473),2)+ROUND(SUM('[13]Monthly TD Calc-PY5'!BI581:BI581),2)</f>
        <v>863893.01</v>
      </c>
      <c r="J24" s="157">
        <f>ROUND(SUM('[13]Monthly TD Calc-PY1-3'!BJ465:BJ465),2)+ROUND(SUM('[13]Monthly TD Calc-PY4'!BJ473:BJ473),2)+ROUND(SUM('[13]Monthly TD Calc-PY5'!BJ581:BJ581),2)</f>
        <v>950145.78</v>
      </c>
      <c r="K24" s="148">
        <f>ROUND(SUM('[13]Monthly TD Calc-PY1-3'!BK465:BK465),2)+ROUND(SUM('[13]Monthly TD Calc-PY4'!BK473:BK473),2)+ROUND(SUM('[13]Monthly TD Calc-PY5'!BK581:BK581),2)</f>
        <v>983328.73</v>
      </c>
      <c r="L24" s="134">
        <f>ROUND(SUM('[13]Monthly TD Calc-PY1-3'!BL465:BL465),2)+ROUND(SUM('[13]Monthly TD Calc-PY4'!BL473:BL473),2)+ROUND(SUM('[13]Monthly TD Calc-PY5'!BL581:BL581),2)</f>
        <v>1152207.78</v>
      </c>
      <c r="M24" s="79"/>
      <c r="N24" s="59">
        <f t="shared" si="8"/>
        <v>5735869.7800000003</v>
      </c>
      <c r="P24" s="174">
        <f t="shared" si="7"/>
        <v>-2135536.5099999998</v>
      </c>
    </row>
    <row r="25" spans="1:16" x14ac:dyDescent="0.35">
      <c r="C25" s="67"/>
      <c r="D25" s="179"/>
      <c r="E25" s="327"/>
      <c r="F25" s="327"/>
      <c r="G25" s="37"/>
      <c r="H25" s="36"/>
      <c r="I25" s="327"/>
      <c r="J25" s="158"/>
      <c r="K25" s="52"/>
      <c r="L25" s="56"/>
      <c r="M25" s="13"/>
    </row>
    <row r="26" spans="1:16" x14ac:dyDescent="0.35">
      <c r="A26" s="46" t="s">
        <v>67</v>
      </c>
      <c r="C26" s="36"/>
      <c r="D26" s="181"/>
      <c r="E26" s="37"/>
      <c r="F26" s="37"/>
      <c r="G26" s="37"/>
      <c r="H26" s="36"/>
      <c r="I26" s="37"/>
      <c r="J26" s="158"/>
      <c r="K26" s="52"/>
      <c r="L26" s="52"/>
      <c r="M26" s="38"/>
    </row>
    <row r="27" spans="1:16" x14ac:dyDescent="0.35">
      <c r="A27" s="46" t="s">
        <v>24</v>
      </c>
      <c r="C27" s="369">
        <v>-321614.11</v>
      </c>
      <c r="D27" s="180">
        <f>SUM('[13]Summary Monthly TD Calc'!$O3:$S3)-SUM('[14]Summary Monthly TD Calc'!$M3:$Q3)</f>
        <v>-405.22999999992317</v>
      </c>
      <c r="E27" s="106">
        <f>+ROUND(SUM('[13]Monthly TD Calc-PY4'!BE575:BE575),2)+ROUND(SUM('[13]Monthly TD Calc-PY5'!BE711:BE711),2)+ROUND(SUM('[13]Monthly TD Calc-PY1-3'!BE563:BE563),2)</f>
        <v>109078.23000000001</v>
      </c>
      <c r="F27" s="106">
        <f>+ROUND(SUM('[13]Monthly TD Calc-PY4'!BF575:BF575),2)+ROUND(SUM('[13]Monthly TD Calc-PY5'!BF711:BF711),2)+ROUND(SUM('[13]Monthly TD Calc-PY1-3'!BF563:BF563),2)</f>
        <v>209579.13</v>
      </c>
      <c r="G27" s="106">
        <f>+ROUND(SUM('[13]Monthly TD Calc-PY4'!BG575:BG575),2)+ROUND(SUM('[13]Monthly TD Calc-PY5'!BG711:BG711),2)+ROUND(SUM('[13]Monthly TD Calc-PY1-3'!BG563:BG563),2)</f>
        <v>301920.46999999997</v>
      </c>
      <c r="H27" s="16">
        <f>+ROUND(SUM('[13]Monthly TD Calc-PY4'!BH575:BH575),2)+ROUND(SUM('[13]Monthly TD Calc-PY5'!BH711:BH711),2)+ROUND(SUM('[13]Monthly TD Calc-PY1-3'!BH563:BH563),2)</f>
        <v>290646.38</v>
      </c>
      <c r="I27" s="55">
        <f>+ROUND(SUM('[13]Monthly TD Calc-PY4'!BI575:BI575),2)+ROUND(SUM('[13]Monthly TD Calc-PY5'!BI711:BI711),2)+ROUND(SUM('[13]Monthly TD Calc-PY1-3'!BI563:BI563),2)</f>
        <v>202981.32</v>
      </c>
      <c r="J27" s="229">
        <f>+ROUND(SUM('[13]Monthly TD Calc-PY4'!BJ575:BJ575),2)+ROUND(SUM('[13]Monthly TD Calc-PY5'!BJ711:BJ711),2)+ROUND(SUM('[13]Monthly TD Calc-PY1-3'!BJ563:BJ563),2)</f>
        <v>111119.4</v>
      </c>
      <c r="K27" s="149">
        <f>+ROUND(SUM('[13]Monthly TD Calc-PY4'!BK575:BK575),2)+ROUND(SUM('[13]Monthly TD Calc-PY5'!BK711:BK711),2)+ROUND(SUM('[13]Monthly TD Calc-PY1-3'!BK563:BK563),2)</f>
        <v>113588.45</v>
      </c>
      <c r="L27" s="149">
        <f>+ROUND(SUM('[13]Monthly TD Calc-PY4'!BL575:BL575),2)+ROUND(SUM('[13]Monthly TD Calc-PY5'!BL711:BL711),2)+ROUND(SUM('[13]Monthly TD Calc-PY1-3'!BL563:BL563),2)</f>
        <v>116318.87</v>
      </c>
      <c r="M27" s="78"/>
      <c r="P27" s="174">
        <f t="shared" ref="P27:P32" si="9">-SUM(K27:M27)</f>
        <v>-229907.32</v>
      </c>
    </row>
    <row r="28" spans="1:16" x14ac:dyDescent="0.35">
      <c r="A28" s="46" t="s">
        <v>105</v>
      </c>
      <c r="C28" s="369">
        <v>-139660.24</v>
      </c>
      <c r="D28" s="180">
        <f>SUM('[13]Summary Monthly TD Calc'!$O4:$S4)-SUM('[14]Summary Monthly TD Calc'!$M4:$Q4)</f>
        <v>0</v>
      </c>
      <c r="E28" s="106">
        <f>+ROUND(SUM('[13]Monthly TD Calc-PY4'!BE576:BE576),2)+ROUND(SUM('[13]Monthly TD Calc-PY5'!BE712:BE712),2)+ROUND(SUM('[13]Monthly TD Calc-PY1-3'!BE564:BE564),2)</f>
        <v>53654.44</v>
      </c>
      <c r="F28" s="106">
        <f>+ROUND(SUM('[13]Monthly TD Calc-PY4'!BF576:BF576),2)+ROUND(SUM('[13]Monthly TD Calc-PY5'!BF712:BF712),2)+ROUND(SUM('[13]Monthly TD Calc-PY1-3'!BF564:BF564),2)</f>
        <v>83199.899999999994</v>
      </c>
      <c r="G28" s="106">
        <f>+ROUND(SUM('[13]Monthly TD Calc-PY4'!BG576:BG576),2)+ROUND(SUM('[13]Monthly TD Calc-PY5'!BG712:BG712),2)+ROUND(SUM('[13]Monthly TD Calc-PY1-3'!BG564:BG564),2)</f>
        <v>91148.81</v>
      </c>
      <c r="H28" s="16">
        <f>+ROUND(SUM('[13]Monthly TD Calc-PY4'!BH576:BH576),2)+ROUND(SUM('[13]Monthly TD Calc-PY5'!BH712:BH712),2)+ROUND(SUM('[13]Monthly TD Calc-PY1-3'!BH564:BH564),2)</f>
        <v>95637.65</v>
      </c>
      <c r="I28" s="55">
        <f>+ROUND(SUM('[13]Monthly TD Calc-PY4'!BI576:BI576),2)+ROUND(SUM('[13]Monthly TD Calc-PY5'!BI712:BI712),2)+ROUND(SUM('[13]Monthly TD Calc-PY1-3'!BI564:BI564),2)</f>
        <v>87009.42</v>
      </c>
      <c r="J28" s="229">
        <f>+ROUND(SUM('[13]Monthly TD Calc-PY4'!BJ576:BJ576),2)+ROUND(SUM('[13]Monthly TD Calc-PY5'!BJ712:BJ712),2)+ROUND(SUM('[13]Monthly TD Calc-PY1-3'!BJ564:BJ564),2)</f>
        <v>59996.97</v>
      </c>
      <c r="K28" s="149">
        <f>+ROUND(SUM('[13]Monthly TD Calc-PY4'!BK576:BK576),2)+ROUND(SUM('[13]Monthly TD Calc-PY5'!BK712:BK712),2)+ROUND(SUM('[13]Monthly TD Calc-PY1-3'!BK564:BK564),2)</f>
        <v>58953.05</v>
      </c>
      <c r="L28" s="149">
        <f>+ROUND(SUM('[13]Monthly TD Calc-PY4'!BL576:BL576),2)+ROUND(SUM('[13]Monthly TD Calc-PY5'!BL712:BL712),2)+ROUND(SUM('[13]Monthly TD Calc-PY1-3'!BL564:BL564),2)</f>
        <v>64723.05</v>
      </c>
      <c r="M28" s="78"/>
      <c r="P28" s="174">
        <f t="shared" si="9"/>
        <v>-123676.1</v>
      </c>
    </row>
    <row r="29" spans="1:16" x14ac:dyDescent="0.35">
      <c r="A29" s="46" t="s">
        <v>106</v>
      </c>
      <c r="C29" s="369">
        <v>-122444.77</v>
      </c>
      <c r="D29" s="180">
        <f>SUM('[13]Summary Monthly TD Calc'!$O6:$S6)-SUM('[14]Summary Monthly TD Calc'!$M6:$Q6)</f>
        <v>0</v>
      </c>
      <c r="E29" s="106">
        <f>+ROUND(SUM('[13]Monthly TD Calc-PY4'!BE578:BE578),2)+ROUND(SUM('[13]Monthly TD Calc-PY5'!BE714:BE714),2)+ROUND(SUM('[13]Monthly TD Calc-PY1-3'!BE566:BE566),2)</f>
        <v>54953.26</v>
      </c>
      <c r="F29" s="106">
        <f>+ROUND(SUM('[13]Monthly TD Calc-PY4'!BF578:BF578),2)+ROUND(SUM('[13]Monthly TD Calc-PY5'!BF714:BF714),2)+ROUND(SUM('[13]Monthly TD Calc-PY1-3'!BF566:BF566),2)</f>
        <v>66630.28</v>
      </c>
      <c r="G29" s="106">
        <f>+ROUND(SUM('[13]Monthly TD Calc-PY4'!BG578:BG578),2)+ROUND(SUM('[13]Monthly TD Calc-PY5'!BG714:BG714),2)+ROUND(SUM('[13]Monthly TD Calc-PY1-3'!BG566:BG566),2)</f>
        <v>68086.739999999991</v>
      </c>
      <c r="H29" s="16">
        <f>+ROUND(SUM('[13]Monthly TD Calc-PY4'!BH578:BH578),2)+ROUND(SUM('[13]Monthly TD Calc-PY5'!BH714:BH714),2)+ROUND(SUM('[13]Monthly TD Calc-PY1-3'!BH566:BH566),2)</f>
        <v>72104.58</v>
      </c>
      <c r="I29" s="55">
        <f>+ROUND(SUM('[13]Monthly TD Calc-PY4'!BI578:BI578),2)+ROUND(SUM('[13]Monthly TD Calc-PY5'!BI714:BI714),2)+ROUND(SUM('[13]Monthly TD Calc-PY1-3'!BI566:BI566),2)</f>
        <v>67319.899999999994</v>
      </c>
      <c r="J29" s="229">
        <f>+ROUND(SUM('[13]Monthly TD Calc-PY4'!BJ578:BJ578),2)+ROUND(SUM('[13]Monthly TD Calc-PY5'!BJ714:BJ714),2)+ROUND(SUM('[13]Monthly TD Calc-PY1-3'!BJ566:BJ566),2)</f>
        <v>55893</v>
      </c>
      <c r="K29" s="149">
        <f>+ROUND(SUM('[13]Monthly TD Calc-PY4'!BK578:BK578),2)+ROUND(SUM('[13]Monthly TD Calc-PY5'!BK714:BK714),2)+ROUND(SUM('[13]Monthly TD Calc-PY1-3'!BK566:BK566),2)</f>
        <v>57436</v>
      </c>
      <c r="L29" s="149">
        <f>+ROUND(SUM('[13]Monthly TD Calc-PY4'!BL578:BL578),2)+ROUND(SUM('[13]Monthly TD Calc-PY5'!BL714:BL714),2)+ROUND(SUM('[13]Monthly TD Calc-PY1-3'!BL566:BL566),2)</f>
        <v>57099.679999999993</v>
      </c>
      <c r="M29" s="78"/>
      <c r="P29" s="174">
        <f t="shared" si="9"/>
        <v>-114535.67999999999</v>
      </c>
    </row>
    <row r="30" spans="1:16" x14ac:dyDescent="0.35">
      <c r="A30" s="46" t="s">
        <v>107</v>
      </c>
      <c r="C30" s="369">
        <v>-19217.169999999998</v>
      </c>
      <c r="D30" s="180">
        <f>SUM('[13]Summary Monthly TD Calc'!$O7:$S7)-SUM('[14]Summary Monthly TD Calc'!$M7:$Q7)</f>
        <v>0</v>
      </c>
      <c r="E30" s="106">
        <f>+ROUND(SUM('[13]Monthly TD Calc-PY4'!BE579:BE579),2)+ROUND(SUM('[13]Monthly TD Calc-PY5'!BE715:BE715),2)+ROUND(SUM('[13]Monthly TD Calc-PY1-3'!BE567:BE567),2)</f>
        <v>6319.62</v>
      </c>
      <c r="F30" s="106">
        <f>+ROUND(SUM('[13]Monthly TD Calc-PY4'!BF579:BF579),2)+ROUND(SUM('[13]Monthly TD Calc-PY5'!BF715:BF715),2)+ROUND(SUM('[13]Monthly TD Calc-PY1-3'!BF567:BF567),2)</f>
        <v>12507.89</v>
      </c>
      <c r="G30" s="106">
        <f>+ROUND(SUM('[13]Monthly TD Calc-PY4'!BG579:BG579),2)+ROUND(SUM('[13]Monthly TD Calc-PY5'!BG715:BG715),2)+ROUND(SUM('[13]Monthly TD Calc-PY1-3'!BG567:BG567),2)</f>
        <v>13174.65</v>
      </c>
      <c r="H30" s="16">
        <f>+ROUND(SUM('[13]Monthly TD Calc-PY4'!BH579:BH579),2)+ROUND(SUM('[13]Monthly TD Calc-PY5'!BH715:BH715),2)+ROUND(SUM('[13]Monthly TD Calc-PY1-3'!BH567:BH567),2)</f>
        <v>13598.91</v>
      </c>
      <c r="I30" s="55">
        <f>+ROUND(SUM('[13]Monthly TD Calc-PY4'!BI579:BI579),2)+ROUND(SUM('[13]Monthly TD Calc-PY5'!BI715:BI715),2)+ROUND(SUM('[13]Monthly TD Calc-PY1-3'!BI567:BI567),2)</f>
        <v>12924.670000000002</v>
      </c>
      <c r="J30" s="229">
        <f>+ROUND(SUM('[13]Monthly TD Calc-PY4'!BJ579:BJ579),2)+ROUND(SUM('[13]Monthly TD Calc-PY5'!BJ715:BJ715),2)+ROUND(SUM('[13]Monthly TD Calc-PY1-3'!BJ567:BJ567),2)</f>
        <v>6549.05</v>
      </c>
      <c r="K30" s="149">
        <f>+ROUND(SUM('[13]Monthly TD Calc-PY4'!BK579:BK579),2)+ROUND(SUM('[13]Monthly TD Calc-PY5'!BK715:BK715),2)+ROUND(SUM('[13]Monthly TD Calc-PY1-3'!BK567:BK567),2)</f>
        <v>6867.09</v>
      </c>
      <c r="L30" s="149">
        <f>+ROUND(SUM('[13]Monthly TD Calc-PY4'!BL579:BL579),2)+ROUND(SUM('[13]Monthly TD Calc-PY5'!BL715:BL715),2)+ROUND(SUM('[13]Monthly TD Calc-PY1-3'!BL567:BL567),2)</f>
        <v>6944.85</v>
      </c>
      <c r="M30" s="78"/>
      <c r="O30" s="47"/>
      <c r="P30" s="174">
        <f t="shared" si="9"/>
        <v>-13811.94</v>
      </c>
    </row>
    <row r="31" spans="1:16" x14ac:dyDescent="0.35">
      <c r="C31" s="98"/>
      <c r="D31" s="178"/>
      <c r="E31" s="350"/>
      <c r="F31" s="18"/>
      <c r="G31" s="18"/>
      <c r="H31" s="90"/>
      <c r="I31" s="18"/>
      <c r="J31" s="155"/>
      <c r="K31" s="56"/>
      <c r="L31" s="56"/>
      <c r="M31" s="13"/>
    </row>
    <row r="32" spans="1:16" ht="15" thickBot="1" x14ac:dyDescent="0.4">
      <c r="A32" s="3" t="s">
        <v>15</v>
      </c>
      <c r="B32" s="3"/>
      <c r="C32" s="371">
        <v>1524.75</v>
      </c>
      <c r="D32" s="182">
        <f>SUM(D48:D51)</f>
        <v>-4.9099999999998545</v>
      </c>
      <c r="E32" s="126">
        <v>-1112.8999999999999</v>
      </c>
      <c r="F32" s="126">
        <v>-445.94999999999993</v>
      </c>
      <c r="G32" s="127">
        <v>664.84</v>
      </c>
      <c r="H32" s="26">
        <v>1680.49</v>
      </c>
      <c r="I32" s="115">
        <f>2133.05-0.03</f>
        <v>2133.02</v>
      </c>
      <c r="J32" s="159">
        <v>2123.65</v>
      </c>
      <c r="K32" s="150">
        <f>ROUND((SUM(J41:J44)+SUM(J48:J51)+SUM(K35:K38)/2)*K$46,2)</f>
        <v>2035.35</v>
      </c>
      <c r="L32" s="135">
        <f>ROUND((SUM(K41:K44)+SUM(K48:K51)+SUM(L35:L38)/2)*L$46,2)</f>
        <v>1918.78</v>
      </c>
      <c r="M32" s="81"/>
      <c r="P32" s="174">
        <f t="shared" si="9"/>
        <v>-3954.13</v>
      </c>
    </row>
    <row r="33" spans="1:16" x14ac:dyDescent="0.35">
      <c r="C33" s="64"/>
      <c r="D33" s="185"/>
      <c r="E33" s="66"/>
      <c r="F33" s="66"/>
      <c r="G33" s="33"/>
      <c r="H33" s="64"/>
      <c r="I33" s="33"/>
      <c r="J33" s="160"/>
      <c r="K33" s="34"/>
      <c r="L33" s="34"/>
      <c r="M33" s="60"/>
    </row>
    <row r="34" spans="1:16" x14ac:dyDescent="0.35">
      <c r="A34" s="46" t="s">
        <v>51</v>
      </c>
      <c r="C34" s="65"/>
      <c r="D34" s="186"/>
      <c r="E34" s="35"/>
      <c r="F34" s="35"/>
      <c r="G34" s="35"/>
      <c r="H34" s="65"/>
      <c r="I34" s="35"/>
      <c r="J34" s="161"/>
      <c r="K34" s="34"/>
      <c r="L34" s="34"/>
      <c r="M34" s="60"/>
    </row>
    <row r="35" spans="1:16" x14ac:dyDescent="0.35">
      <c r="A35" s="46" t="s">
        <v>24</v>
      </c>
      <c r="C35" s="183">
        <f t="shared" ref="C35:M35" si="10">C27-C15</f>
        <v>32751.680000000051</v>
      </c>
      <c r="D35" s="187">
        <f t="shared" si="10"/>
        <v>-405.22999999992317</v>
      </c>
      <c r="E35" s="41">
        <f t="shared" si="10"/>
        <v>22374.87000000001</v>
      </c>
      <c r="F35" s="41">
        <f t="shared" si="10"/>
        <v>91403.83</v>
      </c>
      <c r="G35" s="105">
        <f t="shared" si="10"/>
        <v>144804.63999999998</v>
      </c>
      <c r="H35" s="40">
        <f t="shared" si="10"/>
        <v>108416.69</v>
      </c>
      <c r="I35" s="41">
        <f t="shared" si="10"/>
        <v>38465.130000000005</v>
      </c>
      <c r="J35" s="61">
        <f t="shared" si="10"/>
        <v>-18397.880000000005</v>
      </c>
      <c r="K35" s="116">
        <f t="shared" si="10"/>
        <v>-4814.5599999999977</v>
      </c>
      <c r="L35" s="41">
        <f t="shared" si="10"/>
        <v>-42117.279999999999</v>
      </c>
      <c r="M35" s="61">
        <f t="shared" si="10"/>
        <v>-197026.01</v>
      </c>
    </row>
    <row r="36" spans="1:16" x14ac:dyDescent="0.35">
      <c r="A36" s="46" t="s">
        <v>105</v>
      </c>
      <c r="C36" s="183">
        <f t="shared" ref="C36:M36" si="11">C28-C16</f>
        <v>-34332.00999999998</v>
      </c>
      <c r="D36" s="187">
        <f t="shared" si="11"/>
        <v>0</v>
      </c>
      <c r="E36" s="41">
        <f t="shared" si="11"/>
        <v>22836.83</v>
      </c>
      <c r="F36" s="41">
        <f t="shared" si="11"/>
        <v>48153.029999999992</v>
      </c>
      <c r="G36" s="105">
        <f t="shared" si="11"/>
        <v>48395.34</v>
      </c>
      <c r="H36" s="40">
        <f t="shared" si="11"/>
        <v>24073.909999999989</v>
      </c>
      <c r="I36" s="41">
        <f t="shared" si="11"/>
        <v>15404.929999999993</v>
      </c>
      <c r="J36" s="61">
        <f t="shared" si="11"/>
        <v>-5318.4199999999983</v>
      </c>
      <c r="K36" s="116">
        <f t="shared" si="11"/>
        <v>-484.94999999999709</v>
      </c>
      <c r="L36" s="41">
        <f t="shared" si="11"/>
        <v>2876.9700000000012</v>
      </c>
      <c r="M36" s="61">
        <f t="shared" si="11"/>
        <v>-60839.68</v>
      </c>
    </row>
    <row r="37" spans="1:16" x14ac:dyDescent="0.35">
      <c r="A37" s="46" t="s">
        <v>106</v>
      </c>
      <c r="C37" s="183">
        <f t="shared" ref="C37:M37" si="12">C29-C17</f>
        <v>-5355.9099999999889</v>
      </c>
      <c r="D37" s="187">
        <f t="shared" si="12"/>
        <v>0</v>
      </c>
      <c r="E37" s="41">
        <f t="shared" si="12"/>
        <v>19467.78</v>
      </c>
      <c r="F37" s="41">
        <f t="shared" si="12"/>
        <v>28963.67</v>
      </c>
      <c r="G37" s="105">
        <f t="shared" si="12"/>
        <v>25653.329999999987</v>
      </c>
      <c r="H37" s="40">
        <f t="shared" si="12"/>
        <v>9699.9100000000035</v>
      </c>
      <c r="I37" s="41">
        <f t="shared" si="12"/>
        <v>2664.7099999999919</v>
      </c>
      <c r="J37" s="61">
        <f t="shared" si="12"/>
        <v>-3542.75</v>
      </c>
      <c r="K37" s="116">
        <f t="shared" si="12"/>
        <v>1614.4400000000023</v>
      </c>
      <c r="L37" s="41">
        <f t="shared" si="12"/>
        <v>-983.4400000000096</v>
      </c>
      <c r="M37" s="61">
        <f t="shared" si="12"/>
        <v>-57137.96</v>
      </c>
    </row>
    <row r="38" spans="1:16" x14ac:dyDescent="0.35">
      <c r="A38" s="46" t="s">
        <v>107</v>
      </c>
      <c r="C38" s="183">
        <f t="shared" ref="C38:M38" si="13">C30-C18</f>
        <v>-11322.129999999997</v>
      </c>
      <c r="D38" s="187">
        <f t="shared" si="13"/>
        <v>0</v>
      </c>
      <c r="E38" s="41">
        <f t="shared" si="13"/>
        <v>3736.75</v>
      </c>
      <c r="F38" s="41">
        <f t="shared" si="13"/>
        <v>10057.759999999998</v>
      </c>
      <c r="G38" s="105">
        <f t="shared" si="13"/>
        <v>9749.2999999999993</v>
      </c>
      <c r="H38" s="40">
        <f t="shared" si="13"/>
        <v>2495.0699999999997</v>
      </c>
      <c r="I38" s="41">
        <f t="shared" si="13"/>
        <v>-181.01999999999862</v>
      </c>
      <c r="J38" s="61">
        <f t="shared" si="13"/>
        <v>-5403.6599999999989</v>
      </c>
      <c r="K38" s="116">
        <f t="shared" si="13"/>
        <v>-3246.1100000000006</v>
      </c>
      <c r="L38" s="41">
        <f t="shared" si="13"/>
        <v>-3578.08</v>
      </c>
      <c r="M38" s="61">
        <f t="shared" si="13"/>
        <v>-10351.700000000001</v>
      </c>
    </row>
    <row r="39" spans="1:16" x14ac:dyDescent="0.35">
      <c r="C39" s="98"/>
      <c r="D39" s="178"/>
      <c r="E39" s="31"/>
      <c r="F39" s="17"/>
      <c r="G39" s="17"/>
      <c r="H39" s="10"/>
      <c r="I39" s="17"/>
      <c r="J39" s="11"/>
      <c r="K39" s="17"/>
      <c r="L39" s="17"/>
      <c r="M39" s="11"/>
    </row>
    <row r="40" spans="1:16" ht="15" thickBot="1" x14ac:dyDescent="0.4">
      <c r="A40" s="46" t="s">
        <v>52</v>
      </c>
      <c r="C40" s="98"/>
      <c r="D40" s="178"/>
      <c r="E40" s="17"/>
      <c r="F40" s="17"/>
      <c r="G40" s="17"/>
      <c r="H40" s="10"/>
      <c r="I40" s="17"/>
      <c r="J40" s="11"/>
      <c r="K40" s="17"/>
      <c r="L40" s="17"/>
      <c r="M40" s="11"/>
    </row>
    <row r="41" spans="1:16" x14ac:dyDescent="0.35">
      <c r="A41" s="46" t="s">
        <v>24</v>
      </c>
      <c r="B41" s="302">
        <v>-178363.07999999978</v>
      </c>
      <c r="C41" s="183">
        <f t="shared" ref="C41:M41" si="14">+B41+C35+B48</f>
        <v>-145611.39999999973</v>
      </c>
      <c r="D41" s="187">
        <f t="shared" si="14"/>
        <v>-144882.96999999965</v>
      </c>
      <c r="E41" s="41">
        <f t="shared" si="14"/>
        <v>-122513.00999999965</v>
      </c>
      <c r="F41" s="41">
        <f t="shared" si="14"/>
        <v>-31838.709999999643</v>
      </c>
      <c r="G41" s="105">
        <f t="shared" si="14"/>
        <v>112542.03000000035</v>
      </c>
      <c r="H41" s="40">
        <f t="shared" si="14"/>
        <v>221178.24000000034</v>
      </c>
      <c r="I41" s="41">
        <f t="shared" si="14"/>
        <v>260551.79000000036</v>
      </c>
      <c r="J41" s="61">
        <f t="shared" si="14"/>
        <v>243406.08000000037</v>
      </c>
      <c r="K41" s="116">
        <f t="shared" si="14"/>
        <v>239853.57000000036</v>
      </c>
      <c r="L41" s="41">
        <f t="shared" si="14"/>
        <v>198946.66000000035</v>
      </c>
      <c r="M41" s="61">
        <f t="shared" si="14"/>
        <v>3019.8300000003437</v>
      </c>
    </row>
    <row r="42" spans="1:16" x14ac:dyDescent="0.35">
      <c r="A42" s="46" t="s">
        <v>105</v>
      </c>
      <c r="B42" s="307">
        <v>-89360.130000000034</v>
      </c>
      <c r="C42" s="183">
        <f t="shared" ref="C42:M42" si="15">+B42+C36+B49</f>
        <v>-123692.14000000001</v>
      </c>
      <c r="D42" s="187">
        <f t="shared" si="15"/>
        <v>-122675.35000000002</v>
      </c>
      <c r="E42" s="41">
        <f t="shared" si="15"/>
        <v>-99838.520000000019</v>
      </c>
      <c r="F42" s="41">
        <f t="shared" si="15"/>
        <v>-52292.560000000027</v>
      </c>
      <c r="G42" s="105">
        <f t="shared" si="15"/>
        <v>-4314.71000000003</v>
      </c>
      <c r="H42" s="40">
        <f t="shared" si="15"/>
        <v>19603.26999999996</v>
      </c>
      <c r="I42" s="41">
        <f t="shared" si="15"/>
        <v>35049.369999999952</v>
      </c>
      <c r="J42" s="61">
        <f t="shared" si="15"/>
        <v>29872.849999999955</v>
      </c>
      <c r="K42" s="116">
        <f t="shared" si="15"/>
        <v>29550.439999999959</v>
      </c>
      <c r="L42" s="41">
        <f t="shared" si="15"/>
        <v>32576.259999999958</v>
      </c>
      <c r="M42" s="61">
        <f t="shared" si="15"/>
        <v>-28107.850000000042</v>
      </c>
    </row>
    <row r="43" spans="1:16" x14ac:dyDescent="0.35">
      <c r="A43" s="46" t="s">
        <v>106</v>
      </c>
      <c r="B43" s="307">
        <v>25143.120000000064</v>
      </c>
      <c r="C43" s="183">
        <f t="shared" ref="C43:M43" si="16">+B43+C37+B50</f>
        <v>19787.210000000076</v>
      </c>
      <c r="D43" s="187">
        <f t="shared" si="16"/>
        <v>19332.350000000075</v>
      </c>
      <c r="E43" s="41">
        <f t="shared" si="16"/>
        <v>38800.130000000077</v>
      </c>
      <c r="F43" s="41">
        <f t="shared" si="16"/>
        <v>67922.400000000081</v>
      </c>
      <c r="G43" s="105">
        <f t="shared" si="16"/>
        <v>93867.880000000063</v>
      </c>
      <c r="H43" s="40">
        <f t="shared" si="16"/>
        <v>104010.99000000006</v>
      </c>
      <c r="I43" s="41">
        <f t="shared" si="16"/>
        <v>107215.20000000006</v>
      </c>
      <c r="J43" s="61">
        <f t="shared" si="16"/>
        <v>104221.86000000006</v>
      </c>
      <c r="K43" s="116">
        <f t="shared" si="16"/>
        <v>106365.86000000006</v>
      </c>
      <c r="L43" s="41">
        <f t="shared" si="16"/>
        <v>105909.81000000004</v>
      </c>
      <c r="M43" s="61">
        <f t="shared" si="16"/>
        <v>49303.450000000041</v>
      </c>
    </row>
    <row r="44" spans="1:16" ht="15" thickBot="1" x14ac:dyDescent="0.4">
      <c r="A44" s="46" t="s">
        <v>107</v>
      </c>
      <c r="B44" s="303">
        <v>21555.660000000022</v>
      </c>
      <c r="C44" s="183">
        <f t="shared" ref="C44:M44" si="17">+B44+C38+B51</f>
        <v>10233.530000000024</v>
      </c>
      <c r="D44" s="187">
        <f t="shared" si="17"/>
        <v>10062.680000000024</v>
      </c>
      <c r="E44" s="41">
        <f t="shared" si="17"/>
        <v>13799.430000000024</v>
      </c>
      <c r="F44" s="41">
        <f t="shared" si="17"/>
        <v>23922.290000000023</v>
      </c>
      <c r="G44" s="105">
        <f t="shared" si="17"/>
        <v>33774.880000000026</v>
      </c>
      <c r="H44" s="40">
        <f t="shared" si="17"/>
        <v>36428.000000000029</v>
      </c>
      <c r="I44" s="41">
        <f t="shared" si="17"/>
        <v>36438.380000000034</v>
      </c>
      <c r="J44" s="61">
        <f t="shared" si="17"/>
        <v>31224.260000000035</v>
      </c>
      <c r="K44" s="116">
        <f t="shared" si="17"/>
        <v>28147.650000000034</v>
      </c>
      <c r="L44" s="41">
        <f t="shared" si="17"/>
        <v>24718.310000000038</v>
      </c>
      <c r="M44" s="61">
        <f t="shared" si="17"/>
        <v>14499.040000000037</v>
      </c>
    </row>
    <row r="45" spans="1:16" x14ac:dyDescent="0.35">
      <c r="C45" s="98"/>
      <c r="D45" s="178"/>
      <c r="E45" s="17"/>
      <c r="F45" s="17"/>
      <c r="G45" s="17"/>
      <c r="H45" s="10"/>
      <c r="I45" s="17"/>
      <c r="J45" s="11"/>
      <c r="K45" s="17"/>
      <c r="L45" s="17"/>
      <c r="M45" s="11"/>
    </row>
    <row r="46" spans="1:16" x14ac:dyDescent="0.35">
      <c r="A46" s="39" t="s">
        <v>121</v>
      </c>
      <c r="B46" s="39"/>
      <c r="C46" s="101"/>
      <c r="D46" s="188"/>
      <c r="E46" s="309">
        <f>+'PCR Cycle 3'!E45</f>
        <v>5.4564799999999997E-3</v>
      </c>
      <c r="F46" s="309">
        <f>+'PCR Cycle 3'!F45</f>
        <v>5.4667700000000001E-3</v>
      </c>
      <c r="G46" s="309">
        <f>+'PCR Cycle 3'!G45</f>
        <v>5.46883E-3</v>
      </c>
      <c r="H46" s="310">
        <f>+'PCR Cycle 3'!H45</f>
        <v>5.4406000000000003E-3</v>
      </c>
      <c r="I46" s="309">
        <f>+'PCR Cycle 3'!I45</f>
        <v>5.1888699999999999E-3</v>
      </c>
      <c r="J46" s="311">
        <f>+'PCR Cycle 3'!J45</f>
        <v>4.9961500000000004E-3</v>
      </c>
      <c r="K46" s="82">
        <f>J46</f>
        <v>4.9961500000000004E-3</v>
      </c>
      <c r="L46" s="82">
        <f>J46</f>
        <v>4.9961500000000004E-3</v>
      </c>
      <c r="M46" s="84"/>
    </row>
    <row r="47" spans="1:16" x14ac:dyDescent="0.35">
      <c r="A47" s="39" t="s">
        <v>36</v>
      </c>
      <c r="B47" s="39"/>
      <c r="C47" s="103"/>
      <c r="D47" s="189"/>
      <c r="E47" s="82"/>
      <c r="F47" s="82"/>
      <c r="G47" s="82"/>
      <c r="H47" s="83"/>
      <c r="I47" s="82"/>
      <c r="J47" s="84"/>
      <c r="K47" s="82"/>
      <c r="L47" s="82"/>
      <c r="M47" s="84"/>
    </row>
    <row r="48" spans="1:16" x14ac:dyDescent="0.35">
      <c r="A48" s="46" t="s">
        <v>24</v>
      </c>
      <c r="C48" s="367">
        <v>1133.6600000000001</v>
      </c>
      <c r="D48" s="380">
        <v>-4.9099999999998545</v>
      </c>
      <c r="E48" s="41">
        <f t="shared" ref="E48:M48" si="18">ROUND((D41+D48+E35/2)*E$46,2)</f>
        <v>-729.53</v>
      </c>
      <c r="F48" s="41">
        <f t="shared" si="18"/>
        <v>-423.9</v>
      </c>
      <c r="G48" s="105">
        <f t="shared" si="18"/>
        <v>219.52</v>
      </c>
      <c r="H48" s="40">
        <f t="shared" si="18"/>
        <v>908.42</v>
      </c>
      <c r="I48" s="116">
        <f t="shared" si="18"/>
        <v>1252.17</v>
      </c>
      <c r="J48" s="61">
        <f t="shared" si="18"/>
        <v>1262.05</v>
      </c>
      <c r="K48" s="151">
        <f t="shared" si="18"/>
        <v>1210.3699999999999</v>
      </c>
      <c r="L48" s="105">
        <f t="shared" si="18"/>
        <v>1099.18</v>
      </c>
      <c r="M48" s="61">
        <f t="shared" si="18"/>
        <v>0</v>
      </c>
      <c r="P48" s="174">
        <f t="shared" ref="P48:P51" si="19">-SUM(K48:M48)</f>
        <v>-2309.5500000000002</v>
      </c>
    </row>
    <row r="49" spans="1:16" x14ac:dyDescent="0.35">
      <c r="A49" s="46" t="s">
        <v>105</v>
      </c>
      <c r="C49" s="367">
        <v>1016.79</v>
      </c>
      <c r="D49" s="380">
        <v>0</v>
      </c>
      <c r="E49" s="41">
        <f t="shared" ref="E49:L49" si="20">ROUND((D42+D49+E36/2)*E$46,2)</f>
        <v>-607.07000000000005</v>
      </c>
      <c r="F49" s="41">
        <f t="shared" si="20"/>
        <v>-417.49</v>
      </c>
      <c r="G49" s="105">
        <f t="shared" si="20"/>
        <v>-155.93</v>
      </c>
      <c r="H49" s="40">
        <f t="shared" si="20"/>
        <v>41.17</v>
      </c>
      <c r="I49" s="116">
        <f t="shared" si="20"/>
        <v>141.9</v>
      </c>
      <c r="J49" s="61">
        <f t="shared" si="20"/>
        <v>162.54</v>
      </c>
      <c r="K49" s="151">
        <f t="shared" si="20"/>
        <v>148.85</v>
      </c>
      <c r="L49" s="105">
        <f t="shared" si="20"/>
        <v>155.57</v>
      </c>
      <c r="M49" s="61"/>
      <c r="P49" s="174">
        <f t="shared" si="19"/>
        <v>-304.41999999999996</v>
      </c>
    </row>
    <row r="50" spans="1:16" x14ac:dyDescent="0.35">
      <c r="A50" s="46" t="s">
        <v>106</v>
      </c>
      <c r="C50" s="367">
        <v>-454.86</v>
      </c>
      <c r="D50" s="380">
        <v>0</v>
      </c>
      <c r="E50" s="41">
        <f t="shared" ref="E50:L50" si="21">ROUND((D43+D50+E37/2)*E$46,2)</f>
        <v>158.6</v>
      </c>
      <c r="F50" s="41">
        <f t="shared" si="21"/>
        <v>292.14999999999998</v>
      </c>
      <c r="G50" s="105">
        <f t="shared" si="21"/>
        <v>443.2</v>
      </c>
      <c r="H50" s="40">
        <f t="shared" si="21"/>
        <v>539.5</v>
      </c>
      <c r="I50" s="116">
        <f t="shared" si="21"/>
        <v>549.41</v>
      </c>
      <c r="J50" s="61">
        <f t="shared" si="21"/>
        <v>529.55999999999995</v>
      </c>
      <c r="K50" s="151">
        <f t="shared" si="21"/>
        <v>527.39</v>
      </c>
      <c r="L50" s="105">
        <f t="shared" si="21"/>
        <v>531.6</v>
      </c>
      <c r="M50" s="61"/>
      <c r="P50" s="174">
        <f t="shared" si="19"/>
        <v>-1058.99</v>
      </c>
    </row>
    <row r="51" spans="1:16" ht="15" thickBot="1" x14ac:dyDescent="0.4">
      <c r="A51" s="46" t="s">
        <v>107</v>
      </c>
      <c r="C51" s="367">
        <v>-170.85000000000002</v>
      </c>
      <c r="D51" s="380">
        <v>0</v>
      </c>
      <c r="E51" s="41">
        <f t="shared" ref="E51:L51" si="22">ROUND((D44+D51+E38/2)*E$46,2)</f>
        <v>65.099999999999994</v>
      </c>
      <c r="F51" s="41">
        <f t="shared" si="22"/>
        <v>103.29</v>
      </c>
      <c r="G51" s="105">
        <f t="shared" si="22"/>
        <v>158.05000000000001</v>
      </c>
      <c r="H51" s="40">
        <f t="shared" si="22"/>
        <v>191.4</v>
      </c>
      <c r="I51" s="116">
        <f t="shared" si="22"/>
        <v>189.54</v>
      </c>
      <c r="J51" s="61">
        <f t="shared" si="22"/>
        <v>169.5</v>
      </c>
      <c r="K51" s="151">
        <f t="shared" si="22"/>
        <v>148.74</v>
      </c>
      <c r="L51" s="105">
        <f t="shared" si="22"/>
        <v>132.43</v>
      </c>
      <c r="M51" s="61">
        <f>ROUND((L44+L51+M38/2)*M$46,2)</f>
        <v>0</v>
      </c>
      <c r="P51" s="174">
        <f t="shared" si="19"/>
        <v>-281.17</v>
      </c>
    </row>
    <row r="52" spans="1:16" ht="15.5" thickTop="1" thickBot="1" x14ac:dyDescent="0.4">
      <c r="A52" s="54" t="s">
        <v>22</v>
      </c>
      <c r="B52" s="54"/>
      <c r="C52" s="184">
        <v>0</v>
      </c>
      <c r="D52" s="190"/>
      <c r="E52" s="42">
        <f t="shared" ref="E52:M52" si="23">SUM(E48:E51)+SUM(E41:E44)-E55</f>
        <v>0</v>
      </c>
      <c r="F52" s="42">
        <f t="shared" si="23"/>
        <v>8.4583007264882326E-11</v>
      </c>
      <c r="G52" s="50">
        <f t="shared" si="23"/>
        <v>0</v>
      </c>
      <c r="H52" s="51">
        <f t="shared" si="23"/>
        <v>0</v>
      </c>
      <c r="I52" s="42">
        <f t="shared" si="23"/>
        <v>0</v>
      </c>
      <c r="J52" s="62">
        <f t="shared" si="23"/>
        <v>0</v>
      </c>
      <c r="K52" s="152">
        <f t="shared" si="23"/>
        <v>0</v>
      </c>
      <c r="L52" s="50">
        <f t="shared" si="23"/>
        <v>0</v>
      </c>
      <c r="M52" s="62">
        <f t="shared" si="23"/>
        <v>5.8207660913467407E-11</v>
      </c>
    </row>
    <row r="53" spans="1:16" ht="15.5" thickTop="1" thickBot="1" x14ac:dyDescent="0.4">
      <c r="A53" s="54" t="s">
        <v>23</v>
      </c>
      <c r="B53" s="54"/>
      <c r="C53" s="184">
        <v>0</v>
      </c>
      <c r="D53" s="190"/>
      <c r="E53" s="42">
        <f t="shared" ref="E53:M53" si="24">SUM(E48:E51)-E32</f>
        <v>0</v>
      </c>
      <c r="F53" s="42">
        <f t="shared" si="24"/>
        <v>0</v>
      </c>
      <c r="G53" s="50">
        <f t="shared" si="24"/>
        <v>0</v>
      </c>
      <c r="H53" s="51">
        <f t="shared" si="24"/>
        <v>0</v>
      </c>
      <c r="I53" s="42">
        <f t="shared" si="24"/>
        <v>0</v>
      </c>
      <c r="J53" s="62">
        <f t="shared" si="24"/>
        <v>0</v>
      </c>
      <c r="K53" s="153">
        <f>SUM(K48:K51)-K32</f>
        <v>0</v>
      </c>
      <c r="L53" s="42">
        <f t="shared" si="24"/>
        <v>0</v>
      </c>
      <c r="M53" s="42">
        <f t="shared" si="24"/>
        <v>0</v>
      </c>
    </row>
    <row r="54" spans="1:16" ht="15.5" thickTop="1" thickBot="1" x14ac:dyDescent="0.4">
      <c r="C54" s="98"/>
      <c r="D54" s="178"/>
      <c r="E54" s="17"/>
      <c r="F54" s="17"/>
      <c r="G54" s="17"/>
      <c r="H54" s="10"/>
      <c r="I54" s="17"/>
      <c r="J54" s="11"/>
      <c r="K54" s="17"/>
      <c r="L54" s="17"/>
      <c r="M54" s="11"/>
    </row>
    <row r="55" spans="1:16" ht="15" thickBot="1" x14ac:dyDescent="0.4">
      <c r="A55" s="46" t="s">
        <v>35</v>
      </c>
      <c r="B55" s="113">
        <f>SUM(B41:B44)</f>
        <v>-221024.42999999976</v>
      </c>
      <c r="C55" s="183">
        <f t="shared" ref="C55:M55" si="25">(C12-SUM(C15:C18))+SUM(C48:C51)+B55</f>
        <v>-237758.05999999976</v>
      </c>
      <c r="D55" s="187">
        <f t="shared" si="25"/>
        <v>-238168.19999999969</v>
      </c>
      <c r="E55" s="41">
        <f t="shared" si="25"/>
        <v>-170864.86999999968</v>
      </c>
      <c r="F55" s="41">
        <f t="shared" si="25"/>
        <v>7267.4700000003504</v>
      </c>
      <c r="G55" s="105">
        <f t="shared" si="25"/>
        <v>236534.92000000033</v>
      </c>
      <c r="H55" s="40">
        <f t="shared" si="25"/>
        <v>382900.99000000034</v>
      </c>
      <c r="I55" s="41">
        <f t="shared" si="25"/>
        <v>441387.76000000036</v>
      </c>
      <c r="J55" s="61">
        <f t="shared" si="25"/>
        <v>410848.70000000036</v>
      </c>
      <c r="K55" s="151">
        <f t="shared" si="25"/>
        <v>405952.87000000034</v>
      </c>
      <c r="L55" s="105">
        <f t="shared" si="25"/>
        <v>364069.82000000036</v>
      </c>
      <c r="M55" s="61">
        <f t="shared" si="25"/>
        <v>38714.470000000321</v>
      </c>
    </row>
    <row r="56" spans="1:16" x14ac:dyDescent="0.35">
      <c r="A56" s="46" t="s">
        <v>12</v>
      </c>
      <c r="C56" s="114"/>
      <c r="D56" s="191"/>
      <c r="E56" s="17"/>
      <c r="F56" s="17"/>
      <c r="G56" s="17"/>
      <c r="H56" s="10"/>
      <c r="I56" s="17"/>
      <c r="J56" s="11"/>
      <c r="K56" s="17"/>
      <c r="L56" s="17"/>
      <c r="M56" s="11"/>
    </row>
    <row r="57" spans="1:16" ht="15" thickBot="1" x14ac:dyDescent="0.4">
      <c r="A57" s="37"/>
      <c r="B57" s="37"/>
      <c r="C57" s="138"/>
      <c r="D57" s="192"/>
      <c r="E57" s="44"/>
      <c r="F57" s="44"/>
      <c r="G57" s="44"/>
      <c r="H57" s="43"/>
      <c r="I57" s="44"/>
      <c r="J57" s="45"/>
      <c r="K57" s="44"/>
      <c r="L57" s="44"/>
      <c r="M57" s="45"/>
    </row>
    <row r="59" spans="1:16" x14ac:dyDescent="0.35">
      <c r="A59" s="69" t="s">
        <v>11</v>
      </c>
      <c r="B59" s="69"/>
      <c r="C59" s="69"/>
      <c r="D59" s="69"/>
    </row>
    <row r="60" spans="1:16" ht="28.9" customHeight="1" x14ac:dyDescent="0.35">
      <c r="A60" s="390" t="s">
        <v>324</v>
      </c>
      <c r="B60" s="390"/>
      <c r="C60" s="390"/>
      <c r="D60" s="390"/>
      <c r="E60" s="390"/>
      <c r="F60" s="390"/>
      <c r="G60" s="390"/>
      <c r="H60" s="390"/>
      <c r="I60" s="390"/>
      <c r="J60" s="390"/>
      <c r="K60" s="340"/>
      <c r="L60" s="340"/>
      <c r="M60" s="214"/>
    </row>
    <row r="61" spans="1:16" ht="30.65" customHeight="1" x14ac:dyDescent="0.35">
      <c r="A61" s="410" t="s">
        <v>252</v>
      </c>
      <c r="B61" s="410"/>
      <c r="C61" s="410"/>
      <c r="D61" s="410"/>
      <c r="E61" s="410"/>
      <c r="F61" s="410"/>
      <c r="G61" s="410"/>
      <c r="H61" s="410"/>
      <c r="I61" s="410"/>
      <c r="J61" s="410"/>
      <c r="K61" s="410"/>
      <c r="L61" s="410"/>
      <c r="M61" s="214"/>
    </row>
    <row r="62" spans="1:16" ht="33.75" customHeight="1" x14ac:dyDescent="0.35">
      <c r="A62" s="390" t="s">
        <v>325</v>
      </c>
      <c r="B62" s="390"/>
      <c r="C62" s="390"/>
      <c r="D62" s="390"/>
      <c r="E62" s="390"/>
      <c r="F62" s="390"/>
      <c r="G62" s="390"/>
      <c r="H62" s="390"/>
      <c r="I62" s="390"/>
      <c r="J62" s="390"/>
      <c r="K62" s="340"/>
      <c r="L62" s="340"/>
      <c r="M62" s="214"/>
    </row>
    <row r="63" spans="1:16" x14ac:dyDescent="0.35">
      <c r="A63" s="390" t="s">
        <v>256</v>
      </c>
      <c r="B63" s="390"/>
      <c r="C63" s="390"/>
      <c r="D63" s="390"/>
      <c r="E63" s="390"/>
      <c r="F63" s="390"/>
      <c r="G63" s="390"/>
      <c r="H63" s="390"/>
      <c r="I63" s="390"/>
      <c r="J63" s="390"/>
      <c r="K63" s="39"/>
      <c r="L63" s="39"/>
    </row>
    <row r="64" spans="1:16" x14ac:dyDescent="0.35">
      <c r="A64" s="63" t="s">
        <v>289</v>
      </c>
      <c r="B64" s="63"/>
      <c r="C64" s="63"/>
      <c r="D64" s="63"/>
      <c r="E64" s="39"/>
      <c r="F64" s="39"/>
      <c r="G64" s="39"/>
      <c r="H64" s="39"/>
      <c r="I64" s="39"/>
      <c r="J64" s="39"/>
      <c r="K64" s="39"/>
      <c r="L64" s="39"/>
    </row>
    <row r="65" spans="1:12" x14ac:dyDescent="0.35">
      <c r="A65" s="63" t="s">
        <v>68</v>
      </c>
      <c r="B65" s="63"/>
      <c r="C65" s="63"/>
      <c r="D65" s="63"/>
      <c r="E65" s="39"/>
      <c r="F65" s="39"/>
      <c r="G65" s="39"/>
      <c r="H65" s="39"/>
      <c r="I65" s="39"/>
      <c r="J65" s="39"/>
      <c r="K65" s="39"/>
      <c r="L65" s="39"/>
    </row>
    <row r="66" spans="1:12" x14ac:dyDescent="0.35">
      <c r="A66" s="406" t="s">
        <v>329</v>
      </c>
      <c r="B66" s="407"/>
      <c r="C66" s="407"/>
      <c r="D66" s="407"/>
      <c r="E66" s="407"/>
      <c r="F66" s="407"/>
      <c r="G66" s="407"/>
      <c r="H66" s="408"/>
      <c r="I66" s="408"/>
      <c r="J66" s="408"/>
      <c r="K66" s="408"/>
    </row>
    <row r="67" spans="1:12" x14ac:dyDescent="0.35">
      <c r="A67" s="407"/>
      <c r="B67" s="407"/>
      <c r="C67" s="407"/>
      <c r="D67" s="407"/>
      <c r="E67" s="407"/>
      <c r="F67" s="407"/>
      <c r="G67" s="407"/>
      <c r="H67" s="408"/>
      <c r="I67" s="408"/>
      <c r="J67" s="408"/>
      <c r="K67" s="408"/>
    </row>
  </sheetData>
  <mergeCells count="8">
    <mergeCell ref="A66:K67"/>
    <mergeCell ref="A63:J63"/>
    <mergeCell ref="A62:J62"/>
    <mergeCell ref="E10:G10"/>
    <mergeCell ref="H10:J10"/>
    <mergeCell ref="K10:M10"/>
    <mergeCell ref="A60:J60"/>
    <mergeCell ref="A61:L61"/>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97"/>
  <sheetViews>
    <sheetView zoomScale="85" zoomScaleNormal="85" workbookViewId="0">
      <pane ySplit="4" topLeftCell="A5" activePane="bottomLeft" state="frozen"/>
      <selection activeCell="B5" sqref="B5:C22"/>
      <selection pane="bottomLeft" activeCell="I7" sqref="I7"/>
    </sheetView>
  </sheetViews>
  <sheetFormatPr defaultRowHeight="14.5" x14ac:dyDescent="0.35"/>
  <cols>
    <col min="1" max="1" width="23.7265625" customWidth="1"/>
    <col min="2" max="2" width="15.26953125" bestFit="1" customWidth="1"/>
    <col min="3" max="3" width="14.26953125" style="46"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3" t="str">
        <f>+'PPC Cycle 3'!A1</f>
        <v>Evergy Missouri West, Inc. - DSIM Rider Update Filed 12/01/2024</v>
      </c>
      <c r="B1" s="46"/>
      <c r="D1" s="46"/>
      <c r="E1" s="46"/>
    </row>
    <row r="2" spans="1:7" x14ac:dyDescent="0.35">
      <c r="A2" s="9" t="str">
        <f>+SUBSTITUTE('PPC Cycle 3'!A2,"Cycle 3","Cycle 2")</f>
        <v>Projections for Cycle 2 January 2025 - December 2025 DSIM</v>
      </c>
      <c r="B2" s="46"/>
      <c r="D2" s="46"/>
      <c r="E2" s="46"/>
    </row>
    <row r="3" spans="1:7" ht="45.75" customHeight="1" x14ac:dyDescent="0.35">
      <c r="A3" s="46"/>
      <c r="B3" s="389" t="s">
        <v>96</v>
      </c>
      <c r="C3" s="389"/>
      <c r="D3" s="389"/>
      <c r="E3" s="46"/>
    </row>
    <row r="4" spans="1:7" ht="87" x14ac:dyDescent="0.35">
      <c r="A4" s="46"/>
      <c r="B4" s="70" t="s">
        <v>98</v>
      </c>
      <c r="C4" s="70" t="s">
        <v>99</v>
      </c>
      <c r="D4" s="70" t="s">
        <v>102</v>
      </c>
      <c r="E4" s="70" t="s">
        <v>100</v>
      </c>
      <c r="F4" s="70" t="s">
        <v>97</v>
      </c>
      <c r="G4" s="70" t="s">
        <v>103</v>
      </c>
    </row>
    <row r="5" spans="1:7" s="46" customFormat="1" x14ac:dyDescent="0.35">
      <c r="A5" s="20"/>
      <c r="B5" s="70"/>
      <c r="C5" s="70"/>
      <c r="D5" s="145"/>
    </row>
    <row r="6" spans="1:7" s="46" customFormat="1" x14ac:dyDescent="0.35">
      <c r="A6" s="231" t="s">
        <v>151</v>
      </c>
      <c r="B6" s="70"/>
      <c r="C6" s="70"/>
      <c r="D6" s="144"/>
    </row>
    <row r="7" spans="1:7" s="46" customFormat="1" x14ac:dyDescent="0.35">
      <c r="A7" s="20" t="s">
        <v>24</v>
      </c>
      <c r="B7" s="212">
        <f>+B18+B29+B40+B50+B60+B70+B80</f>
        <v>6580575.5600000005</v>
      </c>
      <c r="C7" s="212">
        <f t="shared" ref="C7:E7" si="0">+C18+C29+C40+C50+C60+C70+C80</f>
        <v>-1695365.81</v>
      </c>
      <c r="D7" s="212">
        <f t="shared" si="0"/>
        <v>-1361421.68</v>
      </c>
      <c r="E7" s="212">
        <f t="shared" si="0"/>
        <v>-87775.260000000024</v>
      </c>
      <c r="F7" s="212">
        <f>SUM(B7:E7)</f>
        <v>3436012.81</v>
      </c>
      <c r="G7" s="212">
        <f t="shared" ref="G7:G8" si="1">+G18+G29+G40+G50+G60+G70+G80</f>
        <v>-7498.5</v>
      </c>
    </row>
    <row r="8" spans="1:7" s="46" customFormat="1" x14ac:dyDescent="0.35">
      <c r="A8" s="20" t="s">
        <v>25</v>
      </c>
      <c r="B8" s="212">
        <f t="shared" ref="B8:E8" si="2">+B19+B30+B41+B51+B61+B71+B81</f>
        <v>6141489.0100000007</v>
      </c>
      <c r="C8" s="212">
        <f t="shared" si="2"/>
        <v>917589.42999999993</v>
      </c>
      <c r="D8" s="212">
        <f t="shared" si="2"/>
        <v>-160545.48000000001</v>
      </c>
      <c r="E8" s="212">
        <f t="shared" si="2"/>
        <v>65611.53</v>
      </c>
      <c r="F8" s="212">
        <f>SUM(B8:E8)</f>
        <v>6964144.4900000002</v>
      </c>
      <c r="G8" s="212">
        <f t="shared" si="1"/>
        <v>-14.089999999999975</v>
      </c>
    </row>
    <row r="9" spans="1:7" s="46" customFormat="1" x14ac:dyDescent="0.35">
      <c r="A9" s="20" t="s">
        <v>5</v>
      </c>
      <c r="B9" s="204">
        <f t="shared" ref="B9:E9" si="3">SUM(B7:B8)</f>
        <v>12722064.57</v>
      </c>
      <c r="C9" s="204">
        <f t="shared" si="3"/>
        <v>-777776.38000000012</v>
      </c>
      <c r="D9" s="204">
        <f t="shared" si="3"/>
        <v>-1521967.16</v>
      </c>
      <c r="E9" s="204">
        <f t="shared" si="3"/>
        <v>-22163.730000000025</v>
      </c>
      <c r="F9" s="204">
        <f t="shared" ref="F9:G9" si="4">SUM(F7:F8)</f>
        <v>10400157.300000001</v>
      </c>
      <c r="G9" s="204">
        <f t="shared" si="4"/>
        <v>-7512.59</v>
      </c>
    </row>
    <row r="10" spans="1:7" s="46" customFormat="1" x14ac:dyDescent="0.35">
      <c r="B10" s="201"/>
      <c r="C10" s="201"/>
      <c r="D10" s="202"/>
    </row>
    <row r="11" spans="1:7" s="46" customFormat="1" x14ac:dyDescent="0.35">
      <c r="A11" s="20" t="s">
        <v>105</v>
      </c>
      <c r="B11" s="204">
        <f t="shared" ref="B11:E11" si="5">+B22+B33+B44+B54+B64+B74+B84</f>
        <v>2400450.7000000002</v>
      </c>
      <c r="C11" s="204">
        <f t="shared" si="5"/>
        <v>394893.28</v>
      </c>
      <c r="D11" s="204">
        <f t="shared" si="5"/>
        <v>-42963.699999999975</v>
      </c>
      <c r="E11" s="204">
        <f t="shared" si="5"/>
        <v>29785.539999999997</v>
      </c>
      <c r="F11" s="204">
        <f t="shared" ref="F11:F13" si="6">SUM(B11:E11)</f>
        <v>2782165.8200000003</v>
      </c>
      <c r="G11" s="204">
        <f t="shared" ref="G11:G13" si="7">+G22+G33+G44+G54+G64+G74+G84</f>
        <v>192.31</v>
      </c>
    </row>
    <row r="12" spans="1:7" s="46" customFormat="1" x14ac:dyDescent="0.35">
      <c r="A12" s="20" t="s">
        <v>106</v>
      </c>
      <c r="B12" s="204">
        <f t="shared" ref="B12:E12" si="8">+B23+B34+B45+B55+B65+B75+B85</f>
        <v>2683377.23</v>
      </c>
      <c r="C12" s="204">
        <f t="shared" si="8"/>
        <v>480798.51</v>
      </c>
      <c r="D12" s="204">
        <f t="shared" si="8"/>
        <v>-107219.15</v>
      </c>
      <c r="E12" s="204">
        <f t="shared" si="8"/>
        <v>31959.200000000001</v>
      </c>
      <c r="F12" s="204">
        <f t="shared" si="6"/>
        <v>3088915.7900000005</v>
      </c>
      <c r="G12" s="204">
        <f t="shared" si="7"/>
        <v>-63.87</v>
      </c>
    </row>
    <row r="13" spans="1:7" s="46" customFormat="1" x14ac:dyDescent="0.35">
      <c r="A13" s="20" t="s">
        <v>107</v>
      </c>
      <c r="B13" s="204">
        <f t="shared" ref="B13:E13" si="9">+B24+B35+B46+B56+B66+B76+B86</f>
        <v>1057661.06</v>
      </c>
      <c r="C13" s="204">
        <f t="shared" si="9"/>
        <v>41897.640000000007</v>
      </c>
      <c r="D13" s="204">
        <f t="shared" si="9"/>
        <v>-10362.630000000001</v>
      </c>
      <c r="E13" s="204">
        <f t="shared" si="9"/>
        <v>3866.7900000000004</v>
      </c>
      <c r="F13" s="204">
        <f t="shared" si="6"/>
        <v>1093062.8600000001</v>
      </c>
      <c r="G13" s="204">
        <f t="shared" si="7"/>
        <v>-142.53</v>
      </c>
    </row>
    <row r="14" spans="1:7" s="46" customFormat="1" x14ac:dyDescent="0.35">
      <c r="A14" s="30" t="s">
        <v>109</v>
      </c>
      <c r="B14" s="204">
        <f t="shared" ref="B14:E14" si="10">SUM(B11:B13)</f>
        <v>6141488.9900000002</v>
      </c>
      <c r="C14" s="204">
        <f t="shared" si="10"/>
        <v>917589.43</v>
      </c>
      <c r="D14" s="204">
        <f t="shared" si="10"/>
        <v>-160545.47999999998</v>
      </c>
      <c r="E14" s="204">
        <f t="shared" si="10"/>
        <v>65611.53</v>
      </c>
      <c r="F14" s="204">
        <f t="shared" ref="F14:G14" si="11">SUM(F11:F13)</f>
        <v>6964144.4700000016</v>
      </c>
      <c r="G14" s="204">
        <f t="shared" si="11"/>
        <v>-14.090000000000003</v>
      </c>
    </row>
    <row r="15" spans="1:7" s="46" customFormat="1" x14ac:dyDescent="0.35">
      <c r="A15" s="20"/>
      <c r="B15" s="70"/>
      <c r="C15" s="70"/>
      <c r="D15" s="144"/>
    </row>
    <row r="16" spans="1:7" s="46" customFormat="1" x14ac:dyDescent="0.35">
      <c r="A16" s="20"/>
      <c r="B16" s="70"/>
      <c r="C16" s="70"/>
      <c r="D16" s="144"/>
    </row>
    <row r="17" spans="1:11" s="46" customFormat="1" x14ac:dyDescent="0.35">
      <c r="A17" s="231" t="s">
        <v>157</v>
      </c>
      <c r="B17" s="70"/>
      <c r="C17" s="70"/>
      <c r="D17" s="144"/>
    </row>
    <row r="18" spans="1:11" s="46" customFormat="1" x14ac:dyDescent="0.35">
      <c r="A18" s="20" t="s">
        <v>24</v>
      </c>
      <c r="B18" s="25">
        <v>5181939.6500000004</v>
      </c>
      <c r="C18" s="25">
        <v>-722286.33</v>
      </c>
      <c r="D18" s="25">
        <v>574414.55000000005</v>
      </c>
      <c r="E18" s="223">
        <v>2229.4899999999998</v>
      </c>
      <c r="F18" s="212">
        <f>SUM(B18:E18)</f>
        <v>5036297.3600000003</v>
      </c>
      <c r="G18" s="224">
        <f>ROUND(F18/24*0,2)</f>
        <v>0</v>
      </c>
    </row>
    <row r="19" spans="1:11" s="46" customFormat="1" x14ac:dyDescent="0.35">
      <c r="A19" s="20" t="s">
        <v>25</v>
      </c>
      <c r="B19" s="203">
        <v>5060008.6900000004</v>
      </c>
      <c r="C19" s="203">
        <v>194085.35</v>
      </c>
      <c r="D19" s="203">
        <v>562321.14</v>
      </c>
      <c r="E19" s="225">
        <v>20418.36</v>
      </c>
      <c r="F19" s="212">
        <f>SUM(B19:E19)</f>
        <v>5836833.54</v>
      </c>
      <c r="G19" s="224">
        <f>ROUND(F19/24*0,2)</f>
        <v>0</v>
      </c>
    </row>
    <row r="20" spans="1:11" s="46" customFormat="1" x14ac:dyDescent="0.35">
      <c r="A20" s="20" t="s">
        <v>5</v>
      </c>
      <c r="B20" s="204">
        <f t="shared" ref="B20:G20" si="12">SUM(B18:B19)</f>
        <v>10241948.34</v>
      </c>
      <c r="C20" s="204">
        <f t="shared" si="12"/>
        <v>-528200.98</v>
      </c>
      <c r="D20" s="204">
        <f t="shared" si="12"/>
        <v>1136735.69</v>
      </c>
      <c r="E20" s="226">
        <f t="shared" si="12"/>
        <v>22647.85</v>
      </c>
      <c r="F20" s="204">
        <f t="shared" si="12"/>
        <v>10873130.9</v>
      </c>
      <c r="G20" s="227">
        <f t="shared" si="12"/>
        <v>0</v>
      </c>
    </row>
    <row r="21" spans="1:11" s="46" customFormat="1" x14ac:dyDescent="0.35">
      <c r="B21" s="201"/>
      <c r="C21" s="201"/>
      <c r="D21" s="202"/>
    </row>
    <row r="22" spans="1:11" x14ac:dyDescent="0.35">
      <c r="A22" s="20" t="s">
        <v>105</v>
      </c>
      <c r="B22" s="25">
        <v>1943830.05</v>
      </c>
      <c r="C22" s="25">
        <v>62654.27</v>
      </c>
      <c r="D22" s="25">
        <v>289519.26</v>
      </c>
      <c r="E22" s="203">
        <v>9487.83</v>
      </c>
      <c r="F22" s="204">
        <f t="shared" ref="F22:F24" si="13">SUM(B22:E22)</f>
        <v>2305491.41</v>
      </c>
      <c r="G22" s="233">
        <f>ROUND(F22/24*0,2)</f>
        <v>0</v>
      </c>
      <c r="J22" s="46"/>
      <c r="K22" s="46"/>
    </row>
    <row r="23" spans="1:11" x14ac:dyDescent="0.35">
      <c r="A23" s="20" t="s">
        <v>106</v>
      </c>
      <c r="B23" s="25">
        <v>2196160.91</v>
      </c>
      <c r="C23" s="25">
        <v>122990.05</v>
      </c>
      <c r="D23" s="25">
        <v>233118.96</v>
      </c>
      <c r="E23" s="25">
        <v>9593.31</v>
      </c>
      <c r="F23" s="204">
        <f t="shared" si="13"/>
        <v>2561863.23</v>
      </c>
      <c r="G23" s="233">
        <f>ROUND(F23/24*0,2)</f>
        <v>0</v>
      </c>
      <c r="J23" s="46"/>
      <c r="K23" s="46"/>
    </row>
    <row r="24" spans="1:11" x14ac:dyDescent="0.35">
      <c r="A24" s="20" t="s">
        <v>107</v>
      </c>
      <c r="B24" s="203">
        <v>920017.71</v>
      </c>
      <c r="C24" s="203">
        <v>8441.0300000000007</v>
      </c>
      <c r="D24" s="203">
        <v>39682.92</v>
      </c>
      <c r="E24" s="203">
        <v>1337.22</v>
      </c>
      <c r="F24" s="204">
        <f t="shared" si="13"/>
        <v>969478.88</v>
      </c>
      <c r="G24" s="233">
        <f>ROUND(F24/24*0,2)</f>
        <v>0</v>
      </c>
      <c r="J24" s="46"/>
      <c r="K24" s="46"/>
    </row>
    <row r="25" spans="1:11" x14ac:dyDescent="0.35">
      <c r="A25" s="30" t="s">
        <v>109</v>
      </c>
      <c r="B25" s="204">
        <f>SUM(B22:B24)</f>
        <v>5060008.67</v>
      </c>
      <c r="C25" s="204">
        <f>SUM(C22:C24)</f>
        <v>194085.35</v>
      </c>
      <c r="D25" s="204">
        <f t="shared" ref="D25:G25" si="14">SUM(D22:D24)</f>
        <v>562321.14</v>
      </c>
      <c r="E25" s="204">
        <f t="shared" si="14"/>
        <v>20418.36</v>
      </c>
      <c r="F25" s="204">
        <f t="shared" si="14"/>
        <v>5836833.5200000005</v>
      </c>
      <c r="G25" s="204">
        <f t="shared" si="14"/>
        <v>0</v>
      </c>
      <c r="J25" s="46"/>
      <c r="K25" s="46"/>
    </row>
    <row r="26" spans="1:11" s="39" customFormat="1" x14ac:dyDescent="0.35">
      <c r="A26" s="30"/>
      <c r="B26" s="232"/>
      <c r="C26" s="232"/>
      <c r="D26" s="232"/>
      <c r="E26" s="232"/>
      <c r="F26" s="232"/>
      <c r="G26" s="232"/>
      <c r="J26" s="46"/>
      <c r="K26" s="46"/>
    </row>
    <row r="27" spans="1:11" s="39" customFormat="1" x14ac:dyDescent="0.35">
      <c r="A27" s="30"/>
      <c r="B27" s="232"/>
      <c r="C27" s="232"/>
      <c r="D27" s="232"/>
      <c r="E27" s="232"/>
      <c r="F27" s="232"/>
      <c r="G27" s="232"/>
      <c r="J27" s="46"/>
      <c r="K27" s="46"/>
    </row>
    <row r="28" spans="1:11" s="46" customFormat="1" x14ac:dyDescent="0.35">
      <c r="A28" s="231" t="s">
        <v>158</v>
      </c>
      <c r="B28" s="70"/>
      <c r="C28" s="70"/>
      <c r="D28" s="144"/>
    </row>
    <row r="29" spans="1:11" s="46" customFormat="1" x14ac:dyDescent="0.35">
      <c r="A29" s="20" t="s">
        <v>24</v>
      </c>
      <c r="B29" s="25">
        <v>1398635.91</v>
      </c>
      <c r="C29" s="25">
        <v>-801107.23</v>
      </c>
      <c r="D29" s="25">
        <v>-1374859.37</v>
      </c>
      <c r="E29" s="223">
        <v>-42421.68</v>
      </c>
      <c r="F29" s="212">
        <f>SUM(B29:E29)</f>
        <v>-819752.37000000023</v>
      </c>
      <c r="G29" s="224">
        <f>ROUND(F29/24*0,2)</f>
        <v>0</v>
      </c>
    </row>
    <row r="30" spans="1:11" s="46" customFormat="1" x14ac:dyDescent="0.35">
      <c r="A30" s="20" t="s">
        <v>25</v>
      </c>
      <c r="B30" s="203">
        <v>1081480.32</v>
      </c>
      <c r="C30" s="203">
        <v>524350.93999999994</v>
      </c>
      <c r="D30" s="203">
        <v>-536449.89</v>
      </c>
      <c r="E30" s="225">
        <v>37990.920000000006</v>
      </c>
      <c r="F30" s="212">
        <f>SUM(B30:E30)</f>
        <v>1107372.29</v>
      </c>
      <c r="G30" s="224">
        <f>ROUND(F30/24*0,2)</f>
        <v>0</v>
      </c>
    </row>
    <row r="31" spans="1:11" s="46" customFormat="1" x14ac:dyDescent="0.35">
      <c r="A31" s="20" t="s">
        <v>5</v>
      </c>
      <c r="B31" s="204">
        <f t="shared" ref="B31:G31" si="15">SUM(B29:B30)</f>
        <v>2480116.23</v>
      </c>
      <c r="C31" s="204">
        <f t="shared" si="15"/>
        <v>-276756.29000000004</v>
      </c>
      <c r="D31" s="204">
        <f t="shared" si="15"/>
        <v>-1911309.2600000002</v>
      </c>
      <c r="E31" s="226">
        <f t="shared" si="15"/>
        <v>-4430.7599999999948</v>
      </c>
      <c r="F31" s="204">
        <f t="shared" si="15"/>
        <v>287619.91999999981</v>
      </c>
      <c r="G31" s="227">
        <f t="shared" si="15"/>
        <v>0</v>
      </c>
    </row>
    <row r="32" spans="1:11" s="46" customFormat="1" x14ac:dyDescent="0.35">
      <c r="B32" s="201"/>
      <c r="C32" s="201"/>
      <c r="D32" s="202"/>
    </row>
    <row r="33" spans="1:11" s="46" customFormat="1" x14ac:dyDescent="0.35">
      <c r="A33" s="20" t="s">
        <v>105</v>
      </c>
      <c r="B33" s="25">
        <v>456620.65</v>
      </c>
      <c r="C33" s="25">
        <v>238713.51</v>
      </c>
      <c r="D33" s="25">
        <v>-250839.18</v>
      </c>
      <c r="E33" s="203">
        <v>16987.560000000001</v>
      </c>
      <c r="F33" s="204">
        <f t="shared" ref="F33:F35" si="16">SUM(B33:E33)</f>
        <v>461482.54000000004</v>
      </c>
      <c r="G33" s="233">
        <f>ROUND(F33/24*0,2)</f>
        <v>0</v>
      </c>
    </row>
    <row r="34" spans="1:11" s="46" customFormat="1" x14ac:dyDescent="0.35">
      <c r="A34" s="20" t="s">
        <v>106</v>
      </c>
      <c r="B34" s="25">
        <v>487216.32</v>
      </c>
      <c r="C34" s="25">
        <v>261085.55</v>
      </c>
      <c r="D34" s="25">
        <v>-248789.11</v>
      </c>
      <c r="E34" s="25">
        <v>18676.650000000001</v>
      </c>
      <c r="F34" s="204">
        <f t="shared" si="16"/>
        <v>518189.41000000003</v>
      </c>
      <c r="G34" s="233">
        <f>ROUND(F34/24*0,2)</f>
        <v>0</v>
      </c>
    </row>
    <row r="35" spans="1:11" s="46" customFormat="1" x14ac:dyDescent="0.35">
      <c r="A35" s="20" t="s">
        <v>107</v>
      </c>
      <c r="B35" s="203">
        <v>137643.35</v>
      </c>
      <c r="C35" s="203">
        <v>24551.88</v>
      </c>
      <c r="D35" s="203">
        <v>-36821.599999999999</v>
      </c>
      <c r="E35" s="203">
        <v>2326.71</v>
      </c>
      <c r="F35" s="204">
        <f t="shared" si="16"/>
        <v>127700.34000000001</v>
      </c>
      <c r="G35" s="233">
        <f>ROUND(F35/24*0,2)</f>
        <v>0</v>
      </c>
    </row>
    <row r="36" spans="1:11" s="46" customFormat="1" x14ac:dyDescent="0.35">
      <c r="A36" s="30" t="s">
        <v>109</v>
      </c>
      <c r="B36" s="204">
        <f>SUM(B33:B35)</f>
        <v>1081480.32</v>
      </c>
      <c r="C36" s="204">
        <f>SUM(C33:C35)</f>
        <v>524350.93999999994</v>
      </c>
      <c r="D36" s="204">
        <f t="shared" ref="D36:G36" si="17">SUM(D33:D35)</f>
        <v>-536449.89</v>
      </c>
      <c r="E36" s="204">
        <f t="shared" si="17"/>
        <v>37990.920000000006</v>
      </c>
      <c r="F36" s="204">
        <f t="shared" si="17"/>
        <v>1107372.29</v>
      </c>
      <c r="G36" s="204">
        <f t="shared" si="17"/>
        <v>0</v>
      </c>
    </row>
    <row r="37" spans="1:11" x14ac:dyDescent="0.35">
      <c r="A37" s="30"/>
      <c r="B37" s="232"/>
      <c r="C37" s="232"/>
      <c r="D37" s="232"/>
      <c r="E37" s="232"/>
      <c r="F37" s="232"/>
      <c r="G37" s="232"/>
      <c r="J37" s="46"/>
      <c r="K37" s="46"/>
    </row>
    <row r="38" spans="1:11" s="39" customFormat="1" x14ac:dyDescent="0.35">
      <c r="A38" s="30"/>
      <c r="B38" s="232"/>
      <c r="C38" s="232"/>
      <c r="D38" s="232"/>
      <c r="E38" s="232"/>
      <c r="F38" s="232"/>
      <c r="G38" s="232"/>
      <c r="J38" s="46"/>
      <c r="K38" s="46"/>
    </row>
    <row r="39" spans="1:11" s="46" customFormat="1" x14ac:dyDescent="0.35">
      <c r="A39" s="231" t="s">
        <v>159</v>
      </c>
      <c r="B39" s="70"/>
      <c r="C39" s="70"/>
      <c r="D39" s="144"/>
    </row>
    <row r="40" spans="1:11" s="46" customFormat="1" x14ac:dyDescent="0.35">
      <c r="A40" s="20" t="s">
        <v>24</v>
      </c>
      <c r="B40" s="25">
        <v>0</v>
      </c>
      <c r="C40" s="25">
        <v>-188195.82</v>
      </c>
      <c r="D40" s="25">
        <v>-520190.41</v>
      </c>
      <c r="E40" s="223">
        <v>-19391.330000000002</v>
      </c>
      <c r="F40" s="212">
        <f>SUM(B40:E40)</f>
        <v>-727777.55999999994</v>
      </c>
      <c r="G40" s="224">
        <f>ROUND(F40/24*0,2)</f>
        <v>0</v>
      </c>
    </row>
    <row r="41" spans="1:11" s="46" customFormat="1" x14ac:dyDescent="0.35">
      <c r="A41" s="20" t="s">
        <v>25</v>
      </c>
      <c r="B41" s="203">
        <v>0</v>
      </c>
      <c r="C41" s="203">
        <v>185348.24</v>
      </c>
      <c r="D41" s="203">
        <v>-173130.57</v>
      </c>
      <c r="E41" s="225">
        <v>5685.3399999999992</v>
      </c>
      <c r="F41" s="212">
        <f>SUM(B41:E41)</f>
        <v>17903.009999999984</v>
      </c>
      <c r="G41" s="224">
        <f>ROUND(F41/24*0,2)</f>
        <v>0</v>
      </c>
    </row>
    <row r="42" spans="1:11" s="46" customFormat="1" x14ac:dyDescent="0.35">
      <c r="A42" s="20" t="s">
        <v>5</v>
      </c>
      <c r="B42" s="204">
        <f t="shared" ref="B42:G42" si="18">SUM(B40:B41)</f>
        <v>0</v>
      </c>
      <c r="C42" s="204">
        <f t="shared" si="18"/>
        <v>-2847.5800000000163</v>
      </c>
      <c r="D42" s="204">
        <f t="shared" si="18"/>
        <v>-693320.98</v>
      </c>
      <c r="E42" s="226">
        <f t="shared" si="18"/>
        <v>-13705.990000000002</v>
      </c>
      <c r="F42" s="204">
        <f t="shared" si="18"/>
        <v>-709874.54999999993</v>
      </c>
      <c r="G42" s="227">
        <f t="shared" si="18"/>
        <v>0</v>
      </c>
    </row>
    <row r="43" spans="1:11" s="46" customFormat="1" x14ac:dyDescent="0.35">
      <c r="B43" s="201"/>
      <c r="C43" s="201"/>
      <c r="D43" s="202"/>
    </row>
    <row r="44" spans="1:11" s="46" customFormat="1" x14ac:dyDescent="0.35">
      <c r="A44" s="20" t="s">
        <v>105</v>
      </c>
      <c r="B44" s="25">
        <v>0</v>
      </c>
      <c r="C44" s="25">
        <v>87398.02</v>
      </c>
      <c r="D44" s="25">
        <v>-76386.149999999994</v>
      </c>
      <c r="E44" s="203">
        <v>2490.44</v>
      </c>
      <c r="F44" s="204">
        <f t="shared" ref="F44:F46" si="19">SUM(B44:E44)</f>
        <v>13502.31000000001</v>
      </c>
      <c r="G44" s="233">
        <f>ROUND(F44/24*0,2)</f>
        <v>0</v>
      </c>
    </row>
    <row r="45" spans="1:11" s="46" customFormat="1" x14ac:dyDescent="0.35">
      <c r="A45" s="20" t="s">
        <v>106</v>
      </c>
      <c r="B45" s="25">
        <v>0</v>
      </c>
      <c r="C45" s="25">
        <v>89708.28</v>
      </c>
      <c r="D45" s="25">
        <v>-84622.720000000001</v>
      </c>
      <c r="E45" s="25">
        <v>2915.7</v>
      </c>
      <c r="F45" s="204">
        <f t="shared" si="19"/>
        <v>8001.2599999999975</v>
      </c>
      <c r="G45" s="233">
        <f>ROUND(F45/24*0,2)</f>
        <v>0</v>
      </c>
    </row>
    <row r="46" spans="1:11" s="46" customFormat="1" x14ac:dyDescent="0.35">
      <c r="A46" s="20" t="s">
        <v>107</v>
      </c>
      <c r="B46" s="203">
        <v>0</v>
      </c>
      <c r="C46" s="25">
        <v>8241.94</v>
      </c>
      <c r="D46" s="203">
        <v>-12121.7</v>
      </c>
      <c r="E46" s="203">
        <v>279.2</v>
      </c>
      <c r="F46" s="204">
        <f t="shared" si="19"/>
        <v>-3600.5600000000004</v>
      </c>
      <c r="G46" s="233">
        <f>ROUND(F46/24*0,2)</f>
        <v>0</v>
      </c>
    </row>
    <row r="47" spans="1:11" s="46" customFormat="1" x14ac:dyDescent="0.35">
      <c r="A47" s="30" t="s">
        <v>109</v>
      </c>
      <c r="B47" s="204">
        <f>SUM(B44:B46)</f>
        <v>0</v>
      </c>
      <c r="C47" s="204">
        <f>SUM(C44:C46)</f>
        <v>185348.24</v>
      </c>
      <c r="D47" s="204">
        <f t="shared" ref="D47:G47" si="20">SUM(D44:D46)</f>
        <v>-173130.57</v>
      </c>
      <c r="E47" s="204">
        <f t="shared" si="20"/>
        <v>5685.3399999999992</v>
      </c>
      <c r="F47" s="204">
        <f t="shared" si="20"/>
        <v>17903.010000000006</v>
      </c>
      <c r="G47" s="204">
        <f t="shared" si="20"/>
        <v>0</v>
      </c>
    </row>
    <row r="48" spans="1:11" s="46" customFormat="1" x14ac:dyDescent="0.35">
      <c r="A48" s="30"/>
      <c r="B48" s="228"/>
      <c r="C48" s="228"/>
      <c r="D48" s="228"/>
      <c r="E48" s="228"/>
      <c r="F48" s="228"/>
      <c r="G48" s="228"/>
    </row>
    <row r="49" spans="1:7" s="46" customFormat="1" x14ac:dyDescent="0.35">
      <c r="A49" s="231" t="s">
        <v>161</v>
      </c>
      <c r="B49" s="70"/>
      <c r="C49" s="70"/>
      <c r="D49" s="144"/>
    </row>
    <row r="50" spans="1:7" s="46" customFormat="1" x14ac:dyDescent="0.35">
      <c r="A50" s="20" t="s">
        <v>24</v>
      </c>
      <c r="B50" s="25">
        <v>0</v>
      </c>
      <c r="C50" s="25">
        <v>0</v>
      </c>
      <c r="D50" s="25">
        <v>0</v>
      </c>
      <c r="E50" s="223">
        <v>-10950.18</v>
      </c>
      <c r="F50" s="212">
        <f>SUM(B50:E50)</f>
        <v>-10950.18</v>
      </c>
      <c r="G50" s="224">
        <f>ROUND(F50/24*0,2)</f>
        <v>0</v>
      </c>
    </row>
    <row r="51" spans="1:7" s="46" customFormat="1" x14ac:dyDescent="0.35">
      <c r="A51" s="20" t="s">
        <v>25</v>
      </c>
      <c r="B51" s="203">
        <v>0</v>
      </c>
      <c r="C51" s="203">
        <v>0</v>
      </c>
      <c r="D51" s="203">
        <v>0</v>
      </c>
      <c r="E51" s="225">
        <v>1989.22</v>
      </c>
      <c r="F51" s="212">
        <f>SUM(B51:E51)</f>
        <v>1989.22</v>
      </c>
      <c r="G51" s="224">
        <f>SUM(G54:G56)</f>
        <v>0</v>
      </c>
    </row>
    <row r="52" spans="1:7" s="46" customFormat="1" x14ac:dyDescent="0.35">
      <c r="A52" s="20" t="s">
        <v>5</v>
      </c>
      <c r="B52" s="204">
        <f t="shared" ref="B52:G52" si="21">SUM(B50:B51)</f>
        <v>0</v>
      </c>
      <c r="C52" s="204">
        <f t="shared" si="21"/>
        <v>0</v>
      </c>
      <c r="D52" s="204">
        <f t="shared" si="21"/>
        <v>0</v>
      </c>
      <c r="E52" s="226">
        <f t="shared" si="21"/>
        <v>-8960.9600000000009</v>
      </c>
      <c r="F52" s="204">
        <f t="shared" si="21"/>
        <v>-8960.9600000000009</v>
      </c>
      <c r="G52" s="227">
        <f t="shared" si="21"/>
        <v>0</v>
      </c>
    </row>
    <row r="53" spans="1:7" s="46" customFormat="1" x14ac:dyDescent="0.35">
      <c r="B53" s="201"/>
      <c r="C53" s="201"/>
      <c r="D53" s="202"/>
    </row>
    <row r="54" spans="1:7" s="46" customFormat="1" x14ac:dyDescent="0.35">
      <c r="A54" s="20" t="s">
        <v>105</v>
      </c>
      <c r="B54" s="25">
        <v>0</v>
      </c>
      <c r="C54" s="25">
        <v>0</v>
      </c>
      <c r="D54" s="25">
        <v>0</v>
      </c>
      <c r="E54" s="203">
        <v>869.87</v>
      </c>
      <c r="F54" s="204">
        <f t="shared" ref="F54:F56" si="22">SUM(B54:E54)</f>
        <v>869.87</v>
      </c>
      <c r="G54" s="233">
        <f>ROUND(F54/24*0,2)</f>
        <v>0</v>
      </c>
    </row>
    <row r="55" spans="1:7" s="46" customFormat="1" x14ac:dyDescent="0.35">
      <c r="A55" s="20" t="s">
        <v>106</v>
      </c>
      <c r="B55" s="25">
        <v>0</v>
      </c>
      <c r="C55" s="25">
        <v>0</v>
      </c>
      <c r="D55" s="25">
        <v>0</v>
      </c>
      <c r="E55" s="25">
        <v>1045.55</v>
      </c>
      <c r="F55" s="204">
        <f t="shared" si="22"/>
        <v>1045.55</v>
      </c>
      <c r="G55" s="233">
        <f>ROUND(F55/24*0,2)</f>
        <v>0</v>
      </c>
    </row>
    <row r="56" spans="1:7" s="46" customFormat="1" x14ac:dyDescent="0.35">
      <c r="A56" s="20" t="s">
        <v>107</v>
      </c>
      <c r="B56" s="203">
        <v>0</v>
      </c>
      <c r="C56" s="25">
        <v>0</v>
      </c>
      <c r="D56" s="203">
        <v>0</v>
      </c>
      <c r="E56" s="203">
        <v>73.8</v>
      </c>
      <c r="F56" s="204">
        <f t="shared" si="22"/>
        <v>73.8</v>
      </c>
      <c r="G56" s="233">
        <f>ROUND(F56/24*0,2)</f>
        <v>0</v>
      </c>
    </row>
    <row r="57" spans="1:7" s="46" customFormat="1" x14ac:dyDescent="0.35">
      <c r="A57" s="30" t="s">
        <v>109</v>
      </c>
      <c r="B57" s="204">
        <f>SUM(B54:B56)</f>
        <v>0</v>
      </c>
      <c r="C57" s="204">
        <f>SUM(C54:C56)</f>
        <v>0</v>
      </c>
      <c r="D57" s="204">
        <f t="shared" ref="D57:G57" si="23">SUM(D54:D56)</f>
        <v>0</v>
      </c>
      <c r="E57" s="204">
        <f t="shared" si="23"/>
        <v>1989.22</v>
      </c>
      <c r="F57" s="204">
        <f t="shared" si="23"/>
        <v>1989.22</v>
      </c>
      <c r="G57" s="204">
        <f t="shared" si="23"/>
        <v>0</v>
      </c>
    </row>
    <row r="58" spans="1:7" s="46" customFormat="1" x14ac:dyDescent="0.35">
      <c r="A58" s="30"/>
      <c r="B58" s="228"/>
      <c r="C58" s="228"/>
      <c r="D58" s="228"/>
      <c r="E58" s="228"/>
      <c r="F58" s="228"/>
      <c r="G58" s="228"/>
    </row>
    <row r="59" spans="1:7" s="46" customFormat="1" x14ac:dyDescent="0.35">
      <c r="A59" s="231" t="s">
        <v>163</v>
      </c>
      <c r="B59" s="70"/>
      <c r="C59" s="70"/>
      <c r="D59" s="144"/>
    </row>
    <row r="60" spans="1:7" s="46" customFormat="1" x14ac:dyDescent="0.35">
      <c r="A60" s="20" t="s">
        <v>24</v>
      </c>
      <c r="B60" s="25">
        <v>0</v>
      </c>
      <c r="C60" s="25">
        <v>0</v>
      </c>
      <c r="D60" s="25">
        <v>0</v>
      </c>
      <c r="E60" s="223">
        <v>-12711.64</v>
      </c>
      <c r="F60" s="212">
        <f>SUM(B60:E60)</f>
        <v>-12711.64</v>
      </c>
      <c r="G60" s="224">
        <f>ROUND(F60/24*0,2)</f>
        <v>0</v>
      </c>
    </row>
    <row r="61" spans="1:7" s="46" customFormat="1" x14ac:dyDescent="0.35">
      <c r="A61" s="20" t="s">
        <v>25</v>
      </c>
      <c r="B61" s="203">
        <v>0</v>
      </c>
      <c r="C61" s="203">
        <v>0</v>
      </c>
      <c r="D61" s="203">
        <v>0</v>
      </c>
      <c r="E61" s="225">
        <v>935.53000000000009</v>
      </c>
      <c r="F61" s="212">
        <f>SUM(B61:E61)</f>
        <v>935.53000000000009</v>
      </c>
      <c r="G61" s="224">
        <f>SUM(G64:G66)</f>
        <v>0</v>
      </c>
    </row>
    <row r="62" spans="1:7" s="46" customFormat="1" x14ac:dyDescent="0.35">
      <c r="A62" s="20" t="s">
        <v>5</v>
      </c>
      <c r="B62" s="204">
        <f t="shared" ref="B62:G62" si="24">SUM(B60:B61)</f>
        <v>0</v>
      </c>
      <c r="C62" s="204">
        <f t="shared" si="24"/>
        <v>0</v>
      </c>
      <c r="D62" s="204">
        <f t="shared" si="24"/>
        <v>0</v>
      </c>
      <c r="E62" s="226">
        <f t="shared" si="24"/>
        <v>-11776.109999999999</v>
      </c>
      <c r="F62" s="204">
        <f t="shared" si="24"/>
        <v>-11776.109999999999</v>
      </c>
      <c r="G62" s="227">
        <f t="shared" si="24"/>
        <v>0</v>
      </c>
    </row>
    <row r="63" spans="1:7" s="46" customFormat="1" x14ac:dyDescent="0.35">
      <c r="B63" s="201"/>
      <c r="C63" s="201"/>
      <c r="D63" s="202"/>
    </row>
    <row r="64" spans="1:7" s="46" customFormat="1" x14ac:dyDescent="0.35">
      <c r="A64" s="20" t="s">
        <v>105</v>
      </c>
      <c r="B64" s="25">
        <v>0</v>
      </c>
      <c r="C64" s="25">
        <v>0</v>
      </c>
      <c r="D64" s="25">
        <v>0</v>
      </c>
      <c r="E64" s="203">
        <v>463.05</v>
      </c>
      <c r="F64" s="204">
        <f t="shared" ref="F64:F66" si="25">SUM(B64:E64)</f>
        <v>463.05</v>
      </c>
      <c r="G64" s="224">
        <f>ROUND(F64/24*0,2)</f>
        <v>0</v>
      </c>
    </row>
    <row r="65" spans="1:7" s="46" customFormat="1" x14ac:dyDescent="0.35">
      <c r="A65" s="20" t="s">
        <v>106</v>
      </c>
      <c r="B65" s="25">
        <v>0</v>
      </c>
      <c r="C65" s="25">
        <v>0</v>
      </c>
      <c r="D65" s="25">
        <v>0</v>
      </c>
      <c r="E65" s="25">
        <v>489.36</v>
      </c>
      <c r="F65" s="204">
        <f t="shared" si="25"/>
        <v>489.36</v>
      </c>
      <c r="G65" s="224">
        <f>ROUND(F65/24*0,2)</f>
        <v>0</v>
      </c>
    </row>
    <row r="66" spans="1:7" s="46" customFormat="1" x14ac:dyDescent="0.35">
      <c r="A66" s="20" t="s">
        <v>107</v>
      </c>
      <c r="B66" s="203">
        <v>0</v>
      </c>
      <c r="C66" s="25">
        <v>0</v>
      </c>
      <c r="D66" s="203">
        <v>0</v>
      </c>
      <c r="E66" s="203">
        <v>-16.88</v>
      </c>
      <c r="F66" s="204">
        <f t="shared" si="25"/>
        <v>-16.88</v>
      </c>
      <c r="G66" s="224">
        <f>ROUND(F66/24*0,2)</f>
        <v>0</v>
      </c>
    </row>
    <row r="67" spans="1:7" s="46" customFormat="1" x14ac:dyDescent="0.35">
      <c r="A67" s="30" t="s">
        <v>109</v>
      </c>
      <c r="B67" s="204">
        <f>SUM(B64:B66)</f>
        <v>0</v>
      </c>
      <c r="C67" s="204">
        <f>SUM(C64:C66)</f>
        <v>0</v>
      </c>
      <c r="D67" s="204">
        <f t="shared" ref="D67:G67" si="26">SUM(D64:D66)</f>
        <v>0</v>
      </c>
      <c r="E67" s="204">
        <f t="shared" si="26"/>
        <v>935.53000000000009</v>
      </c>
      <c r="F67" s="204">
        <f t="shared" si="26"/>
        <v>935.53000000000009</v>
      </c>
      <c r="G67" s="204">
        <f t="shared" si="26"/>
        <v>0</v>
      </c>
    </row>
    <row r="68" spans="1:7" s="46" customFormat="1" x14ac:dyDescent="0.35">
      <c r="A68" s="30"/>
      <c r="B68" s="228"/>
      <c r="C68" s="228"/>
      <c r="D68" s="228"/>
      <c r="E68" s="228"/>
      <c r="F68" s="228"/>
      <c r="G68" s="228"/>
    </row>
    <row r="69" spans="1:7" s="46" customFormat="1" x14ac:dyDescent="0.35">
      <c r="A69" s="272" t="s">
        <v>174</v>
      </c>
      <c r="B69" s="70"/>
      <c r="C69" s="70"/>
      <c r="D69" s="144"/>
    </row>
    <row r="70" spans="1:7" s="46" customFormat="1" x14ac:dyDescent="0.35">
      <c r="A70" s="20" t="s">
        <v>24</v>
      </c>
      <c r="B70" s="25">
        <v>0</v>
      </c>
      <c r="C70" s="25">
        <v>0</v>
      </c>
      <c r="D70" s="25">
        <v>0</v>
      </c>
      <c r="E70" s="223">
        <v>-3947.6</v>
      </c>
      <c r="F70" s="212">
        <f>SUM(B70:E70)</f>
        <v>-3947.6</v>
      </c>
      <c r="G70" s="224">
        <f>ROUND(F70/24*1,2)</f>
        <v>-164.48</v>
      </c>
    </row>
    <row r="71" spans="1:7" s="46" customFormat="1" x14ac:dyDescent="0.35">
      <c r="A71" s="20" t="s">
        <v>25</v>
      </c>
      <c r="B71" s="203">
        <v>0</v>
      </c>
      <c r="C71" s="203">
        <v>0</v>
      </c>
      <c r="D71" s="203">
        <v>0</v>
      </c>
      <c r="E71" s="225">
        <v>-980.94</v>
      </c>
      <c r="F71" s="212">
        <f>SUM(B71:E71)</f>
        <v>-980.94</v>
      </c>
      <c r="G71" s="224">
        <f>SUM(G74:G76)</f>
        <v>-40.879999999999995</v>
      </c>
    </row>
    <row r="72" spans="1:7" s="46" customFormat="1" x14ac:dyDescent="0.35">
      <c r="A72" s="20" t="s">
        <v>5</v>
      </c>
      <c r="B72" s="204">
        <f t="shared" ref="B72:G72" si="27">SUM(B70:B71)</f>
        <v>0</v>
      </c>
      <c r="C72" s="204">
        <f t="shared" si="27"/>
        <v>0</v>
      </c>
      <c r="D72" s="204">
        <f t="shared" si="27"/>
        <v>0</v>
      </c>
      <c r="E72" s="226">
        <f t="shared" si="27"/>
        <v>-4928.54</v>
      </c>
      <c r="F72" s="204">
        <f t="shared" si="27"/>
        <v>-4928.54</v>
      </c>
      <c r="G72" s="227">
        <f t="shared" si="27"/>
        <v>-205.35999999999999</v>
      </c>
    </row>
    <row r="73" spans="1:7" s="46" customFormat="1" x14ac:dyDescent="0.35">
      <c r="B73" s="201"/>
      <c r="C73" s="201"/>
      <c r="D73" s="202"/>
    </row>
    <row r="74" spans="1:7" s="46" customFormat="1" x14ac:dyDescent="0.35">
      <c r="A74" s="20" t="s">
        <v>105</v>
      </c>
      <c r="B74" s="25">
        <v>0</v>
      </c>
      <c r="C74" s="25">
        <v>0</v>
      </c>
      <c r="D74" s="25">
        <v>0</v>
      </c>
      <c r="E74" s="203">
        <v>-353.19</v>
      </c>
      <c r="F74" s="204">
        <f t="shared" ref="F74:F76" si="28">SUM(B74:E74)</f>
        <v>-353.19</v>
      </c>
      <c r="G74" s="224">
        <f>ROUND(F74/24*1,2)</f>
        <v>-14.72</v>
      </c>
    </row>
    <row r="75" spans="1:7" s="46" customFormat="1" x14ac:dyDescent="0.35">
      <c r="A75" s="20" t="s">
        <v>106</v>
      </c>
      <c r="B75" s="25">
        <v>0</v>
      </c>
      <c r="C75" s="25">
        <v>0</v>
      </c>
      <c r="D75" s="25">
        <v>0</v>
      </c>
      <c r="E75" s="25">
        <v>-529.69000000000005</v>
      </c>
      <c r="F75" s="204">
        <f t="shared" si="28"/>
        <v>-529.69000000000005</v>
      </c>
      <c r="G75" s="224">
        <f>ROUND(F75/24*1,2)</f>
        <v>-22.07</v>
      </c>
    </row>
    <row r="76" spans="1:7" s="46" customFormat="1" x14ac:dyDescent="0.35">
      <c r="A76" s="20" t="s">
        <v>107</v>
      </c>
      <c r="B76" s="203">
        <v>0</v>
      </c>
      <c r="C76" s="25">
        <v>0</v>
      </c>
      <c r="D76" s="203">
        <v>0</v>
      </c>
      <c r="E76" s="203">
        <v>-98.06</v>
      </c>
      <c r="F76" s="204">
        <f t="shared" si="28"/>
        <v>-98.06</v>
      </c>
      <c r="G76" s="224">
        <f>ROUND(F76/24*1,2)</f>
        <v>-4.09</v>
      </c>
    </row>
    <row r="77" spans="1:7" s="46" customFormat="1" x14ac:dyDescent="0.35">
      <c r="A77" s="30" t="s">
        <v>109</v>
      </c>
      <c r="B77" s="204">
        <f>SUM(B74:B76)</f>
        <v>0</v>
      </c>
      <c r="C77" s="204">
        <f>SUM(C74:C76)</f>
        <v>0</v>
      </c>
      <c r="D77" s="204">
        <f t="shared" ref="D77:G77" si="29">SUM(D74:D76)</f>
        <v>0</v>
      </c>
      <c r="E77" s="204">
        <f t="shared" si="29"/>
        <v>-980.94</v>
      </c>
      <c r="F77" s="204">
        <f t="shared" si="29"/>
        <v>-980.94</v>
      </c>
      <c r="G77" s="204">
        <f t="shared" si="29"/>
        <v>-40.879999999999995</v>
      </c>
    </row>
    <row r="78" spans="1:7" s="46" customFormat="1" x14ac:dyDescent="0.35">
      <c r="A78" s="30"/>
      <c r="B78" s="228"/>
      <c r="C78" s="228"/>
      <c r="D78" s="228"/>
      <c r="E78" s="228"/>
      <c r="F78" s="228"/>
      <c r="G78" s="228"/>
    </row>
    <row r="79" spans="1:7" s="46" customFormat="1" x14ac:dyDescent="0.35">
      <c r="A79" s="275" t="s">
        <v>175</v>
      </c>
      <c r="B79" s="70"/>
      <c r="C79" s="70"/>
      <c r="D79" s="144"/>
    </row>
    <row r="80" spans="1:7" s="46" customFormat="1" x14ac:dyDescent="0.35">
      <c r="A80" s="20" t="s">
        <v>24</v>
      </c>
      <c r="B80" s="25">
        <v>0</v>
      </c>
      <c r="C80" s="25">
        <v>16223.57</v>
      </c>
      <c r="D80" s="25">
        <v>-40786.449999999997</v>
      </c>
      <c r="E80" s="223">
        <v>-582.32000000000005</v>
      </c>
      <c r="F80" s="212">
        <f>SUM(B80:E80)</f>
        <v>-25145.199999999997</v>
      </c>
      <c r="G80" s="224">
        <f>ROUND(F80/24*7,2)</f>
        <v>-7334.02</v>
      </c>
    </row>
    <row r="81" spans="1:12" s="46" customFormat="1" x14ac:dyDescent="0.35">
      <c r="A81" s="20" t="s">
        <v>25</v>
      </c>
      <c r="B81" s="203">
        <f>SUM(B84:B86)</f>
        <v>0</v>
      </c>
      <c r="C81" s="203">
        <f t="shared" ref="C81:E81" si="30">SUM(C84:C86)</f>
        <v>13804.900000000001</v>
      </c>
      <c r="D81" s="203">
        <f t="shared" si="30"/>
        <v>-13286.16</v>
      </c>
      <c r="E81" s="225">
        <f t="shared" si="30"/>
        <v>-426.90000000000003</v>
      </c>
      <c r="F81" s="212">
        <f>SUM(B81:E81)</f>
        <v>91.840000000001567</v>
      </c>
      <c r="G81" s="224">
        <f>SUM(G84:G86)</f>
        <v>26.79000000000002</v>
      </c>
    </row>
    <row r="82" spans="1:12" s="46" customFormat="1" x14ac:dyDescent="0.35">
      <c r="A82" s="20" t="s">
        <v>5</v>
      </c>
      <c r="B82" s="204">
        <f t="shared" ref="B82:G82" si="31">SUM(B80:B81)</f>
        <v>0</v>
      </c>
      <c r="C82" s="204">
        <f t="shared" si="31"/>
        <v>30028.47</v>
      </c>
      <c r="D82" s="204">
        <f t="shared" si="31"/>
        <v>-54072.61</v>
      </c>
      <c r="E82" s="226">
        <f t="shared" si="31"/>
        <v>-1009.22</v>
      </c>
      <c r="F82" s="204">
        <f t="shared" si="31"/>
        <v>-25053.359999999997</v>
      </c>
      <c r="G82" s="227">
        <f t="shared" si="31"/>
        <v>-7307.2300000000005</v>
      </c>
    </row>
    <row r="83" spans="1:12" s="46" customFormat="1" x14ac:dyDescent="0.35">
      <c r="B83" s="201"/>
      <c r="C83" s="201"/>
      <c r="D83" s="202"/>
    </row>
    <row r="84" spans="1:12" s="46" customFormat="1" x14ac:dyDescent="0.35">
      <c r="A84" s="20" t="s">
        <v>105</v>
      </c>
      <c r="B84" s="25">
        <v>0</v>
      </c>
      <c r="C84" s="25">
        <v>6127.48</v>
      </c>
      <c r="D84" s="25">
        <v>-5257.63</v>
      </c>
      <c r="E84" s="203">
        <v>-160.02000000000001</v>
      </c>
      <c r="F84" s="204">
        <f t="shared" ref="F84:F86" si="32">SUM(B84:E84)</f>
        <v>709.82999999999947</v>
      </c>
      <c r="G84" s="233">
        <f>ROUND(F84/24*7,2)</f>
        <v>207.03</v>
      </c>
    </row>
    <row r="85" spans="1:12" s="46" customFormat="1" x14ac:dyDescent="0.35">
      <c r="A85" s="20" t="s">
        <v>106</v>
      </c>
      <c r="B85" s="25">
        <v>0</v>
      </c>
      <c r="C85" s="25">
        <v>7014.63</v>
      </c>
      <c r="D85" s="25">
        <v>-6926.28</v>
      </c>
      <c r="E85" s="203">
        <v>-231.68</v>
      </c>
      <c r="F85" s="204">
        <f t="shared" si="32"/>
        <v>-143.32999999999964</v>
      </c>
      <c r="G85" s="233">
        <f>ROUND(F85/24*7,2)</f>
        <v>-41.8</v>
      </c>
    </row>
    <row r="86" spans="1:12" s="46" customFormat="1" x14ac:dyDescent="0.35">
      <c r="A86" s="20" t="s">
        <v>107</v>
      </c>
      <c r="B86" s="203">
        <v>0</v>
      </c>
      <c r="C86" s="25">
        <v>662.79</v>
      </c>
      <c r="D86" s="203">
        <v>-1102.25</v>
      </c>
      <c r="E86" s="203">
        <v>-35.200000000000003</v>
      </c>
      <c r="F86" s="204">
        <f t="shared" si="32"/>
        <v>-474.66</v>
      </c>
      <c r="G86" s="233">
        <f>ROUND(F86/24*7,2)</f>
        <v>-138.44</v>
      </c>
    </row>
    <row r="87" spans="1:12" s="46" customFormat="1" x14ac:dyDescent="0.35">
      <c r="A87" s="30" t="s">
        <v>109</v>
      </c>
      <c r="B87" s="204">
        <f>SUM(B84:B86)</f>
        <v>0</v>
      </c>
      <c r="C87" s="204">
        <f>SUM(C84:C86)</f>
        <v>13804.900000000001</v>
      </c>
      <c r="D87" s="204">
        <f t="shared" ref="D87:G87" si="33">SUM(D84:D86)</f>
        <v>-13286.16</v>
      </c>
      <c r="E87" s="204">
        <f t="shared" si="33"/>
        <v>-426.90000000000003</v>
      </c>
      <c r="F87" s="204">
        <f t="shared" si="33"/>
        <v>91.839999999999748</v>
      </c>
      <c r="G87" s="204">
        <f t="shared" si="33"/>
        <v>26.79000000000002</v>
      </c>
    </row>
    <row r="88" spans="1:12" s="46" customFormat="1" x14ac:dyDescent="0.35">
      <c r="A88" s="30"/>
      <c r="B88" s="228"/>
      <c r="C88" s="228"/>
      <c r="D88" s="228"/>
      <c r="E88" s="228"/>
      <c r="F88" s="228"/>
      <c r="G88" s="228"/>
    </row>
    <row r="89" spans="1:12" x14ac:dyDescent="0.35">
      <c r="A89" s="3" t="s">
        <v>224</v>
      </c>
      <c r="B89" s="46"/>
      <c r="D89" s="46"/>
      <c r="E89" s="46"/>
      <c r="F89" s="46"/>
      <c r="G89" s="46"/>
      <c r="J89" s="46"/>
      <c r="K89" s="46"/>
    </row>
    <row r="90" spans="1:12" x14ac:dyDescent="0.35">
      <c r="A90" s="3" t="s">
        <v>225</v>
      </c>
      <c r="B90" s="46"/>
      <c r="D90" s="46"/>
      <c r="E90" s="46"/>
      <c r="F90" s="46"/>
      <c r="G90" s="46"/>
    </row>
    <row r="91" spans="1:12" x14ac:dyDescent="0.35">
      <c r="A91" s="3" t="s">
        <v>226</v>
      </c>
      <c r="B91" s="46"/>
      <c r="D91" s="46"/>
      <c r="E91" s="46"/>
      <c r="F91" s="46"/>
      <c r="G91" s="46"/>
    </row>
    <row r="92" spans="1:12" x14ac:dyDescent="0.35">
      <c r="A92" s="63" t="s">
        <v>227</v>
      </c>
      <c r="B92" s="39"/>
      <c r="C92" s="39"/>
      <c r="D92" s="39"/>
      <c r="E92" s="39"/>
      <c r="F92" s="39"/>
      <c r="G92" s="39"/>
    </row>
    <row r="93" spans="1:12" s="46" customFormat="1" x14ac:dyDescent="0.35">
      <c r="A93" s="63" t="s">
        <v>152</v>
      </c>
      <c r="B93" s="39"/>
      <c r="C93" s="39"/>
      <c r="D93" s="39"/>
      <c r="E93" s="39"/>
      <c r="F93" s="39"/>
      <c r="G93" s="39"/>
    </row>
    <row r="94" spans="1:12" s="46" customFormat="1" ht="63" customHeight="1" x14ac:dyDescent="0.35">
      <c r="A94" s="410" t="s">
        <v>293</v>
      </c>
      <c r="B94" s="410"/>
      <c r="C94" s="410"/>
      <c r="D94" s="410"/>
      <c r="E94" s="410"/>
      <c r="F94" s="410"/>
      <c r="G94" s="410"/>
      <c r="H94" s="410"/>
      <c r="I94" s="410"/>
      <c r="J94" s="410"/>
      <c r="K94" s="410"/>
      <c r="L94" s="410"/>
    </row>
    <row r="95" spans="1:12" x14ac:dyDescent="0.35">
      <c r="A95" s="3"/>
      <c r="B95" s="46"/>
      <c r="D95" s="46"/>
      <c r="E95" s="46"/>
    </row>
    <row r="96" spans="1:12" s="46" customFormat="1" x14ac:dyDescent="0.35">
      <c r="A96" s="3"/>
    </row>
    <row r="97" spans="1:1" x14ac:dyDescent="0.35">
      <c r="A97" s="3"/>
    </row>
  </sheetData>
  <mergeCells count="2">
    <mergeCell ref="B3:D3"/>
    <mergeCell ref="A94:L94"/>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O125"/>
  <sheetViews>
    <sheetView zoomScale="85" zoomScaleNormal="85" workbookViewId="0">
      <pane ySplit="5" topLeftCell="A6" activePane="bottomLeft" state="frozen"/>
      <selection activeCell="B5" sqref="B5:C22"/>
      <selection pane="bottomLeft" activeCell="J8" sqref="J8"/>
    </sheetView>
  </sheetViews>
  <sheetFormatPr defaultColWidth="8.7265625" defaultRowHeight="14.5" x14ac:dyDescent="0.35"/>
  <cols>
    <col min="1" max="1" width="23.7265625" style="46" customWidth="1"/>
    <col min="2" max="2" width="15.26953125" style="46" bestFit="1" customWidth="1"/>
    <col min="3" max="3" width="14.26953125" style="46" customWidth="1"/>
    <col min="4" max="4" width="13.26953125" style="46" bestFit="1" customWidth="1"/>
    <col min="5" max="5" width="9.7265625" style="46" bestFit="1" customWidth="1"/>
    <col min="6" max="6" width="12.54296875" style="46" bestFit="1" customWidth="1"/>
    <col min="7" max="7" width="13.1796875" style="46" customWidth="1"/>
    <col min="8" max="10" width="8.7265625" style="46"/>
    <col min="11" max="11" width="11.54296875" style="46" bestFit="1" customWidth="1"/>
    <col min="12" max="12" width="12.26953125" style="46" bestFit="1" customWidth="1"/>
    <col min="13" max="13" width="9.54296875" style="46" bestFit="1" customWidth="1"/>
    <col min="14" max="16384" width="8.7265625" style="46"/>
  </cols>
  <sheetData>
    <row r="1" spans="1:7" x14ac:dyDescent="0.35">
      <c r="A1" s="63" t="str">
        <f>+'PPC Cycle 3'!A1</f>
        <v>Evergy Missouri West, Inc. - DSIM Rider Update Filed 12/01/2024</v>
      </c>
    </row>
    <row r="2" spans="1:7" x14ac:dyDescent="0.35">
      <c r="A2" s="9" t="str">
        <f>+'PPC Cycle 3'!A2</f>
        <v>Projections for Cycle 3 January 2025 - December 2025 DSIM</v>
      </c>
    </row>
    <row r="3" spans="1:7" x14ac:dyDescent="0.35">
      <c r="A3" s="9"/>
    </row>
    <row r="4" spans="1:7" ht="45.75" customHeight="1" x14ac:dyDescent="0.35">
      <c r="B4" s="389" t="s">
        <v>154</v>
      </c>
      <c r="C4" s="389"/>
      <c r="D4" s="389"/>
    </row>
    <row r="5" spans="1:7" ht="87" x14ac:dyDescent="0.35">
      <c r="B5" s="70" t="s">
        <v>98</v>
      </c>
      <c r="C5" s="70" t="s">
        <v>99</v>
      </c>
      <c r="D5" s="70" t="s">
        <v>102</v>
      </c>
      <c r="E5" s="70" t="s">
        <v>100</v>
      </c>
      <c r="F5" s="70" t="s">
        <v>97</v>
      </c>
      <c r="G5" s="70" t="s">
        <v>156</v>
      </c>
    </row>
    <row r="6" spans="1:7" x14ac:dyDescent="0.35">
      <c r="A6" s="20"/>
      <c r="B6" s="70"/>
      <c r="C6" s="70"/>
      <c r="D6" s="145"/>
    </row>
    <row r="7" spans="1:7" x14ac:dyDescent="0.35">
      <c r="A7" s="231" t="s">
        <v>155</v>
      </c>
      <c r="B7" s="70"/>
      <c r="C7" s="70"/>
      <c r="D7" s="144"/>
    </row>
    <row r="8" spans="1:7" x14ac:dyDescent="0.35">
      <c r="A8" s="20" t="s">
        <v>24</v>
      </c>
      <c r="B8" s="212">
        <f>SUMIFS(B$18:B$137,$A$18:$A$137,$A8)</f>
        <v>6912134.79</v>
      </c>
      <c r="C8" s="212">
        <f>SUMIFS(C$18:C$137,$A$18:$A$137,$A8)</f>
        <v>337153.1</v>
      </c>
      <c r="D8" s="212">
        <f>SUMIFS(D$18:D$137,$A$18:$A$137,$A8)</f>
        <v>-806427.95</v>
      </c>
      <c r="E8" s="212">
        <f>SUMIFS(E$18:E$137,$A$18:$A$137,$A8)</f>
        <v>-10770.57</v>
      </c>
      <c r="F8" s="212">
        <f>SUM(B8:E8)</f>
        <v>6432089.3699999992</v>
      </c>
      <c r="G8" s="212">
        <f>SUMIFS(G$18:G$137,$A$18:$A$137,$A8)</f>
        <v>879442.33000000007</v>
      </c>
    </row>
    <row r="9" spans="1:7" x14ac:dyDescent="0.35">
      <c r="A9" s="20" t="s">
        <v>25</v>
      </c>
      <c r="B9" s="212">
        <f>B15</f>
        <v>4350328.18</v>
      </c>
      <c r="C9" s="212">
        <f>C15</f>
        <v>-10749.779999999997</v>
      </c>
      <c r="D9" s="212">
        <f>D15</f>
        <v>-67355.109999999986</v>
      </c>
      <c r="E9" s="212">
        <f>E15</f>
        <v>-1528.1000000000001</v>
      </c>
      <c r="F9" s="212">
        <f>SUM(B9:E9)</f>
        <v>4270695.1899999995</v>
      </c>
      <c r="G9" s="212">
        <f>G15</f>
        <v>648595.39</v>
      </c>
    </row>
    <row r="10" spans="1:7" x14ac:dyDescent="0.35">
      <c r="A10" s="20" t="s">
        <v>5</v>
      </c>
      <c r="B10" s="204">
        <f t="shared" ref="B10" si="0">SUM(B8:B9)</f>
        <v>11262462.969999999</v>
      </c>
      <c r="C10" s="204">
        <f t="shared" ref="C10:E10" si="1">SUM(C8:C9)</f>
        <v>326403.32</v>
      </c>
      <c r="D10" s="204">
        <f t="shared" si="1"/>
        <v>-873783.05999999994</v>
      </c>
      <c r="E10" s="204">
        <f t="shared" si="1"/>
        <v>-12298.67</v>
      </c>
      <c r="F10" s="204">
        <f t="shared" ref="F10" si="2">SUM(F8:F9)</f>
        <v>10702784.559999999</v>
      </c>
      <c r="G10" s="204">
        <f t="shared" ref="G10" si="3">SUM(G8:G9)</f>
        <v>1528037.7200000002</v>
      </c>
    </row>
    <row r="11" spans="1:7" x14ac:dyDescent="0.35">
      <c r="B11" s="201"/>
      <c r="C11" s="201"/>
      <c r="D11" s="201"/>
      <c r="E11" s="201"/>
      <c r="G11" s="201"/>
    </row>
    <row r="12" spans="1:7" x14ac:dyDescent="0.35">
      <c r="A12" s="20" t="s">
        <v>105</v>
      </c>
      <c r="B12" s="212">
        <f t="shared" ref="B12:E14" si="4">SUMIFS(B$18:B$137,$A$18:$A$137,$A12)</f>
        <v>1247545.8099999998</v>
      </c>
      <c r="C12" s="212">
        <f t="shared" si="4"/>
        <v>-10085.899999999996</v>
      </c>
      <c r="D12" s="212">
        <f t="shared" si="4"/>
        <v>-16679.259999999998</v>
      </c>
      <c r="E12" s="212">
        <f t="shared" si="4"/>
        <v>-866.67000000000007</v>
      </c>
      <c r="F12" s="204">
        <f t="shared" ref="F12:F14" si="5">SUM(B12:E12)</f>
        <v>1219913.98</v>
      </c>
      <c r="G12" s="212">
        <f>SUMIFS(G$18:G$137,$A$18:$A$137,$A12)</f>
        <v>208078.73</v>
      </c>
    </row>
    <row r="13" spans="1:7" x14ac:dyDescent="0.35">
      <c r="A13" s="20" t="s">
        <v>106</v>
      </c>
      <c r="B13" s="212">
        <f t="shared" si="4"/>
        <v>1865861.8199999998</v>
      </c>
      <c r="C13" s="212">
        <f t="shared" si="4"/>
        <v>-923.43000000000029</v>
      </c>
      <c r="D13" s="212">
        <f t="shared" si="4"/>
        <v>-41665.86</v>
      </c>
      <c r="E13" s="212">
        <f t="shared" si="4"/>
        <v>-560.95000000000005</v>
      </c>
      <c r="F13" s="204">
        <f t="shared" si="5"/>
        <v>1822711.5799999998</v>
      </c>
      <c r="G13" s="212">
        <f>SUMIFS(G$18:G$137,$A$18:$A$137,$A13)</f>
        <v>248650.14</v>
      </c>
    </row>
    <row r="14" spans="1:7" x14ac:dyDescent="0.35">
      <c r="A14" s="20" t="s">
        <v>107</v>
      </c>
      <c r="B14" s="212">
        <f t="shared" si="4"/>
        <v>1236920.55</v>
      </c>
      <c r="C14" s="212">
        <f t="shared" si="4"/>
        <v>259.54999999999961</v>
      </c>
      <c r="D14" s="212">
        <f t="shared" si="4"/>
        <v>-9009.989999999998</v>
      </c>
      <c r="E14" s="212">
        <f t="shared" si="4"/>
        <v>-100.47999999999998</v>
      </c>
      <c r="F14" s="204">
        <f t="shared" si="5"/>
        <v>1228069.6300000001</v>
      </c>
      <c r="G14" s="212">
        <f>SUMIFS(G$18:G$137,$A$18:$A$137,$A14)</f>
        <v>191866.52000000002</v>
      </c>
    </row>
    <row r="15" spans="1:7" x14ac:dyDescent="0.35">
      <c r="A15" s="30" t="s">
        <v>109</v>
      </c>
      <c r="B15" s="204">
        <f t="shared" ref="B15" si="6">SUM(B12:B14)</f>
        <v>4350328.18</v>
      </c>
      <c r="C15" s="204">
        <f t="shared" ref="C15:E15" si="7">SUM(C12:C14)</f>
        <v>-10749.779999999997</v>
      </c>
      <c r="D15" s="204">
        <f t="shared" si="7"/>
        <v>-67355.109999999986</v>
      </c>
      <c r="E15" s="204">
        <f t="shared" si="7"/>
        <v>-1528.1000000000001</v>
      </c>
      <c r="F15" s="204">
        <f t="shared" ref="F15" si="8">SUM(F12:F14)</f>
        <v>4270695.1899999995</v>
      </c>
      <c r="G15" s="204">
        <f t="shared" ref="G15" si="9">SUM(G12:G14)</f>
        <v>648595.39</v>
      </c>
    </row>
    <row r="16" spans="1:7" x14ac:dyDescent="0.35">
      <c r="A16" s="20"/>
      <c r="B16" s="70"/>
      <c r="C16" s="70"/>
      <c r="D16" s="144"/>
    </row>
    <row r="17" spans="1:13" x14ac:dyDescent="0.35">
      <c r="A17" s="20"/>
      <c r="B17" s="70"/>
      <c r="C17" s="70"/>
      <c r="D17" s="144"/>
    </row>
    <row r="18" spans="1:13" x14ac:dyDescent="0.35">
      <c r="A18" s="231" t="s">
        <v>160</v>
      </c>
      <c r="B18" s="70"/>
      <c r="C18" s="70"/>
      <c r="D18" s="144"/>
    </row>
    <row r="19" spans="1:13" x14ac:dyDescent="0.35">
      <c r="A19" s="20" t="s">
        <v>24</v>
      </c>
      <c r="B19" s="25">
        <f>ROUND('[15]EO Matrix @Meter'!$R$20,2)</f>
        <v>1600473.26</v>
      </c>
      <c r="C19" s="25">
        <f>ROUND(SUM('[16]Ex Post Gross TD Calc'!$E$571:$Z$571),2)</f>
        <v>575236.4</v>
      </c>
      <c r="D19" s="25">
        <f>ROUND(SUM('[16]NTG TD Calc'!$E$436:$Z$436),2)</f>
        <v>-545792.23</v>
      </c>
      <c r="E19" s="223">
        <f>ROUND(SUM('[16]EO TD Carrying Costs'!$C$55:$X$55),2)</f>
        <v>6704.6</v>
      </c>
      <c r="F19" s="212">
        <f>SUM(B19:E19)</f>
        <v>1636622.0300000003</v>
      </c>
      <c r="G19" s="224">
        <f>ROUND(F19/12*0,2)</f>
        <v>0</v>
      </c>
      <c r="K19" s="339"/>
      <c r="L19" s="339"/>
      <c r="M19" s="339"/>
    </row>
    <row r="20" spans="1:13" x14ac:dyDescent="0.35">
      <c r="A20" s="20" t="s">
        <v>25</v>
      </c>
      <c r="B20" s="203">
        <f>SUM(B23:B25)</f>
        <v>893810.55</v>
      </c>
      <c r="C20" s="203">
        <f t="shared" ref="C20:E20" si="10">SUM(C23:C25)</f>
        <v>48777.71</v>
      </c>
      <c r="D20" s="203">
        <f t="shared" si="10"/>
        <v>-18883.82</v>
      </c>
      <c r="E20" s="225">
        <f t="shared" si="10"/>
        <v>299.14999999999998</v>
      </c>
      <c r="F20" s="212">
        <f>SUM(B20:E20)</f>
        <v>924003.59000000008</v>
      </c>
      <c r="G20" s="224">
        <f>ROUND(F20/12*0,2)</f>
        <v>0</v>
      </c>
      <c r="K20" s="339"/>
      <c r="L20" s="339"/>
      <c r="M20" s="339"/>
    </row>
    <row r="21" spans="1:13" x14ac:dyDescent="0.35">
      <c r="A21" s="20" t="s">
        <v>5</v>
      </c>
      <c r="B21" s="204">
        <f t="shared" ref="B21:G21" si="11">SUM(B19:B20)</f>
        <v>2494283.81</v>
      </c>
      <c r="C21" s="204">
        <f t="shared" si="11"/>
        <v>624014.11</v>
      </c>
      <c r="D21" s="204">
        <f t="shared" si="11"/>
        <v>-564676.04999999993</v>
      </c>
      <c r="E21" s="226">
        <f t="shared" si="11"/>
        <v>7003.75</v>
      </c>
      <c r="F21" s="204">
        <f t="shared" si="11"/>
        <v>2560625.62</v>
      </c>
      <c r="G21" s="227">
        <f t="shared" si="11"/>
        <v>0</v>
      </c>
    </row>
    <row r="22" spans="1:13" x14ac:dyDescent="0.35">
      <c r="B22" s="201"/>
      <c r="C22" s="201"/>
      <c r="D22" s="202"/>
    </row>
    <row r="23" spans="1:13" x14ac:dyDescent="0.35">
      <c r="A23" s="20" t="s">
        <v>105</v>
      </c>
      <c r="B23" s="25">
        <f>ROUND('[15]EO Matrix @Meter'!$V$20,2)</f>
        <v>310910.24</v>
      </c>
      <c r="C23" s="25">
        <f>ROUND(SUM('[16]Ex Post Gross TD Calc'!$E$572:$Z$572),2)</f>
        <v>31691.65</v>
      </c>
      <c r="D23" s="25">
        <f>ROUND(SUM('[16]NTG TD Calc'!$E$437:$Z$437),2)</f>
        <v>-8282.43</v>
      </c>
      <c r="E23" s="223">
        <f>ROUND(SUM('[16]EO TD Carrying Costs'!$C$56:$X$56),2)</f>
        <v>207.66</v>
      </c>
      <c r="F23" s="204">
        <f t="shared" ref="F23:F25" si="12">SUM(B23:E23)</f>
        <v>334527.12</v>
      </c>
      <c r="G23" s="233">
        <f>ROUND(F23/12*0,2)</f>
        <v>0</v>
      </c>
      <c r="K23" s="339"/>
      <c r="L23" s="339"/>
      <c r="M23" s="339"/>
    </row>
    <row r="24" spans="1:13" x14ac:dyDescent="0.35">
      <c r="A24" s="20" t="s">
        <v>106</v>
      </c>
      <c r="B24" s="25">
        <f>ROUND('[15]EO Matrix @Meter'!$X$20,2)</f>
        <v>318131.55</v>
      </c>
      <c r="C24" s="25">
        <f>ROUND(SUM('[16]Ex Post Gross TD Calc'!$E$574:$Z$574),2)</f>
        <v>14779.57</v>
      </c>
      <c r="D24" s="25">
        <f>ROUND(SUM('[16]NTG TD Calc'!$E$439:$Z$439),2)</f>
        <v>-5434.16</v>
      </c>
      <c r="E24" s="223">
        <f>ROUND(SUM('[16]EO TD Carrying Costs'!$C$58:$X$58),2)</f>
        <v>118.71</v>
      </c>
      <c r="F24" s="204">
        <f t="shared" si="12"/>
        <v>327595.67000000004</v>
      </c>
      <c r="G24" s="233">
        <f>ROUND(F24/12*0,2)</f>
        <v>0</v>
      </c>
      <c r="K24" s="339"/>
      <c r="L24" s="339"/>
      <c r="M24" s="339"/>
    </row>
    <row r="25" spans="1:13" x14ac:dyDescent="0.35">
      <c r="A25" s="20" t="s">
        <v>107</v>
      </c>
      <c r="B25" s="25">
        <f>ROUND('[15]EO Matrix @Meter'!$Y$20,2)</f>
        <v>264768.76</v>
      </c>
      <c r="C25" s="25">
        <f>ROUND(SUM('[16]Ex Post Gross TD Calc'!$E$575:$Z$575),2)</f>
        <v>2306.4899999999998</v>
      </c>
      <c r="D25" s="25">
        <f>ROUND(SUM('[16]NTG TD Calc'!$E$440:$Z$440),2)</f>
        <v>-5167.2299999999996</v>
      </c>
      <c r="E25" s="223">
        <f>ROUND(SUM('[16]EO TD Carrying Costs'!$C$59:$X$59),2)</f>
        <v>-27.22</v>
      </c>
      <c r="F25" s="204">
        <f t="shared" si="12"/>
        <v>261880.8</v>
      </c>
      <c r="G25" s="233">
        <f>ROUND(F25/12*0,2)</f>
        <v>0</v>
      </c>
      <c r="K25" s="339"/>
      <c r="L25" s="339"/>
      <c r="M25" s="339"/>
    </row>
    <row r="26" spans="1:13" x14ac:dyDescent="0.35">
      <c r="A26" s="30" t="s">
        <v>109</v>
      </c>
      <c r="B26" s="204">
        <f>SUM(B23:B25)</f>
        <v>893810.55</v>
      </c>
      <c r="C26" s="204">
        <f>SUM(C23:C25)</f>
        <v>48777.71</v>
      </c>
      <c r="D26" s="204">
        <f t="shared" ref="D26:G26" si="13">SUM(D23:D25)</f>
        <v>-18883.82</v>
      </c>
      <c r="E26" s="204">
        <f t="shared" si="13"/>
        <v>299.14999999999998</v>
      </c>
      <c r="F26" s="204">
        <f t="shared" si="13"/>
        <v>924003.59000000008</v>
      </c>
      <c r="G26" s="204">
        <f t="shared" si="13"/>
        <v>0</v>
      </c>
    </row>
    <row r="27" spans="1:13" s="39" customFormat="1" x14ac:dyDescent="0.35">
      <c r="A27" s="30"/>
      <c r="B27" s="232"/>
      <c r="C27" s="232"/>
      <c r="D27" s="232"/>
      <c r="E27" s="232"/>
      <c r="F27" s="232"/>
      <c r="G27" s="232"/>
    </row>
    <row r="28" spans="1:13" s="39" customFormat="1" x14ac:dyDescent="0.35">
      <c r="A28" s="30"/>
      <c r="B28" s="232"/>
      <c r="C28" s="232"/>
      <c r="D28" s="232"/>
      <c r="E28" s="232"/>
      <c r="F28" s="232"/>
      <c r="G28" s="232"/>
    </row>
    <row r="29" spans="1:13" x14ac:dyDescent="0.35">
      <c r="A29" s="269" t="s">
        <v>165</v>
      </c>
      <c r="B29" s="70"/>
      <c r="C29" s="70"/>
      <c r="D29" s="144"/>
    </row>
    <row r="30" spans="1:13" x14ac:dyDescent="0.35">
      <c r="A30" s="20" t="s">
        <v>24</v>
      </c>
      <c r="B30" s="25"/>
      <c r="C30" s="25">
        <f>ROUND(SUM('[16]Ex Post Gross TD Calc'!$AA$571:$AF$571),2)</f>
        <v>62492.85</v>
      </c>
      <c r="D30" s="25">
        <f>ROUND(SUM('[16]NTG TD Calc'!$AA$436:$AF$436),2)</f>
        <v>-64533.46</v>
      </c>
      <c r="E30" s="223">
        <f>ROUND(SUM('[16]EO TD Carrying Costs'!$Y$55:$AD$55),2)</f>
        <v>183.74</v>
      </c>
      <c r="F30" s="212">
        <f>SUM(B30:E30)</f>
        <v>-1856.8700000000006</v>
      </c>
      <c r="G30" s="224">
        <f>ROUND(F30/12*0,2)</f>
        <v>0</v>
      </c>
      <c r="K30" s="339"/>
      <c r="L30" s="339"/>
      <c r="M30" s="339"/>
    </row>
    <row r="31" spans="1:13" x14ac:dyDescent="0.35">
      <c r="A31" s="20" t="s">
        <v>25</v>
      </c>
      <c r="B31" s="203"/>
      <c r="C31" s="203">
        <f t="shared" ref="C31:E31" si="14">SUM(C34:C36)</f>
        <v>16556.97</v>
      </c>
      <c r="D31" s="203">
        <f t="shared" si="14"/>
        <v>-2227.92</v>
      </c>
      <c r="E31" s="225">
        <f t="shared" si="14"/>
        <v>448.56</v>
      </c>
      <c r="F31" s="212">
        <f>SUM(B31:E31)</f>
        <v>14777.61</v>
      </c>
      <c r="G31" s="224">
        <f>ROUND(F31/12*0,2)</f>
        <v>0</v>
      </c>
      <c r="K31" s="339"/>
      <c r="L31" s="339"/>
      <c r="M31" s="339"/>
    </row>
    <row r="32" spans="1:13" x14ac:dyDescent="0.35">
      <c r="A32" s="20" t="s">
        <v>5</v>
      </c>
      <c r="B32" s="204">
        <f t="shared" ref="B32:G32" si="15">SUM(B30:B31)</f>
        <v>0</v>
      </c>
      <c r="C32" s="204">
        <f t="shared" si="15"/>
        <v>79049.820000000007</v>
      </c>
      <c r="D32" s="204">
        <f t="shared" si="15"/>
        <v>-66761.38</v>
      </c>
      <c r="E32" s="226">
        <f t="shared" si="15"/>
        <v>632.29999999999995</v>
      </c>
      <c r="F32" s="204">
        <f t="shared" si="15"/>
        <v>12920.74</v>
      </c>
      <c r="G32" s="227">
        <f t="shared" si="15"/>
        <v>0</v>
      </c>
      <c r="K32" s="339"/>
      <c r="L32" s="339"/>
      <c r="M32" s="339"/>
    </row>
    <row r="33" spans="1:15" x14ac:dyDescent="0.35">
      <c r="B33" s="201"/>
      <c r="C33" s="201"/>
      <c r="D33" s="202"/>
      <c r="K33" s="339"/>
      <c r="L33" s="339"/>
      <c r="M33" s="339"/>
    </row>
    <row r="34" spans="1:15" x14ac:dyDescent="0.35">
      <c r="A34" s="20" t="s">
        <v>105</v>
      </c>
      <c r="B34" s="25"/>
      <c r="C34" s="25">
        <f>ROUND(SUM('[16]Ex Post Gross TD Calc'!$AA$572:$AF$572),2)</f>
        <v>10068.67</v>
      </c>
      <c r="D34" s="25">
        <f>ROUND(SUM('[16]NTG TD Calc'!$AA$437:$AF$437),2)</f>
        <v>-753.09</v>
      </c>
      <c r="E34" s="223">
        <f>ROUND(SUM('[16]EO TD Carrying Costs'!$Y$56:$AD$56),2)</f>
        <v>344.55</v>
      </c>
      <c r="F34" s="204">
        <f t="shared" ref="F34:F36" si="16">SUM(B34:E34)</f>
        <v>9660.1299999999992</v>
      </c>
      <c r="G34" s="224">
        <f t="shared" ref="G34:G36" si="17">ROUND(F34/12*0,2)</f>
        <v>0</v>
      </c>
      <c r="K34" s="339"/>
      <c r="L34" s="339"/>
      <c r="M34" s="339"/>
    </row>
    <row r="35" spans="1:15" x14ac:dyDescent="0.35">
      <c r="A35" s="20" t="s">
        <v>106</v>
      </c>
      <c r="B35" s="25"/>
      <c r="C35" s="25">
        <f>ROUND(SUM('[16]Ex Post Gross TD Calc'!$AA$574:$AF$574),2)</f>
        <v>5538.26</v>
      </c>
      <c r="D35" s="25">
        <f>ROUND(SUM('[16]NTG TD Calc'!$AA$439:$AF$439),2)</f>
        <v>-759.03</v>
      </c>
      <c r="E35" s="223">
        <f>ROUND(SUM('[16]EO TD Carrying Costs'!$Y$58:$AD$58),2)</f>
        <v>142</v>
      </c>
      <c r="F35" s="204">
        <f t="shared" si="16"/>
        <v>4921.2300000000005</v>
      </c>
      <c r="G35" s="224">
        <f t="shared" si="17"/>
        <v>0</v>
      </c>
      <c r="K35" s="339"/>
      <c r="L35" s="339"/>
      <c r="M35" s="339"/>
    </row>
    <row r="36" spans="1:15" x14ac:dyDescent="0.35">
      <c r="A36" s="20" t="s">
        <v>107</v>
      </c>
      <c r="B36" s="203"/>
      <c r="C36" s="25">
        <f>ROUND(SUM('[16]Ex Post Gross TD Calc'!$AA$575:$AF$575),2)</f>
        <v>950.04</v>
      </c>
      <c r="D36" s="25">
        <f>ROUND(SUM('[16]NTG TD Calc'!$AA$440:$AF$440),2)</f>
        <v>-715.8</v>
      </c>
      <c r="E36" s="223">
        <f>ROUND(SUM('[16]EO TD Carrying Costs'!$Y$59:$AD$59),2)</f>
        <v>-37.99</v>
      </c>
      <c r="F36" s="204">
        <f t="shared" si="16"/>
        <v>196.25</v>
      </c>
      <c r="G36" s="224">
        <f t="shared" si="17"/>
        <v>0</v>
      </c>
      <c r="K36" s="339"/>
      <c r="L36" s="339"/>
      <c r="M36" s="339"/>
    </row>
    <row r="37" spans="1:15" x14ac:dyDescent="0.35">
      <c r="A37" s="30" t="s">
        <v>109</v>
      </c>
      <c r="B37" s="204">
        <f>SUM(B34:B36)</f>
        <v>0</v>
      </c>
      <c r="C37" s="204">
        <f>SUM(C34:C36)</f>
        <v>16556.97</v>
      </c>
      <c r="D37" s="204">
        <f t="shared" ref="D37:G37" si="18">SUM(D34:D36)</f>
        <v>-2227.92</v>
      </c>
      <c r="E37" s="204">
        <f t="shared" si="18"/>
        <v>448.56</v>
      </c>
      <c r="F37" s="204">
        <f t="shared" si="18"/>
        <v>14777.61</v>
      </c>
      <c r="G37" s="204">
        <f t="shared" si="18"/>
        <v>0</v>
      </c>
    </row>
    <row r="38" spans="1:15" x14ac:dyDescent="0.35">
      <c r="A38" s="30"/>
      <c r="B38" s="228"/>
      <c r="C38" s="228"/>
      <c r="D38" s="228"/>
      <c r="E38" s="228"/>
      <c r="F38" s="228"/>
      <c r="G38" s="228"/>
    </row>
    <row r="39" spans="1:15" s="39" customFormat="1" x14ac:dyDescent="0.35">
      <c r="A39" s="30"/>
      <c r="B39" s="232"/>
      <c r="C39" s="232"/>
      <c r="D39" s="232"/>
      <c r="E39" s="232"/>
      <c r="F39" s="232"/>
      <c r="G39" s="232"/>
    </row>
    <row r="40" spans="1:15" x14ac:dyDescent="0.35">
      <c r="A40" s="273" t="s">
        <v>172</v>
      </c>
      <c r="B40" s="70"/>
      <c r="C40" s="70"/>
      <c r="D40" s="144"/>
    </row>
    <row r="41" spans="1:15" x14ac:dyDescent="0.35">
      <c r="A41" s="20" t="s">
        <v>24</v>
      </c>
      <c r="B41" s="25">
        <v>0</v>
      </c>
      <c r="C41" s="25">
        <f>ROUND(SUM('[16]Ex Post Gross TD Calc'!$AG$571:$AM$571),2)</f>
        <v>71150.52</v>
      </c>
      <c r="D41" s="25">
        <f>ROUND(SUM('[16]NTG TD Calc'!$AG$436:$AM$436),2)</f>
        <v>-0.01</v>
      </c>
      <c r="E41" s="223">
        <f>ROUND(SUM('[16]EO TD Carrying Costs'!$AE$55:$AK$55),2)</f>
        <v>548.88</v>
      </c>
      <c r="F41" s="212">
        <f>SUM(B41:E41)</f>
        <v>71699.390000000014</v>
      </c>
      <c r="G41" s="224">
        <f>ROUND(F41/12*0,2)</f>
        <v>0</v>
      </c>
      <c r="K41" s="339"/>
      <c r="L41" s="339"/>
      <c r="M41" s="339"/>
      <c r="O41" s="325"/>
    </row>
    <row r="42" spans="1:15" x14ac:dyDescent="0.35">
      <c r="A42" s="20" t="s">
        <v>25</v>
      </c>
      <c r="B42" s="203">
        <v>0</v>
      </c>
      <c r="C42" s="203">
        <f t="shared" ref="C42:G42" si="19">SUM(C45:C47)</f>
        <v>28197.040000000001</v>
      </c>
      <c r="D42" s="203">
        <f t="shared" si="19"/>
        <v>-0.02</v>
      </c>
      <c r="E42" s="225">
        <f t="shared" si="19"/>
        <v>443.20999999999992</v>
      </c>
      <c r="F42" s="212">
        <f>SUM(B42:E42)</f>
        <v>28640.23</v>
      </c>
      <c r="G42" s="224">
        <f t="shared" si="19"/>
        <v>0</v>
      </c>
      <c r="K42" s="339"/>
      <c r="L42" s="339"/>
      <c r="M42" s="339"/>
      <c r="O42" s="325"/>
    </row>
    <row r="43" spans="1:15" x14ac:dyDescent="0.35">
      <c r="A43" s="20" t="s">
        <v>5</v>
      </c>
      <c r="B43" s="204">
        <f t="shared" ref="B43:G43" si="20">SUM(B41:B42)</f>
        <v>0</v>
      </c>
      <c r="C43" s="204">
        <f t="shared" si="20"/>
        <v>99347.56</v>
      </c>
      <c r="D43" s="204">
        <f t="shared" si="20"/>
        <v>-0.03</v>
      </c>
      <c r="E43" s="226">
        <f t="shared" si="20"/>
        <v>992.08999999999992</v>
      </c>
      <c r="F43" s="204">
        <f t="shared" si="20"/>
        <v>100339.62000000001</v>
      </c>
      <c r="G43" s="227">
        <f t="shared" si="20"/>
        <v>0</v>
      </c>
      <c r="K43" s="339"/>
      <c r="L43" s="339"/>
      <c r="M43" s="339"/>
    </row>
    <row r="44" spans="1:15" x14ac:dyDescent="0.35">
      <c r="B44" s="201"/>
      <c r="C44" s="201"/>
      <c r="D44" s="202"/>
      <c r="K44" s="339"/>
      <c r="L44" s="339"/>
      <c r="M44" s="339"/>
    </row>
    <row r="45" spans="1:15" x14ac:dyDescent="0.35">
      <c r="A45" s="20" t="s">
        <v>105</v>
      </c>
      <c r="B45" s="25">
        <v>0</v>
      </c>
      <c r="C45" s="25">
        <f>ROUND(SUM('[16]Ex Post Gross TD Calc'!$AG$572:$AM$572),2)</f>
        <v>19392.560000000001</v>
      </c>
      <c r="D45" s="25">
        <f>ROUND(SUM('[16]NTG TD Calc'!$AG$437:$AM$437),2)</f>
        <v>0</v>
      </c>
      <c r="E45" s="223">
        <f>ROUND(SUM('[16]EO TD Carrying Costs'!$AE$56:$AK$56),2)</f>
        <v>322.51</v>
      </c>
      <c r="F45" s="204">
        <f t="shared" ref="F45:F47" si="21">SUM(B45:E45)</f>
        <v>19715.07</v>
      </c>
      <c r="G45" s="224">
        <f t="shared" ref="G45:G47" si="22">ROUND(F45/12*0,2)</f>
        <v>0</v>
      </c>
      <c r="K45" s="339"/>
      <c r="L45" s="339"/>
      <c r="M45" s="339"/>
    </row>
    <row r="46" spans="1:15" x14ac:dyDescent="0.35">
      <c r="A46" s="20" t="s">
        <v>106</v>
      </c>
      <c r="B46" s="25">
        <v>0</v>
      </c>
      <c r="C46" s="25">
        <f>ROUND(SUM('[16]Ex Post Gross TD Calc'!$AG$574:$AM$574),2)</f>
        <v>7522.72</v>
      </c>
      <c r="D46" s="25">
        <f>ROUND(SUM('[16]NTG TD Calc'!$AG$439:$AM$439),2)</f>
        <v>-0.02</v>
      </c>
      <c r="E46" s="223">
        <f>ROUND(SUM('[16]EO TD Carrying Costs'!$AE$58:$AK$58),2)</f>
        <v>134.16999999999999</v>
      </c>
      <c r="F46" s="204">
        <f t="shared" si="21"/>
        <v>7656.87</v>
      </c>
      <c r="G46" s="224">
        <f t="shared" si="22"/>
        <v>0</v>
      </c>
      <c r="K46" s="339"/>
      <c r="L46" s="339"/>
      <c r="M46" s="339"/>
    </row>
    <row r="47" spans="1:15" x14ac:dyDescent="0.35">
      <c r="A47" s="20" t="s">
        <v>107</v>
      </c>
      <c r="B47" s="203">
        <v>0</v>
      </c>
      <c r="C47" s="25">
        <f>ROUND(SUM('[16]Ex Post Gross TD Calc'!$AG$575:$AM$575),2)</f>
        <v>1281.76</v>
      </c>
      <c r="D47" s="25">
        <f>ROUND(SUM('[16]NTG TD Calc'!$AG$440:$AM$440),2)</f>
        <v>0</v>
      </c>
      <c r="E47" s="223">
        <f>ROUND(SUM('[16]EO TD Carrying Costs'!$AE$59:$AK$59),2)</f>
        <v>-13.47</v>
      </c>
      <c r="F47" s="204">
        <f t="shared" si="21"/>
        <v>1268.29</v>
      </c>
      <c r="G47" s="224">
        <f t="shared" si="22"/>
        <v>0</v>
      </c>
      <c r="K47" s="339"/>
      <c r="L47" s="339"/>
      <c r="M47" s="339"/>
    </row>
    <row r="48" spans="1:15" x14ac:dyDescent="0.35">
      <c r="A48" s="30" t="s">
        <v>109</v>
      </c>
      <c r="B48" s="204">
        <f>SUM(B45:B47)</f>
        <v>0</v>
      </c>
      <c r="C48" s="204">
        <f>SUM(C45:C47)</f>
        <v>28197.040000000001</v>
      </c>
      <c r="D48" s="204">
        <f t="shared" ref="D48:G48" si="23">SUM(D45:D47)</f>
        <v>-0.02</v>
      </c>
      <c r="E48" s="204">
        <f t="shared" si="23"/>
        <v>443.20999999999992</v>
      </c>
      <c r="F48" s="204">
        <f t="shared" si="23"/>
        <v>28640.23</v>
      </c>
      <c r="G48" s="204">
        <f t="shared" si="23"/>
        <v>0</v>
      </c>
    </row>
    <row r="49" spans="1:7" x14ac:dyDescent="0.35">
      <c r="A49" s="30"/>
      <c r="B49" s="232"/>
      <c r="C49" s="232"/>
      <c r="D49" s="232"/>
      <c r="E49" s="232"/>
      <c r="F49" s="232"/>
      <c r="G49" s="232"/>
    </row>
    <row r="50" spans="1:7" s="39" customFormat="1" x14ac:dyDescent="0.35">
      <c r="A50" s="30"/>
      <c r="B50" s="232"/>
      <c r="C50" s="232"/>
      <c r="D50" s="232"/>
      <c r="E50" s="232"/>
      <c r="F50" s="232"/>
      <c r="G50" s="232"/>
    </row>
    <row r="51" spans="1:7" s="39" customFormat="1" x14ac:dyDescent="0.35">
      <c r="A51" s="316" t="s">
        <v>233</v>
      </c>
      <c r="B51" s="142"/>
      <c r="C51" s="142"/>
      <c r="D51" s="328"/>
    </row>
    <row r="52" spans="1:7" s="39" customFormat="1" x14ac:dyDescent="0.35">
      <c r="A52" s="20" t="s">
        <v>24</v>
      </c>
      <c r="B52" s="25">
        <v>0</v>
      </c>
      <c r="C52" s="25">
        <f>ROUND(SUM('[16]Ex Post Gross TD Calc'!$AN$571:$AN$571),2)</f>
        <v>10271.9</v>
      </c>
      <c r="D52" s="25">
        <f>ROUND(SUM('[16]NTG TD Calc'!$AN$436:$AN$436),2)</f>
        <v>0</v>
      </c>
      <c r="E52" s="223">
        <f>ROUND(SUM('[16]EO TD Carrying Costs'!$AL$55:$AL$55),2)</f>
        <v>195.78</v>
      </c>
      <c r="F52" s="212">
        <f>SUM(B52:E52)</f>
        <v>10467.68</v>
      </c>
      <c r="G52" s="329">
        <f>ROUND(F52/12*1,2)</f>
        <v>872.31</v>
      </c>
    </row>
    <row r="53" spans="1:7" s="39" customFormat="1" x14ac:dyDescent="0.35">
      <c r="A53" s="20" t="s">
        <v>25</v>
      </c>
      <c r="B53" s="203">
        <f>SUM(B56:B58)</f>
        <v>0</v>
      </c>
      <c r="C53" s="203">
        <f t="shared" ref="C53:G53" si="24">SUM(C56:C58)</f>
        <v>2693.56</v>
      </c>
      <c r="D53" s="203">
        <f t="shared" si="24"/>
        <v>-0.01</v>
      </c>
      <c r="E53" s="225">
        <f t="shared" si="24"/>
        <v>132.03</v>
      </c>
      <c r="F53" s="212">
        <f>SUM(B53:E53)</f>
        <v>2825.58</v>
      </c>
      <c r="G53" s="329">
        <f t="shared" si="24"/>
        <v>235.47000000000003</v>
      </c>
    </row>
    <row r="54" spans="1:7" s="39" customFormat="1" x14ac:dyDescent="0.35">
      <c r="A54" s="20" t="s">
        <v>5</v>
      </c>
      <c r="B54" s="204">
        <f t="shared" ref="B54:G54" si="25">SUM(B52:B53)</f>
        <v>0</v>
      </c>
      <c r="C54" s="204">
        <f t="shared" si="25"/>
        <v>12965.46</v>
      </c>
      <c r="D54" s="204">
        <f t="shared" si="25"/>
        <v>-0.01</v>
      </c>
      <c r="E54" s="226">
        <f t="shared" si="25"/>
        <v>327.81</v>
      </c>
      <c r="F54" s="204">
        <f t="shared" si="25"/>
        <v>13293.26</v>
      </c>
      <c r="G54" s="227">
        <f t="shared" si="25"/>
        <v>1107.78</v>
      </c>
    </row>
    <row r="55" spans="1:7" s="39" customFormat="1" x14ac:dyDescent="0.35">
      <c r="A55" s="46"/>
      <c r="B55" s="201"/>
      <c r="C55" s="201"/>
      <c r="D55" s="202"/>
      <c r="E55" s="46"/>
      <c r="F55" s="46"/>
      <c r="G55" s="46"/>
    </row>
    <row r="56" spans="1:7" s="39" customFormat="1" x14ac:dyDescent="0.35">
      <c r="A56" s="20" t="s">
        <v>105</v>
      </c>
      <c r="B56" s="25">
        <v>0</v>
      </c>
      <c r="C56" s="25">
        <f>ROUND(SUM('[16]Ex Post Gross TD Calc'!$AN$572:$AN$572),2)</f>
        <v>1616.23</v>
      </c>
      <c r="D56" s="25">
        <f>ROUND(SUM('[16]NTG TD Calc'!$AN$437:$AN$437),2)</f>
        <v>0</v>
      </c>
      <c r="E56" s="223">
        <f>ROUND(SUM('[16]EO TD Carrying Costs'!$AL$56:$AL$56),2)</f>
        <v>94.76</v>
      </c>
      <c r="F56" s="204">
        <f t="shared" ref="F56:F58" si="26">SUM(B56:E56)</f>
        <v>1710.99</v>
      </c>
      <c r="G56" s="329">
        <f>ROUND(F56/12*1,2)</f>
        <v>142.58000000000001</v>
      </c>
    </row>
    <row r="57" spans="1:7" s="39" customFormat="1" x14ac:dyDescent="0.35">
      <c r="A57" s="20" t="s">
        <v>106</v>
      </c>
      <c r="B57" s="25">
        <v>0</v>
      </c>
      <c r="C57" s="25">
        <f>ROUND(SUM('[16]Ex Post Gross TD Calc'!$AN$574:$AN$574),2)</f>
        <v>912.42</v>
      </c>
      <c r="D57" s="25">
        <f>ROUND(SUM('[16]NTG TD Calc'!$AN$439:$AN$439),2)</f>
        <v>-0.01</v>
      </c>
      <c r="E57" s="223">
        <f>ROUND(SUM('[16]EO TD Carrying Costs'!$AL$58:$AL$58),2)</f>
        <v>39.630000000000003</v>
      </c>
      <c r="F57" s="204">
        <f t="shared" si="26"/>
        <v>952.04</v>
      </c>
      <c r="G57" s="329">
        <f>ROUND(F57/12*1,2)</f>
        <v>79.34</v>
      </c>
    </row>
    <row r="58" spans="1:7" s="39" customFormat="1" x14ac:dyDescent="0.35">
      <c r="A58" s="20" t="s">
        <v>107</v>
      </c>
      <c r="B58" s="203">
        <v>0</v>
      </c>
      <c r="C58" s="25">
        <f>ROUND(SUM('[16]Ex Post Gross TD Calc'!$AN$575:$AN$575),2)</f>
        <v>164.91</v>
      </c>
      <c r="D58" s="25">
        <f>ROUND(SUM('[16]NTG TD Calc'!$AN$440:$AN$440),2)</f>
        <v>0</v>
      </c>
      <c r="E58" s="223">
        <f>ROUND(SUM('[16]EO TD Carrying Costs'!$AL$59:$AL$59),2)</f>
        <v>-2.36</v>
      </c>
      <c r="F58" s="204">
        <f t="shared" si="26"/>
        <v>162.54999999999998</v>
      </c>
      <c r="G58" s="329">
        <f>ROUND(F58/12*1,2)</f>
        <v>13.55</v>
      </c>
    </row>
    <row r="59" spans="1:7" s="39" customFormat="1" x14ac:dyDescent="0.35">
      <c r="A59" s="20" t="s">
        <v>109</v>
      </c>
      <c r="B59" s="204">
        <f>SUM(B56:B58)</f>
        <v>0</v>
      </c>
      <c r="C59" s="204">
        <f>SUM(C56:C58)</f>
        <v>2693.56</v>
      </c>
      <c r="D59" s="204">
        <f t="shared" ref="D59:G59" si="27">SUM(D56:D58)</f>
        <v>-0.01</v>
      </c>
      <c r="E59" s="204">
        <f t="shared" si="27"/>
        <v>132.03</v>
      </c>
      <c r="F59" s="204">
        <f t="shared" si="27"/>
        <v>2825.58</v>
      </c>
      <c r="G59" s="204">
        <f t="shared" si="27"/>
        <v>235.47000000000003</v>
      </c>
    </row>
    <row r="60" spans="1:7" s="39" customFormat="1" x14ac:dyDescent="0.35">
      <c r="A60" s="30"/>
      <c r="B60" s="232"/>
      <c r="C60" s="232"/>
      <c r="D60" s="232"/>
      <c r="E60" s="232"/>
      <c r="F60" s="232"/>
      <c r="G60" s="232"/>
    </row>
    <row r="61" spans="1:7" s="39" customFormat="1" x14ac:dyDescent="0.35">
      <c r="A61" s="30"/>
      <c r="B61" s="232"/>
      <c r="C61" s="232"/>
      <c r="D61" s="232"/>
      <c r="E61" s="232"/>
      <c r="F61" s="232"/>
      <c r="G61" s="232"/>
    </row>
    <row r="62" spans="1:7" x14ac:dyDescent="0.35">
      <c r="A62" s="273" t="s">
        <v>176</v>
      </c>
      <c r="B62" s="70"/>
      <c r="C62" s="70"/>
      <c r="D62" s="144"/>
    </row>
    <row r="63" spans="1:7" x14ac:dyDescent="0.35">
      <c r="A63" s="20" t="s">
        <v>24</v>
      </c>
      <c r="B63" s="25">
        <f>ROUND('[17]EO Matrix @Meter'!$AL$20,2)</f>
        <v>2070956.04</v>
      </c>
      <c r="C63" s="25">
        <f>ROUND(SUM('[18]Ex Post Gross TD Calc'!$Q$571:$AN$571),2)</f>
        <v>-195811.16</v>
      </c>
      <c r="D63" s="25">
        <f>ROUND(SUM('[18]NTG TD Calc'!$Q$436:$AN$436),2)</f>
        <v>-174531.88</v>
      </c>
      <c r="E63" s="223">
        <f>ROUND(SUM('[18]EO TD Carrying Costs'!$O$55:$AL$55),2)</f>
        <v>-8257.98</v>
      </c>
      <c r="F63" s="212">
        <f>SUM(B63:E63)</f>
        <v>1692355.02</v>
      </c>
      <c r="G63" s="224">
        <f>ROUND(F63/12*0,2)</f>
        <v>0</v>
      </c>
    </row>
    <row r="64" spans="1:7" x14ac:dyDescent="0.35">
      <c r="A64" s="20" t="s">
        <v>25</v>
      </c>
      <c r="B64" s="203">
        <f>SUM(B67:B69)</f>
        <v>1072812.1200000001</v>
      </c>
      <c r="C64" s="203">
        <f t="shared" ref="C64:E64" si="28">SUM(C67:C69)</f>
        <v>1131.53</v>
      </c>
      <c r="D64" s="203">
        <f t="shared" si="28"/>
        <v>-105892.22</v>
      </c>
      <c r="E64" s="225">
        <f t="shared" si="28"/>
        <v>-1408.09</v>
      </c>
      <c r="F64" s="212">
        <f>SUM(B64:E64)</f>
        <v>966643.3400000002</v>
      </c>
      <c r="G64" s="329">
        <f t="shared" ref="G64" si="29">SUM(G67:G69)</f>
        <v>0</v>
      </c>
    </row>
    <row r="65" spans="1:7" x14ac:dyDescent="0.35">
      <c r="A65" s="20" t="s">
        <v>5</v>
      </c>
      <c r="B65" s="204">
        <f t="shared" ref="B65:G65" si="30">SUM(B63:B64)</f>
        <v>3143768.16</v>
      </c>
      <c r="C65" s="204">
        <f t="shared" si="30"/>
        <v>-194679.63</v>
      </c>
      <c r="D65" s="204">
        <f t="shared" si="30"/>
        <v>-280424.09999999998</v>
      </c>
      <c r="E65" s="226">
        <f t="shared" si="30"/>
        <v>-9666.07</v>
      </c>
      <c r="F65" s="204">
        <f t="shared" si="30"/>
        <v>2658998.3600000003</v>
      </c>
      <c r="G65" s="227">
        <f t="shared" si="30"/>
        <v>0</v>
      </c>
    </row>
    <row r="66" spans="1:7" x14ac:dyDescent="0.35">
      <c r="B66" s="201"/>
      <c r="C66" s="201"/>
      <c r="D66" s="202"/>
    </row>
    <row r="67" spans="1:7" x14ac:dyDescent="0.35">
      <c r="A67" s="20" t="s">
        <v>105</v>
      </c>
      <c r="B67" s="25">
        <f>ROUND('[17]EO Matrix @Meter'!$AP$20,2)</f>
        <v>283722.18</v>
      </c>
      <c r="C67" s="25">
        <f>ROUND(SUM('[18]Ex Post Gross TD Calc'!$Q$572:$AN$572),2)</f>
        <v>6564.41</v>
      </c>
      <c r="D67" s="25">
        <f>ROUND(SUM('[18]NTG TD Calc'!$Q$437:$AN$437),2)</f>
        <v>-47566.93</v>
      </c>
      <c r="E67" s="223">
        <f>ROUND(SUM('[18]EO TD Carrying Costs'!$O$56:$AL$56),2)</f>
        <v>-523.69000000000005</v>
      </c>
      <c r="F67" s="204">
        <f t="shared" ref="F67:F69" si="31">SUM(B67:E67)</f>
        <v>242195.96999999997</v>
      </c>
      <c r="G67" s="224">
        <f>ROUND(F67/12*0,2)</f>
        <v>0</v>
      </c>
    </row>
    <row r="68" spans="1:7" x14ac:dyDescent="0.35">
      <c r="A68" s="20" t="s">
        <v>106</v>
      </c>
      <c r="B68" s="25">
        <f>ROUND('[17]EO Matrix @Meter'!$AR$20,2)</f>
        <v>576681.62</v>
      </c>
      <c r="C68" s="25">
        <f>ROUND(SUM('[18]Ex Post Gross TD Calc'!$Q$574:$AN$574),2)</f>
        <v>-3904.58</v>
      </c>
      <c r="D68" s="25">
        <f>ROUND(SUM('[18]NTG TD Calc'!$Q$439:$AN$439),2)</f>
        <v>-52350.95</v>
      </c>
      <c r="E68" s="223">
        <f>ROUND(SUM('[18]EO TD Carrying Costs'!$O$58:$AL$58),2)</f>
        <v>-794.87</v>
      </c>
      <c r="F68" s="204">
        <f t="shared" si="31"/>
        <v>519631.22000000003</v>
      </c>
      <c r="G68" s="224">
        <f>ROUND(F68/12*0,2)</f>
        <v>0</v>
      </c>
    </row>
    <row r="69" spans="1:7" x14ac:dyDescent="0.35">
      <c r="A69" s="20" t="s">
        <v>107</v>
      </c>
      <c r="B69" s="25">
        <f>ROUND('[17]EO Matrix @Meter'!$AS$20,2)</f>
        <v>212408.32000000001</v>
      </c>
      <c r="C69" s="25">
        <f>ROUND(SUM('[18]Ex Post Gross TD Calc'!$Q$575:$AN$575),2)</f>
        <v>-1528.3</v>
      </c>
      <c r="D69" s="25">
        <f>ROUND(SUM('[18]NTG TD Calc'!$Q$440:$AN$440),2)</f>
        <v>-5974.34</v>
      </c>
      <c r="E69" s="223">
        <f>ROUND(SUM('[18]EO TD Carrying Costs'!$O$59:$AL$59),2)</f>
        <v>-89.53</v>
      </c>
      <c r="F69" s="204">
        <f t="shared" si="31"/>
        <v>204816.15000000002</v>
      </c>
      <c r="G69" s="224">
        <f>ROUND(F69/12*0,2)</f>
        <v>0</v>
      </c>
    </row>
    <row r="70" spans="1:7" x14ac:dyDescent="0.35">
      <c r="A70" s="30" t="s">
        <v>109</v>
      </c>
      <c r="B70" s="204">
        <f>SUM(B67:B69)</f>
        <v>1072812.1200000001</v>
      </c>
      <c r="C70" s="204">
        <f>SUM(C67:C69)</f>
        <v>1131.53</v>
      </c>
      <c r="D70" s="204">
        <f t="shared" ref="D70:G70" si="32">SUM(D67:D69)</f>
        <v>-105892.22</v>
      </c>
      <c r="E70" s="204">
        <f t="shared" si="32"/>
        <v>-1408.09</v>
      </c>
      <c r="F70" s="204">
        <f t="shared" si="32"/>
        <v>966643.34</v>
      </c>
      <c r="G70" s="204">
        <f t="shared" si="32"/>
        <v>0</v>
      </c>
    </row>
    <row r="71" spans="1:7" x14ac:dyDescent="0.35">
      <c r="A71" s="30"/>
      <c r="B71" s="232"/>
      <c r="C71" s="232"/>
      <c r="D71" s="232"/>
      <c r="E71" s="232"/>
      <c r="F71" s="232"/>
      <c r="G71" s="232"/>
    </row>
    <row r="72" spans="1:7" s="39" customFormat="1" x14ac:dyDescent="0.35">
      <c r="A72" s="338"/>
      <c r="B72" s="232"/>
      <c r="C72" s="232"/>
      <c r="D72" s="232"/>
      <c r="E72" s="232"/>
      <c r="F72" s="232"/>
      <c r="G72" s="232"/>
    </row>
    <row r="73" spans="1:7" x14ac:dyDescent="0.35">
      <c r="A73" s="338" t="s">
        <v>228</v>
      </c>
      <c r="B73" s="70"/>
      <c r="C73" s="70"/>
      <c r="D73" s="144"/>
    </row>
    <row r="74" spans="1:7" x14ac:dyDescent="0.35">
      <c r="A74" s="20" t="s">
        <v>24</v>
      </c>
      <c r="B74" s="25">
        <f>ROUND('[19]EO Matrix @Meter'!$AL$22,2)</f>
        <v>1831459.69</v>
      </c>
      <c r="C74" s="25">
        <f>ROUND(SUM('[20]Ex Post Gross TD Calc'!$AC$572:$AX$572),2)</f>
        <v>-87916.71</v>
      </c>
      <c r="D74" s="25">
        <f>ROUND(SUM('[20]NTG TD Calc'!$AC$437:$AX$437),2)</f>
        <v>-17755.330000000002</v>
      </c>
      <c r="E74" s="223">
        <f>ROUND(SUM('[20]EO TD Carrying Costs'!$AA$55:$AV$55),2)</f>
        <v>-1711.57</v>
      </c>
      <c r="F74" s="212">
        <f>SUM(B74:E74)</f>
        <v>1724076.0799999998</v>
      </c>
      <c r="G74" s="224">
        <f>ROUND(F74/12*1,2)</f>
        <v>143673.01</v>
      </c>
    </row>
    <row r="75" spans="1:7" x14ac:dyDescent="0.35">
      <c r="A75" s="20" t="s">
        <v>25</v>
      </c>
      <c r="B75" s="203">
        <f>SUM(B78:B80)</f>
        <v>1406145.85</v>
      </c>
      <c r="C75" s="203">
        <f t="shared" ref="C75:G75" si="33">SUM(C78:C80)</f>
        <v>-53711.969999999994</v>
      </c>
      <c r="D75" s="203">
        <f t="shared" si="33"/>
        <v>50995.289999999994</v>
      </c>
      <c r="E75" s="203">
        <f t="shared" si="33"/>
        <v>-425.78000000000003</v>
      </c>
      <c r="F75" s="212">
        <f>SUM(B75:E75)</f>
        <v>1403003.3900000001</v>
      </c>
      <c r="G75" s="224">
        <f t="shared" si="33"/>
        <v>116916.95</v>
      </c>
    </row>
    <row r="76" spans="1:7" x14ac:dyDescent="0.35">
      <c r="A76" s="20" t="s">
        <v>5</v>
      </c>
      <c r="B76" s="204">
        <f t="shared" ref="B76:G76" si="34">SUM(B74:B75)</f>
        <v>3237605.54</v>
      </c>
      <c r="C76" s="204">
        <f t="shared" si="34"/>
        <v>-141628.68</v>
      </c>
      <c r="D76" s="204">
        <f t="shared" si="34"/>
        <v>33239.959999999992</v>
      </c>
      <c r="E76" s="226">
        <f t="shared" si="34"/>
        <v>-2137.35</v>
      </c>
      <c r="F76" s="204">
        <f t="shared" si="34"/>
        <v>3127079.4699999997</v>
      </c>
      <c r="G76" s="227">
        <f t="shared" si="34"/>
        <v>260589.96000000002</v>
      </c>
    </row>
    <row r="77" spans="1:7" x14ac:dyDescent="0.35">
      <c r="B77" s="201"/>
      <c r="C77" s="201"/>
      <c r="D77" s="202"/>
    </row>
    <row r="78" spans="1:7" x14ac:dyDescent="0.35">
      <c r="A78" s="20" t="s">
        <v>105</v>
      </c>
      <c r="B78" s="25">
        <f>ROUND('[19]EO Matrix @Meter'!$AP$22,2)</f>
        <v>286244.42</v>
      </c>
      <c r="C78" s="25">
        <f>ROUND(SUM('[20]Ex Post Gross TD Calc'!$AC$573:$AX$573),2)</f>
        <v>-39368.74</v>
      </c>
      <c r="D78" s="25">
        <f>ROUND(SUM('[20]NTG TD Calc'!$AC$438:$AX$438),2)</f>
        <v>34141.919999999998</v>
      </c>
      <c r="E78" s="223">
        <f>ROUND(SUM('[20]EO TD Carrying Costs'!$AA$56:$AV$56),2)</f>
        <v>-375.54</v>
      </c>
      <c r="F78" s="204">
        <f t="shared" ref="F78:F80" si="35">SUM(B78:E78)</f>
        <v>280642.06</v>
      </c>
      <c r="G78" s="224">
        <f>ROUND(F78/12*1,2)</f>
        <v>23386.84</v>
      </c>
    </row>
    <row r="79" spans="1:7" x14ac:dyDescent="0.35">
      <c r="A79" s="20" t="s">
        <v>106</v>
      </c>
      <c r="B79" s="25">
        <f>ROUND('[19]EO Matrix @Meter'!$AR$22,2)</f>
        <v>619125.67000000004</v>
      </c>
      <c r="C79" s="25">
        <f>ROUND(SUM('[20]Ex Post Gross TD Calc'!$AC$575:$AX$575),2)</f>
        <v>-13044.06</v>
      </c>
      <c r="D79" s="25">
        <f>ROUND(SUM('[20]NTG TD Calc'!$AC$440:$AX$440),2)</f>
        <v>14350.67</v>
      </c>
      <c r="E79" s="223">
        <f>ROUND(SUM('[20]EO TD Carrying Costs'!$AA$58:$AV$58),2)</f>
        <v>-72.91</v>
      </c>
      <c r="F79" s="204">
        <f t="shared" si="35"/>
        <v>620359.37</v>
      </c>
      <c r="G79" s="224">
        <f>ROUND(F79/12*1,2)</f>
        <v>51696.61</v>
      </c>
    </row>
    <row r="80" spans="1:7" x14ac:dyDescent="0.35">
      <c r="A80" s="20" t="s">
        <v>107</v>
      </c>
      <c r="B80" s="203">
        <f>ROUND('[19]EO Matrix @Meter'!$AS$22,2)</f>
        <v>500775.76</v>
      </c>
      <c r="C80" s="25">
        <f>ROUND(SUM('[20]Ex Post Gross TD Calc'!$AC$576:$AX$576),2)</f>
        <v>-1299.17</v>
      </c>
      <c r="D80" s="25">
        <f>ROUND(SUM('[20]NTG TD Calc'!$AC$441:$AX$441),2)</f>
        <v>2502.6999999999998</v>
      </c>
      <c r="E80" s="223">
        <f>ROUND(SUM('[20]EO TD Carrying Costs'!$AA$59:$AV$59),2)</f>
        <v>22.67</v>
      </c>
      <c r="F80" s="204">
        <f t="shared" si="35"/>
        <v>502001.96</v>
      </c>
      <c r="G80" s="224">
        <f>ROUND(F80/12*1,2)</f>
        <v>41833.5</v>
      </c>
    </row>
    <row r="81" spans="1:7" x14ac:dyDescent="0.35">
      <c r="A81" s="30" t="s">
        <v>109</v>
      </c>
      <c r="B81" s="204">
        <f>SUM(B78:B80)</f>
        <v>1406145.85</v>
      </c>
      <c r="C81" s="204">
        <f>SUM(C78:C80)</f>
        <v>-53711.969999999994</v>
      </c>
      <c r="D81" s="204">
        <f t="shared" ref="D81:G81" si="36">SUM(D78:D80)</f>
        <v>50995.289999999994</v>
      </c>
      <c r="E81" s="204">
        <f t="shared" si="36"/>
        <v>-425.78000000000003</v>
      </c>
      <c r="F81" s="204">
        <f t="shared" si="36"/>
        <v>1403003.39</v>
      </c>
      <c r="G81" s="204">
        <f t="shared" si="36"/>
        <v>116916.95</v>
      </c>
    </row>
    <row r="82" spans="1:7" x14ac:dyDescent="0.35">
      <c r="A82" s="30"/>
      <c r="B82" s="232"/>
      <c r="C82" s="232"/>
      <c r="D82" s="232"/>
      <c r="E82" s="232"/>
      <c r="F82" s="232"/>
      <c r="G82" s="232"/>
    </row>
    <row r="83" spans="1:7" s="39" customFormat="1" x14ac:dyDescent="0.35">
      <c r="A83" s="30"/>
      <c r="B83" s="232"/>
      <c r="C83" s="232"/>
      <c r="D83" s="232"/>
      <c r="E83" s="232"/>
      <c r="F83" s="232"/>
      <c r="G83" s="232"/>
    </row>
    <row r="84" spans="1:7" x14ac:dyDescent="0.35">
      <c r="A84" s="338" t="s">
        <v>246</v>
      </c>
      <c r="B84" s="70"/>
      <c r="C84" s="70"/>
      <c r="D84" s="144"/>
    </row>
    <row r="85" spans="1:7" x14ac:dyDescent="0.35">
      <c r="A85" s="20" t="s">
        <v>24</v>
      </c>
      <c r="B85" s="25">
        <v>0</v>
      </c>
      <c r="C85" s="25">
        <f>ROUND((SUM('[20]Ex Post Gross TD Calc'!$AY$572:$BD$572)),2)</f>
        <v>-34994.239999999998</v>
      </c>
      <c r="D85" s="25">
        <f>ROUND((SUM('[20]NTG TD Calc'!$AY$437:$BD$437)),2)</f>
        <v>-3815.04</v>
      </c>
      <c r="E85" s="223">
        <f>ROUND((SUM('[20]EO TD Carrying Costs'!$AW$55:$BB$55)),2)</f>
        <v>-3630.92</v>
      </c>
      <c r="F85" s="212">
        <f>SUM(B85:E85)</f>
        <v>-42440.2</v>
      </c>
      <c r="G85" s="224">
        <f>ROUND(F85/12*7,2)</f>
        <v>-24756.78</v>
      </c>
    </row>
    <row r="86" spans="1:7" x14ac:dyDescent="0.35">
      <c r="A86" s="20" t="s">
        <v>25</v>
      </c>
      <c r="B86" s="203">
        <f>SUM(B89:B91)</f>
        <v>0</v>
      </c>
      <c r="C86" s="203">
        <f t="shared" ref="C86:E86" si="37">SUM(C89:C91)</f>
        <v>-20672.789999999997</v>
      </c>
      <c r="D86" s="203">
        <f t="shared" si="37"/>
        <v>8653.61</v>
      </c>
      <c r="E86" s="203">
        <f t="shared" si="37"/>
        <v>-165.42000000000002</v>
      </c>
      <c r="F86" s="212">
        <f>SUM(B86:E86)</f>
        <v>-12184.599999999997</v>
      </c>
      <c r="G86" s="224">
        <f>ROUND(F86/12*7,2)</f>
        <v>-7107.68</v>
      </c>
    </row>
    <row r="87" spans="1:7" x14ac:dyDescent="0.35">
      <c r="A87" s="20" t="s">
        <v>5</v>
      </c>
      <c r="B87" s="204">
        <f t="shared" ref="B87:G87" si="38">SUM(B85:B86)</f>
        <v>0</v>
      </c>
      <c r="C87" s="204">
        <f t="shared" si="38"/>
        <v>-55667.03</v>
      </c>
      <c r="D87" s="204">
        <f t="shared" si="38"/>
        <v>4838.5700000000006</v>
      </c>
      <c r="E87" s="226">
        <f t="shared" si="38"/>
        <v>-3796.34</v>
      </c>
      <c r="F87" s="204">
        <f t="shared" si="38"/>
        <v>-54624.799999999996</v>
      </c>
      <c r="G87" s="227">
        <f t="shared" si="38"/>
        <v>-31864.46</v>
      </c>
    </row>
    <row r="88" spans="1:7" x14ac:dyDescent="0.35">
      <c r="B88" s="201"/>
      <c r="C88" s="201"/>
      <c r="D88" s="202"/>
    </row>
    <row r="89" spans="1:7" x14ac:dyDescent="0.35">
      <c r="A89" s="20" t="s">
        <v>105</v>
      </c>
      <c r="B89" s="25">
        <v>0</v>
      </c>
      <c r="C89" s="25">
        <f>ROUND((SUM('[20]Ex Post Gross TD Calc'!$AY573:$BD573)),2)</f>
        <v>-14358.12</v>
      </c>
      <c r="D89" s="25">
        <f>ROUND((SUM('[20]NTG TD Calc'!$AY438:$BD438)),2)</f>
        <v>5781.29</v>
      </c>
      <c r="E89" s="223">
        <f>ROUND((SUM('[20]EO TD Carrying Costs'!$AW56:$BB56)),2)</f>
        <v>-217.83</v>
      </c>
      <c r="F89" s="204">
        <f t="shared" ref="F89:F91" si="39">SUM(B89:E89)</f>
        <v>-8794.6600000000017</v>
      </c>
      <c r="G89" s="233">
        <f>ROUND(F89/12*7,2)</f>
        <v>-5130.22</v>
      </c>
    </row>
    <row r="90" spans="1:7" x14ac:dyDescent="0.35">
      <c r="A90" s="20" t="s">
        <v>106</v>
      </c>
      <c r="B90" s="25">
        <v>0</v>
      </c>
      <c r="C90" s="25">
        <f>ROUND((SUM('[20]Ex Post Gross TD Calc'!$AY575:$BD575)),2)</f>
        <v>-5704.41</v>
      </c>
      <c r="D90" s="25">
        <f>ROUND((SUM('[20]NTG TD Calc'!$AY440:$BD440)),2)</f>
        <v>2527.65</v>
      </c>
      <c r="E90" s="223">
        <f>ROUND((SUM('[20]EO TD Carrying Costs'!$AW58:$BB58)),2)</f>
        <v>17.940000000000001</v>
      </c>
      <c r="F90" s="204">
        <f t="shared" si="39"/>
        <v>-3158.8199999999997</v>
      </c>
      <c r="G90" s="233">
        <f>ROUND(F90/12*7,2)</f>
        <v>-1842.65</v>
      </c>
    </row>
    <row r="91" spans="1:7" x14ac:dyDescent="0.35">
      <c r="A91" s="20" t="s">
        <v>107</v>
      </c>
      <c r="B91" s="25">
        <v>0</v>
      </c>
      <c r="C91" s="25">
        <f>ROUND((SUM('[20]Ex Post Gross TD Calc'!$AY576:$BD576)),2)</f>
        <v>-610.26</v>
      </c>
      <c r="D91" s="25">
        <f>ROUND((SUM('[20]NTG TD Calc'!$AY441:$BD441)),2)</f>
        <v>344.67</v>
      </c>
      <c r="E91" s="223">
        <f>ROUND((SUM('[20]EO TD Carrying Costs'!$AW59:$BB59)),2)</f>
        <v>34.47</v>
      </c>
      <c r="F91" s="204">
        <f t="shared" si="39"/>
        <v>-231.11999999999998</v>
      </c>
      <c r="G91" s="233">
        <f>ROUND(F91/12*7,2)</f>
        <v>-134.82</v>
      </c>
    </row>
    <row r="92" spans="1:7" x14ac:dyDescent="0.35">
      <c r="A92" s="30" t="s">
        <v>109</v>
      </c>
      <c r="B92" s="204">
        <f>SUM(B89:B91)</f>
        <v>0</v>
      </c>
      <c r="C92" s="204">
        <f>SUM(C89:C91)</f>
        <v>-20672.789999999997</v>
      </c>
      <c r="D92" s="204">
        <f t="shared" ref="D92:G92" si="40">SUM(D89:D91)</f>
        <v>8653.61</v>
      </c>
      <c r="E92" s="204">
        <f t="shared" si="40"/>
        <v>-165.42000000000002</v>
      </c>
      <c r="F92" s="204">
        <f t="shared" si="40"/>
        <v>-12184.600000000002</v>
      </c>
      <c r="G92" s="204">
        <f t="shared" si="40"/>
        <v>-7107.6900000000005</v>
      </c>
    </row>
    <row r="93" spans="1:7" x14ac:dyDescent="0.35">
      <c r="A93" s="30"/>
      <c r="B93" s="232"/>
      <c r="C93" s="232"/>
      <c r="D93" s="232"/>
      <c r="E93" s="232"/>
      <c r="F93" s="232"/>
      <c r="G93" s="232"/>
    </row>
    <row r="94" spans="1:7" s="39" customFormat="1" x14ac:dyDescent="0.35">
      <c r="A94" s="30"/>
      <c r="B94" s="232"/>
      <c r="C94" s="232"/>
      <c r="D94" s="232"/>
      <c r="E94" s="232"/>
      <c r="F94" s="232"/>
      <c r="G94" s="232"/>
    </row>
    <row r="95" spans="1:7" x14ac:dyDescent="0.35">
      <c r="A95" s="338" t="s">
        <v>294</v>
      </c>
      <c r="B95" s="70"/>
      <c r="C95" s="70"/>
      <c r="D95" s="144"/>
    </row>
    <row r="96" spans="1:7" x14ac:dyDescent="0.35">
      <c r="A96" s="20" t="s">
        <v>24</v>
      </c>
      <c r="B96" s="25">
        <v>0</v>
      </c>
      <c r="C96" s="25">
        <f>ROUND((SUM('[20]Ex Post Gross TD Calc'!$BE$572:$BJ$572)),2)</f>
        <v>-63276.46</v>
      </c>
      <c r="D96" s="25">
        <f>ROUND((SUM('[20]NTG TD Calc'!$BE$437:$BJ$437)),2)</f>
        <v>0</v>
      </c>
      <c r="E96" s="223">
        <f>ROUND((SUM('[20]EO TD Carrying Costs'!$BC$55:$BH$55)),2)</f>
        <v>-4803.1000000000004</v>
      </c>
      <c r="F96" s="212">
        <f>SUM(B96:E96)</f>
        <v>-68079.56</v>
      </c>
      <c r="G96" s="224">
        <f>ROUND(F96/12*11,2)</f>
        <v>-62406.26</v>
      </c>
    </row>
    <row r="97" spans="1:7" x14ac:dyDescent="0.35">
      <c r="A97" s="20" t="s">
        <v>25</v>
      </c>
      <c r="B97" s="203">
        <f>B103</f>
        <v>0</v>
      </c>
      <c r="C97" s="203">
        <f t="shared" ref="C97:E97" si="41">C103</f>
        <v>-33721.83</v>
      </c>
      <c r="D97" s="203">
        <f t="shared" si="41"/>
        <v>-1.9999999999999997E-2</v>
      </c>
      <c r="E97" s="203">
        <f t="shared" si="41"/>
        <v>-851.76</v>
      </c>
      <c r="F97" s="212">
        <f>SUM(B97:E97)</f>
        <v>-34573.61</v>
      </c>
      <c r="G97" s="224">
        <f>ROUND(F97/12*11,2)</f>
        <v>-31692.48</v>
      </c>
    </row>
    <row r="98" spans="1:7" x14ac:dyDescent="0.35">
      <c r="A98" s="20" t="s">
        <v>5</v>
      </c>
      <c r="B98" s="204">
        <f t="shared" ref="B98:E98" si="42">SUM(B96:B97)</f>
        <v>0</v>
      </c>
      <c r="C98" s="204">
        <f t="shared" si="42"/>
        <v>-96998.290000000008</v>
      </c>
      <c r="D98" s="204">
        <f t="shared" si="42"/>
        <v>-1.9999999999999997E-2</v>
      </c>
      <c r="E98" s="226">
        <f t="shared" si="42"/>
        <v>-5654.8600000000006</v>
      </c>
      <c r="F98" s="204">
        <f t="shared" ref="F98:G98" si="43">SUM(F96:F97)</f>
        <v>-102653.17</v>
      </c>
      <c r="G98" s="227">
        <f t="shared" si="43"/>
        <v>-94098.74</v>
      </c>
    </row>
    <row r="99" spans="1:7" x14ac:dyDescent="0.35">
      <c r="B99" s="201"/>
      <c r="C99" s="201"/>
      <c r="D99" s="202"/>
    </row>
    <row r="100" spans="1:7" x14ac:dyDescent="0.35">
      <c r="A100" s="20" t="s">
        <v>105</v>
      </c>
      <c r="B100" s="25">
        <v>0</v>
      </c>
      <c r="C100" s="25">
        <f>ROUND((SUM('[20]Ex Post Gross TD Calc'!$BE573:$BJ573)),2)</f>
        <v>-25692.560000000001</v>
      </c>
      <c r="D100" s="25">
        <f>ROUND((SUM('[20]NTG TD Calc'!$BE438:$BJ438)),2)</f>
        <v>-0.02</v>
      </c>
      <c r="E100" s="223">
        <f>ROUND((SUM('[20]EO TD Carrying Costs'!$BC56:$BH56)),2)</f>
        <v>-719.09</v>
      </c>
      <c r="F100" s="204">
        <f t="shared" ref="F100:F102" si="44">SUM(B100:E100)</f>
        <v>-26411.670000000002</v>
      </c>
      <c r="G100" s="233">
        <f>ROUND(F100/12*11,2)</f>
        <v>-24210.7</v>
      </c>
    </row>
    <row r="101" spans="1:7" x14ac:dyDescent="0.35">
      <c r="A101" s="20" t="s">
        <v>106</v>
      </c>
      <c r="B101" s="25">
        <v>0</v>
      </c>
      <c r="C101" s="25">
        <f>ROUND((SUM('[20]Ex Post Gross TD Calc'!$BE575:$BJ575)),2)</f>
        <v>-7023.35</v>
      </c>
      <c r="D101" s="25">
        <f>ROUND((SUM('[20]NTG TD Calc'!$BE440:$BJ440)),2)</f>
        <v>-0.01</v>
      </c>
      <c r="E101" s="223">
        <f>ROUND((SUM('[20]EO TD Carrying Costs'!$BC58:$BH58)),2)</f>
        <v>-145.62</v>
      </c>
      <c r="F101" s="204">
        <f t="shared" si="44"/>
        <v>-7168.9800000000005</v>
      </c>
      <c r="G101" s="233">
        <f>ROUND(F101/12*11,2)</f>
        <v>-6571.57</v>
      </c>
    </row>
    <row r="102" spans="1:7" x14ac:dyDescent="0.35">
      <c r="A102" s="20" t="s">
        <v>107</v>
      </c>
      <c r="B102" s="25">
        <v>0</v>
      </c>
      <c r="C102" s="25">
        <f>ROUND((SUM('[20]Ex Post Gross TD Calc'!$BE576:$BJ576)),2)</f>
        <v>-1005.92</v>
      </c>
      <c r="D102" s="25">
        <f>ROUND((SUM('[20]NTG TD Calc'!$BE441:$BJ441)),2)</f>
        <v>0.01</v>
      </c>
      <c r="E102" s="223">
        <f>ROUND((SUM('[20]EO TD Carrying Costs'!$BC59:$BH59)),2)</f>
        <v>12.95</v>
      </c>
      <c r="F102" s="204">
        <f t="shared" si="44"/>
        <v>-992.95999999999992</v>
      </c>
      <c r="G102" s="233">
        <f>ROUND(F102/12*11,2)</f>
        <v>-910.21</v>
      </c>
    </row>
    <row r="103" spans="1:7" x14ac:dyDescent="0.35">
      <c r="A103" s="30" t="s">
        <v>109</v>
      </c>
      <c r="B103" s="204">
        <f>SUM(B100:B102)</f>
        <v>0</v>
      </c>
      <c r="C103" s="204">
        <f>SUM(C100:C102)</f>
        <v>-33721.83</v>
      </c>
      <c r="D103" s="204">
        <f t="shared" ref="D103:E103" si="45">SUM(D100:D102)</f>
        <v>-1.9999999999999997E-2</v>
      </c>
      <c r="E103" s="204">
        <f t="shared" si="45"/>
        <v>-851.76</v>
      </c>
      <c r="F103" s="204">
        <f t="shared" ref="F103:G103" si="46">SUM(F100:F102)</f>
        <v>-34573.61</v>
      </c>
      <c r="G103" s="204">
        <f t="shared" si="46"/>
        <v>-31692.48</v>
      </c>
    </row>
    <row r="104" spans="1:7" x14ac:dyDescent="0.35">
      <c r="A104" s="30"/>
      <c r="B104" s="232"/>
      <c r="C104" s="232"/>
      <c r="D104" s="232"/>
      <c r="E104" s="232"/>
      <c r="F104" s="232"/>
      <c r="G104" s="232"/>
    </row>
    <row r="105" spans="1:7" s="39" customFormat="1" x14ac:dyDescent="0.35">
      <c r="A105" s="30"/>
      <c r="B105" s="232"/>
      <c r="C105" s="232"/>
      <c r="D105" s="232"/>
      <c r="E105" s="232"/>
      <c r="F105" s="232"/>
      <c r="G105" s="232"/>
    </row>
    <row r="106" spans="1:7" x14ac:dyDescent="0.35">
      <c r="A106" s="338" t="s">
        <v>247</v>
      </c>
      <c r="B106" s="70"/>
      <c r="C106" s="70"/>
      <c r="D106" s="144"/>
    </row>
    <row r="107" spans="1:7" x14ac:dyDescent="0.35">
      <c r="A107" s="20" t="s">
        <v>24</v>
      </c>
      <c r="B107" s="25">
        <f>ROUND('[21]PY4 2023 EO'!$E116,2)</f>
        <v>1409245.8</v>
      </c>
      <c r="C107" s="25">
        <v>0</v>
      </c>
      <c r="D107" s="25">
        <v>0</v>
      </c>
      <c r="E107" s="223">
        <v>0</v>
      </c>
      <c r="F107" s="212">
        <f>SUM(B107:E107)</f>
        <v>1409245.8</v>
      </c>
      <c r="G107" s="224">
        <f>ROUND(F107/12*7,2)</f>
        <v>822060.05</v>
      </c>
    </row>
    <row r="108" spans="1:7" x14ac:dyDescent="0.35">
      <c r="A108" s="20" t="s">
        <v>25</v>
      </c>
      <c r="B108" s="203">
        <f>SUM(B111:B113)</f>
        <v>977559.65999999992</v>
      </c>
      <c r="C108" s="203">
        <f t="shared" ref="C108:E108" si="47">SUM(C111:C113)</f>
        <v>0</v>
      </c>
      <c r="D108" s="203">
        <f t="shared" si="47"/>
        <v>0</v>
      </c>
      <c r="E108" s="203">
        <f t="shared" si="47"/>
        <v>0</v>
      </c>
      <c r="F108" s="212">
        <f>SUM(B108:E108)</f>
        <v>977559.65999999992</v>
      </c>
      <c r="G108" s="224">
        <f>ROUND(F108/12*7,2)</f>
        <v>570243.14</v>
      </c>
    </row>
    <row r="109" spans="1:7" x14ac:dyDescent="0.35">
      <c r="A109" s="20" t="s">
        <v>5</v>
      </c>
      <c r="B109" s="204">
        <f t="shared" ref="B109:G109" si="48">SUM(B107:B108)</f>
        <v>2386805.46</v>
      </c>
      <c r="C109" s="204">
        <f t="shared" si="48"/>
        <v>0</v>
      </c>
      <c r="D109" s="204">
        <f t="shared" si="48"/>
        <v>0</v>
      </c>
      <c r="E109" s="226">
        <f t="shared" si="48"/>
        <v>0</v>
      </c>
      <c r="F109" s="204">
        <f t="shared" si="48"/>
        <v>2386805.46</v>
      </c>
      <c r="G109" s="227">
        <f t="shared" si="48"/>
        <v>1392303.19</v>
      </c>
    </row>
    <row r="110" spans="1:7" x14ac:dyDescent="0.35">
      <c r="B110" s="201"/>
      <c r="C110" s="201"/>
      <c r="D110" s="202"/>
    </row>
    <row r="111" spans="1:7" x14ac:dyDescent="0.35">
      <c r="A111" s="20" t="s">
        <v>105</v>
      </c>
      <c r="B111" s="25">
        <f>ROUND('[21]PY4 2023 EO'!$E117,2)</f>
        <v>366668.97</v>
      </c>
      <c r="C111" s="25">
        <v>0</v>
      </c>
      <c r="D111" s="25">
        <v>0</v>
      </c>
      <c r="E111" s="223">
        <v>0</v>
      </c>
      <c r="F111" s="204">
        <f t="shared" ref="F111:F113" si="49">SUM(B111:E111)</f>
        <v>366668.97</v>
      </c>
      <c r="G111" s="233">
        <f>ROUND(F111/12*7,2)</f>
        <v>213890.23</v>
      </c>
    </row>
    <row r="112" spans="1:7" x14ac:dyDescent="0.35">
      <c r="A112" s="20" t="s">
        <v>106</v>
      </c>
      <c r="B112" s="25">
        <f>ROUND('[21]PY4 2023 EO'!$E119,2)</f>
        <v>351922.98</v>
      </c>
      <c r="C112" s="25">
        <v>0</v>
      </c>
      <c r="D112" s="25">
        <v>0</v>
      </c>
      <c r="E112" s="223">
        <v>0</v>
      </c>
      <c r="F112" s="204">
        <f t="shared" si="49"/>
        <v>351922.98</v>
      </c>
      <c r="G112" s="233">
        <f>ROUND(F112/12*7,2)</f>
        <v>205288.41</v>
      </c>
    </row>
    <row r="113" spans="1:13" x14ac:dyDescent="0.35">
      <c r="A113" s="20" t="s">
        <v>107</v>
      </c>
      <c r="B113" s="25">
        <f>ROUND('[21]PY4 2023 EO'!$E120,2)</f>
        <v>258967.71</v>
      </c>
      <c r="C113" s="25">
        <v>0</v>
      </c>
      <c r="D113" s="25">
        <v>0</v>
      </c>
      <c r="E113" s="223">
        <v>0</v>
      </c>
      <c r="F113" s="204">
        <f t="shared" si="49"/>
        <v>258967.71</v>
      </c>
      <c r="G113" s="233">
        <f>ROUND(F113/12*7,2)</f>
        <v>151064.5</v>
      </c>
    </row>
    <row r="114" spans="1:13" x14ac:dyDescent="0.35">
      <c r="A114" s="30" t="s">
        <v>109</v>
      </c>
      <c r="B114" s="204">
        <f>SUM(B111:B113)</f>
        <v>977559.65999999992</v>
      </c>
      <c r="C114" s="204">
        <f>SUM(C111:C113)</f>
        <v>0</v>
      </c>
      <c r="D114" s="204">
        <f t="shared" ref="D114:G114" si="50">SUM(D111:D113)</f>
        <v>0</v>
      </c>
      <c r="E114" s="204">
        <f t="shared" si="50"/>
        <v>0</v>
      </c>
      <c r="F114" s="204">
        <f t="shared" si="50"/>
        <v>977559.65999999992</v>
      </c>
      <c r="G114" s="204">
        <f t="shared" si="50"/>
        <v>570243.14</v>
      </c>
    </row>
    <row r="115" spans="1:13" x14ac:dyDescent="0.35">
      <c r="A115" s="30"/>
      <c r="B115" s="232"/>
      <c r="C115" s="232"/>
      <c r="D115" s="232"/>
      <c r="E115" s="232"/>
      <c r="F115" s="232"/>
      <c r="G115" s="232"/>
    </row>
    <row r="116" spans="1:13" x14ac:dyDescent="0.35">
      <c r="A116" s="30"/>
      <c r="B116" s="232"/>
      <c r="C116" s="232"/>
      <c r="D116" s="232"/>
      <c r="E116" s="232"/>
      <c r="F116" s="232"/>
      <c r="G116" s="232"/>
    </row>
    <row r="117" spans="1:13" x14ac:dyDescent="0.35">
      <c r="A117" s="63" t="s">
        <v>248</v>
      </c>
      <c r="B117" s="39"/>
      <c r="C117" s="39"/>
      <c r="D117" s="39"/>
      <c r="E117" s="39"/>
      <c r="F117" s="39"/>
      <c r="G117" s="39"/>
      <c r="H117" s="39"/>
      <c r="I117" s="39"/>
      <c r="J117" s="39"/>
      <c r="K117" s="39"/>
      <c r="L117" s="39"/>
      <c r="M117" s="39"/>
    </row>
    <row r="118" spans="1:13" x14ac:dyDescent="0.35">
      <c r="A118" s="63" t="s">
        <v>229</v>
      </c>
      <c r="B118" s="39"/>
      <c r="C118" s="39"/>
      <c r="D118" s="39"/>
      <c r="E118" s="39"/>
      <c r="F118" s="39"/>
      <c r="G118" s="39"/>
      <c r="H118" s="39"/>
      <c r="I118" s="39"/>
      <c r="J118" s="39"/>
      <c r="K118" s="39"/>
      <c r="L118" s="39"/>
      <c r="M118" s="39"/>
    </row>
    <row r="119" spans="1:13" x14ac:dyDescent="0.35">
      <c r="A119" s="63" t="s">
        <v>230</v>
      </c>
      <c r="B119" s="39"/>
      <c r="C119" s="39"/>
      <c r="D119" s="39"/>
      <c r="E119" s="39"/>
      <c r="F119" s="39"/>
      <c r="G119" s="39"/>
      <c r="H119" s="39"/>
      <c r="I119" s="39"/>
      <c r="J119" s="39"/>
      <c r="K119" s="39"/>
      <c r="L119" s="39"/>
      <c r="M119" s="39"/>
    </row>
    <row r="120" spans="1:13" x14ac:dyDescent="0.35">
      <c r="A120" s="63" t="s">
        <v>231</v>
      </c>
      <c r="B120" s="39"/>
      <c r="C120" s="39"/>
      <c r="D120" s="39"/>
      <c r="E120" s="39"/>
      <c r="F120" s="39"/>
      <c r="G120" s="39"/>
      <c r="H120" s="39"/>
      <c r="I120" s="39"/>
      <c r="J120" s="39"/>
      <c r="K120" s="39"/>
      <c r="L120" s="39"/>
      <c r="M120" s="39"/>
    </row>
    <row r="121" spans="1:13" x14ac:dyDescent="0.35">
      <c r="A121" s="63" t="s">
        <v>152</v>
      </c>
      <c r="B121" s="39"/>
      <c r="C121" s="39"/>
      <c r="D121" s="39"/>
      <c r="E121" s="39"/>
      <c r="F121" s="39"/>
      <c r="G121" s="39"/>
      <c r="H121" s="39"/>
      <c r="I121" s="39"/>
      <c r="J121" s="39"/>
      <c r="K121" s="39"/>
      <c r="L121" s="39"/>
      <c r="M121" s="39"/>
    </row>
    <row r="122" spans="1:13" ht="108.75" customHeight="1" x14ac:dyDescent="0.35">
      <c r="A122" s="410" t="s">
        <v>295</v>
      </c>
      <c r="B122" s="410"/>
      <c r="C122" s="410"/>
      <c r="D122" s="410"/>
      <c r="E122" s="410"/>
      <c r="F122" s="410"/>
      <c r="G122" s="410"/>
      <c r="H122" s="410"/>
      <c r="I122" s="410"/>
      <c r="J122" s="410"/>
      <c r="K122" s="410"/>
      <c r="L122" s="410"/>
      <c r="M122" s="410"/>
    </row>
    <row r="123" spans="1:13" x14ac:dyDescent="0.35">
      <c r="A123" s="3"/>
    </row>
    <row r="124" spans="1:13" x14ac:dyDescent="0.35">
      <c r="A124" s="3"/>
    </row>
    <row r="125" spans="1:13" x14ac:dyDescent="0.35">
      <c r="A125" s="3"/>
    </row>
  </sheetData>
  <mergeCells count="2">
    <mergeCell ref="B4:D4"/>
    <mergeCell ref="A122:M122"/>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D30C-FF8D-4608-8CF9-4858A853D870}">
  <sheetPr>
    <pageSetUpPr fitToPage="1"/>
  </sheetPr>
  <dimension ref="A1:O57"/>
  <sheetViews>
    <sheetView zoomScale="85" zoomScaleNormal="85" workbookViewId="0">
      <pane ySplit="5" topLeftCell="A6" activePane="bottomLeft" state="frozen"/>
      <selection activeCell="B5" sqref="B5:C22"/>
      <selection pane="bottomLeft" activeCell="J8" sqref="J8"/>
    </sheetView>
  </sheetViews>
  <sheetFormatPr defaultColWidth="8.7265625" defaultRowHeight="14.5" x14ac:dyDescent="0.35"/>
  <cols>
    <col min="1" max="1" width="23.7265625" style="46" customWidth="1"/>
    <col min="2" max="2" width="15.26953125" style="46" bestFit="1" customWidth="1"/>
    <col min="3" max="3" width="14.26953125" style="46" customWidth="1"/>
    <col min="4" max="4" width="13.26953125" style="46" bestFit="1" customWidth="1"/>
    <col min="5" max="5" width="9.7265625" style="46" bestFit="1" customWidth="1"/>
    <col min="6" max="6" width="12.54296875" style="46" bestFit="1" customWidth="1"/>
    <col min="7" max="7" width="13.1796875" style="46" customWidth="1"/>
    <col min="8" max="10" width="8.7265625" style="46"/>
    <col min="11" max="11" width="11.54296875" style="46" bestFit="1" customWidth="1"/>
    <col min="12" max="12" width="12.26953125" style="46" bestFit="1" customWidth="1"/>
    <col min="13" max="13" width="9.54296875" style="46" bestFit="1" customWidth="1"/>
    <col min="14" max="16384" width="8.7265625" style="46"/>
  </cols>
  <sheetData>
    <row r="1" spans="1:7" x14ac:dyDescent="0.35">
      <c r="A1" s="63" t="str">
        <f>+'PPC Cycle 3'!A1</f>
        <v>Evergy Missouri West, Inc. - DSIM Rider Update Filed 12/01/2024</v>
      </c>
    </row>
    <row r="2" spans="1:7" x14ac:dyDescent="0.35">
      <c r="A2" s="372" t="str">
        <f>+'PPC Cycle 4'!A2</f>
        <v>Projections for Cycle 4 January 2025 - December 2025 DSIM</v>
      </c>
    </row>
    <row r="3" spans="1:7" x14ac:dyDescent="0.35">
      <c r="A3" s="9"/>
    </row>
    <row r="4" spans="1:7" ht="45.75" customHeight="1" x14ac:dyDescent="0.35">
      <c r="B4" s="389" t="s">
        <v>298</v>
      </c>
      <c r="C4" s="389"/>
      <c r="D4" s="389"/>
    </row>
    <row r="5" spans="1:7" ht="87" x14ac:dyDescent="0.35">
      <c r="B5" s="70" t="s">
        <v>98</v>
      </c>
      <c r="C5" s="70" t="s">
        <v>99</v>
      </c>
      <c r="D5" s="70" t="s">
        <v>102</v>
      </c>
      <c r="E5" s="70" t="s">
        <v>100</v>
      </c>
      <c r="F5" s="70" t="s">
        <v>97</v>
      </c>
      <c r="G5" s="70" t="s">
        <v>156</v>
      </c>
    </row>
    <row r="6" spans="1:7" x14ac:dyDescent="0.35">
      <c r="A6" s="20"/>
      <c r="B6" s="70"/>
      <c r="C6" s="70"/>
      <c r="D6" s="145"/>
    </row>
    <row r="7" spans="1:7" x14ac:dyDescent="0.35">
      <c r="A7" s="338" t="s">
        <v>299</v>
      </c>
      <c r="B7" s="70"/>
      <c r="C7" s="70"/>
      <c r="D7" s="144"/>
    </row>
    <row r="8" spans="1:7" x14ac:dyDescent="0.35">
      <c r="A8" s="20" t="s">
        <v>24</v>
      </c>
      <c r="B8" s="212">
        <f>SUMIFS(B$18:B$65,$A$18:$A$65,$A8)</f>
        <v>0</v>
      </c>
      <c r="C8" s="212">
        <f t="shared" ref="C8:E8" si="0">SUMIFS(C$18:C$65,$A$18:$A$65,$A8)</f>
        <v>0</v>
      </c>
      <c r="D8" s="212">
        <f t="shared" si="0"/>
        <v>0</v>
      </c>
      <c r="E8" s="212">
        <f t="shared" si="0"/>
        <v>0</v>
      </c>
      <c r="F8" s="212">
        <f>SUM(B8:E8)</f>
        <v>0</v>
      </c>
      <c r="G8" s="212">
        <f>SUMIFS(G$18:G$65,$A$18:$A$65,$A8)</f>
        <v>0</v>
      </c>
    </row>
    <row r="9" spans="1:7" x14ac:dyDescent="0.35">
      <c r="A9" s="20" t="s">
        <v>25</v>
      </c>
      <c r="B9" s="212">
        <f>B15</f>
        <v>0</v>
      </c>
      <c r="C9" s="212">
        <f>C15</f>
        <v>0</v>
      </c>
      <c r="D9" s="212">
        <f>D15</f>
        <v>0</v>
      </c>
      <c r="E9" s="212">
        <f>E15</f>
        <v>0</v>
      </c>
      <c r="F9" s="212">
        <f>SUM(B9:E9)</f>
        <v>0</v>
      </c>
      <c r="G9" s="212">
        <f>G15</f>
        <v>0</v>
      </c>
    </row>
    <row r="10" spans="1:7" x14ac:dyDescent="0.35">
      <c r="A10" s="20" t="s">
        <v>5</v>
      </c>
      <c r="B10" s="204">
        <f t="shared" ref="B10:G10" si="1">SUM(B8:B9)</f>
        <v>0</v>
      </c>
      <c r="C10" s="204">
        <f t="shared" si="1"/>
        <v>0</v>
      </c>
      <c r="D10" s="204">
        <f t="shared" si="1"/>
        <v>0</v>
      </c>
      <c r="E10" s="204">
        <f t="shared" si="1"/>
        <v>0</v>
      </c>
      <c r="F10" s="204">
        <f t="shared" si="1"/>
        <v>0</v>
      </c>
      <c r="G10" s="204">
        <f t="shared" si="1"/>
        <v>0</v>
      </c>
    </row>
    <row r="11" spans="1:7" x14ac:dyDescent="0.35">
      <c r="B11" s="201"/>
      <c r="C11" s="201"/>
      <c r="D11" s="201"/>
      <c r="E11" s="201"/>
      <c r="G11" s="201"/>
    </row>
    <row r="12" spans="1:7" x14ac:dyDescent="0.35">
      <c r="A12" s="20" t="s">
        <v>105</v>
      </c>
      <c r="B12" s="212">
        <f>SUMIFS(B$18:B$65,$A$18:$A$65,$A12)</f>
        <v>0</v>
      </c>
      <c r="C12" s="212">
        <f t="shared" ref="C12:E12" si="2">SUMIFS(C$18:C$65,$A$18:$A$65,$A12)</f>
        <v>0</v>
      </c>
      <c r="D12" s="212">
        <f t="shared" si="2"/>
        <v>0</v>
      </c>
      <c r="E12" s="212">
        <f t="shared" si="2"/>
        <v>0</v>
      </c>
      <c r="F12" s="204">
        <f t="shared" ref="F12:F14" si="3">SUM(B12:E12)</f>
        <v>0</v>
      </c>
      <c r="G12" s="212">
        <f>SUMIFS(G$18:G$65,$A$18:$A$65,$A12)</f>
        <v>0</v>
      </c>
    </row>
    <row r="13" spans="1:7" x14ac:dyDescent="0.35">
      <c r="A13" s="20" t="s">
        <v>106</v>
      </c>
      <c r="B13" s="212">
        <f t="shared" ref="B13:E14" si="4">SUMIFS(B$18:B$65,$A$18:$A$65,$A13)</f>
        <v>0</v>
      </c>
      <c r="C13" s="212">
        <f t="shared" si="4"/>
        <v>0</v>
      </c>
      <c r="D13" s="212">
        <f t="shared" si="4"/>
        <v>0</v>
      </c>
      <c r="E13" s="212">
        <f t="shared" si="4"/>
        <v>0</v>
      </c>
      <c r="F13" s="204">
        <f t="shared" si="3"/>
        <v>0</v>
      </c>
      <c r="G13" s="212">
        <f>SUMIFS(G$18:G$65,$A$18:$A$65,$A13)</f>
        <v>0</v>
      </c>
    </row>
    <row r="14" spans="1:7" x14ac:dyDescent="0.35">
      <c r="A14" s="20" t="s">
        <v>107</v>
      </c>
      <c r="B14" s="212">
        <f t="shared" si="4"/>
        <v>0</v>
      </c>
      <c r="C14" s="212">
        <f t="shared" si="4"/>
        <v>0</v>
      </c>
      <c r="D14" s="212">
        <f t="shared" si="4"/>
        <v>0</v>
      </c>
      <c r="E14" s="212">
        <f t="shared" si="4"/>
        <v>0</v>
      </c>
      <c r="F14" s="204">
        <f t="shared" si="3"/>
        <v>0</v>
      </c>
      <c r="G14" s="212">
        <f>SUMIFS(G$18:G$65,$A$18:$A$65,$A14)</f>
        <v>0</v>
      </c>
    </row>
    <row r="15" spans="1:7" x14ac:dyDescent="0.35">
      <c r="A15" s="30" t="s">
        <v>109</v>
      </c>
      <c r="B15" s="204">
        <f t="shared" ref="B15:G15" si="5">SUM(B12:B14)</f>
        <v>0</v>
      </c>
      <c r="C15" s="204">
        <f t="shared" si="5"/>
        <v>0</v>
      </c>
      <c r="D15" s="204">
        <f t="shared" si="5"/>
        <v>0</v>
      </c>
      <c r="E15" s="204">
        <f t="shared" si="5"/>
        <v>0</v>
      </c>
      <c r="F15" s="204">
        <f t="shared" si="5"/>
        <v>0</v>
      </c>
      <c r="G15" s="204">
        <f t="shared" si="5"/>
        <v>0</v>
      </c>
    </row>
    <row r="16" spans="1:7" x14ac:dyDescent="0.35">
      <c r="A16" s="20"/>
      <c r="B16" s="70"/>
      <c r="C16" s="70"/>
      <c r="D16" s="144"/>
    </row>
    <row r="17" spans="1:13" x14ac:dyDescent="0.35">
      <c r="A17" s="20"/>
      <c r="B17" s="70"/>
      <c r="C17" s="70"/>
      <c r="D17" s="144"/>
    </row>
    <row r="18" spans="1:13" x14ac:dyDescent="0.35">
      <c r="A18" s="338" t="s">
        <v>300</v>
      </c>
      <c r="B18" s="70"/>
      <c r="C18" s="70"/>
      <c r="D18" s="359"/>
      <c r="E18" s="360"/>
    </row>
    <row r="19" spans="1:13" x14ac:dyDescent="0.35">
      <c r="A19" s="20" t="s">
        <v>24</v>
      </c>
      <c r="B19" s="25"/>
      <c r="C19" s="25"/>
      <c r="D19" s="25"/>
      <c r="E19" s="361"/>
      <c r="F19" s="204">
        <f>SUM(B19:E19)</f>
        <v>0</v>
      </c>
      <c r="G19" s="204">
        <f>ROUND(F19/12*0,2)</f>
        <v>0</v>
      </c>
      <c r="K19" s="339"/>
      <c r="L19" s="339"/>
      <c r="M19" s="339"/>
    </row>
    <row r="20" spans="1:13" x14ac:dyDescent="0.35">
      <c r="A20" s="20" t="s">
        <v>25</v>
      </c>
      <c r="B20" s="203"/>
      <c r="C20" s="203"/>
      <c r="D20" s="203"/>
      <c r="E20" s="362"/>
      <c r="F20" s="204">
        <f>SUM(B20:E20)</f>
        <v>0</v>
      </c>
      <c r="G20" s="204">
        <f>SUM(G23:G25)</f>
        <v>0</v>
      </c>
      <c r="K20" s="339"/>
      <c r="L20" s="339"/>
      <c r="M20" s="339"/>
    </row>
    <row r="21" spans="1:13" x14ac:dyDescent="0.35">
      <c r="A21" s="20" t="s">
        <v>5</v>
      </c>
      <c r="B21" s="204">
        <f t="shared" ref="B21:G21" si="6">SUM(B19:B20)</f>
        <v>0</v>
      </c>
      <c r="C21" s="204">
        <f t="shared" si="6"/>
        <v>0</v>
      </c>
      <c r="D21" s="204">
        <f t="shared" si="6"/>
        <v>0</v>
      </c>
      <c r="E21" s="363">
        <f t="shared" si="6"/>
        <v>0</v>
      </c>
      <c r="F21" s="204">
        <f t="shared" si="6"/>
        <v>0</v>
      </c>
      <c r="G21" s="204">
        <f t="shared" si="6"/>
        <v>0</v>
      </c>
    </row>
    <row r="22" spans="1:13" x14ac:dyDescent="0.35">
      <c r="B22" s="201"/>
      <c r="C22" s="201"/>
      <c r="D22" s="202"/>
      <c r="E22" s="360"/>
    </row>
    <row r="23" spans="1:13" x14ac:dyDescent="0.35">
      <c r="A23" s="20" t="s">
        <v>105</v>
      </c>
      <c r="B23" s="25"/>
      <c r="C23" s="25"/>
      <c r="D23" s="25"/>
      <c r="E23" s="362"/>
      <c r="F23" s="204">
        <f t="shared" ref="F23:F25" si="7">SUM(B23:E23)</f>
        <v>0</v>
      </c>
      <c r="G23" s="204">
        <f>ROUND(F23/12*0,2)</f>
        <v>0</v>
      </c>
      <c r="K23" s="339"/>
      <c r="L23" s="339"/>
      <c r="M23" s="339"/>
    </row>
    <row r="24" spans="1:13" x14ac:dyDescent="0.35">
      <c r="A24" s="20" t="s">
        <v>106</v>
      </c>
      <c r="B24" s="25"/>
      <c r="C24" s="25"/>
      <c r="D24" s="25"/>
      <c r="E24" s="361"/>
      <c r="F24" s="204">
        <f t="shared" si="7"/>
        <v>0</v>
      </c>
      <c r="G24" s="204">
        <f t="shared" ref="G24:G25" si="8">ROUND(F24/12*0,2)</f>
        <v>0</v>
      </c>
      <c r="K24" s="339"/>
      <c r="L24" s="339"/>
      <c r="M24" s="339"/>
    </row>
    <row r="25" spans="1:13" x14ac:dyDescent="0.35">
      <c r="A25" s="20" t="s">
        <v>107</v>
      </c>
      <c r="B25" s="203"/>
      <c r="C25" s="203"/>
      <c r="D25" s="203"/>
      <c r="E25" s="362"/>
      <c r="F25" s="204">
        <f t="shared" si="7"/>
        <v>0</v>
      </c>
      <c r="G25" s="204">
        <f t="shared" si="8"/>
        <v>0</v>
      </c>
    </row>
    <row r="26" spans="1:13" s="39" customFormat="1" x14ac:dyDescent="0.35">
      <c r="A26" s="20" t="s">
        <v>109</v>
      </c>
      <c r="B26" s="204">
        <f t="shared" ref="B26:G26" si="9">SUM(B23:B25)</f>
        <v>0</v>
      </c>
      <c r="C26" s="204">
        <f t="shared" si="9"/>
        <v>0</v>
      </c>
      <c r="D26" s="204">
        <f t="shared" si="9"/>
        <v>0</v>
      </c>
      <c r="E26" s="363">
        <f t="shared" si="9"/>
        <v>0</v>
      </c>
      <c r="F26" s="204">
        <f t="shared" si="9"/>
        <v>0</v>
      </c>
      <c r="G26" s="204">
        <f t="shared" si="9"/>
        <v>0</v>
      </c>
    </row>
    <row r="27" spans="1:13" s="39" customFormat="1" x14ac:dyDescent="0.35">
      <c r="A27" s="46"/>
      <c r="B27" s="46"/>
      <c r="C27" s="46"/>
      <c r="D27" s="46"/>
      <c r="E27" s="360"/>
      <c r="F27" s="46"/>
      <c r="G27" s="46"/>
    </row>
    <row r="28" spans="1:13" x14ac:dyDescent="0.35">
      <c r="E28" s="360"/>
    </row>
    <row r="29" spans="1:13" x14ac:dyDescent="0.35">
      <c r="A29" s="338" t="s">
        <v>301</v>
      </c>
      <c r="B29" s="70"/>
      <c r="C29" s="70"/>
      <c r="D29" s="359"/>
      <c r="E29" s="360"/>
      <c r="K29" s="339"/>
      <c r="L29" s="339"/>
      <c r="M29" s="339"/>
    </row>
    <row r="30" spans="1:13" x14ac:dyDescent="0.35">
      <c r="A30" s="20" t="s">
        <v>24</v>
      </c>
      <c r="B30" s="25"/>
      <c r="C30" s="25"/>
      <c r="D30" s="25"/>
      <c r="E30" s="361"/>
      <c r="F30" s="204">
        <f>SUM(B30:E30)</f>
        <v>0</v>
      </c>
      <c r="G30" s="204">
        <f>ROUND(F30/12*0,2)</f>
        <v>0</v>
      </c>
      <c r="K30" s="339"/>
      <c r="L30" s="339"/>
      <c r="M30" s="339"/>
    </row>
    <row r="31" spans="1:13" x14ac:dyDescent="0.35">
      <c r="A31" s="20" t="s">
        <v>25</v>
      </c>
      <c r="B31" s="203"/>
      <c r="C31" s="203"/>
      <c r="D31" s="203"/>
      <c r="E31" s="362"/>
      <c r="F31" s="204">
        <f>SUM(B31:E31)</f>
        <v>0</v>
      </c>
      <c r="G31" s="204">
        <f>SUM(G34:G36)</f>
        <v>0</v>
      </c>
      <c r="K31" s="339"/>
      <c r="L31" s="339"/>
      <c r="M31" s="339"/>
    </row>
    <row r="32" spans="1:13" x14ac:dyDescent="0.35">
      <c r="A32" s="20" t="s">
        <v>5</v>
      </c>
      <c r="B32" s="204">
        <f t="shared" ref="B32:G32" si="10">SUM(B30:B31)</f>
        <v>0</v>
      </c>
      <c r="C32" s="204">
        <f t="shared" si="10"/>
        <v>0</v>
      </c>
      <c r="D32" s="204">
        <f t="shared" si="10"/>
        <v>0</v>
      </c>
      <c r="E32" s="363">
        <f t="shared" si="10"/>
        <v>0</v>
      </c>
      <c r="F32" s="204">
        <f t="shared" si="10"/>
        <v>0</v>
      </c>
      <c r="G32" s="204">
        <f t="shared" si="10"/>
        <v>0</v>
      </c>
      <c r="K32" s="339"/>
      <c r="L32" s="339"/>
      <c r="M32" s="339"/>
    </row>
    <row r="33" spans="1:15" x14ac:dyDescent="0.35">
      <c r="B33" s="201"/>
      <c r="C33" s="201"/>
      <c r="D33" s="202"/>
      <c r="E33" s="360"/>
      <c r="K33" s="339"/>
      <c r="L33" s="339"/>
      <c r="M33" s="339"/>
    </row>
    <row r="34" spans="1:15" x14ac:dyDescent="0.35">
      <c r="A34" s="20" t="s">
        <v>105</v>
      </c>
      <c r="B34" s="25"/>
      <c r="C34" s="25"/>
      <c r="D34" s="25"/>
      <c r="E34" s="362"/>
      <c r="F34" s="204">
        <f t="shared" ref="F34:F36" si="11">SUM(B34:E34)</f>
        <v>0</v>
      </c>
      <c r="G34" s="204">
        <f>ROUND(F34/12*0,2)</f>
        <v>0</v>
      </c>
      <c r="K34" s="339"/>
      <c r="L34" s="339"/>
      <c r="M34" s="339"/>
    </row>
    <row r="35" spans="1:15" x14ac:dyDescent="0.35">
      <c r="A35" s="20" t="s">
        <v>106</v>
      </c>
      <c r="B35" s="25"/>
      <c r="C35" s="25"/>
      <c r="D35" s="25"/>
      <c r="E35" s="361"/>
      <c r="F35" s="204">
        <f t="shared" si="11"/>
        <v>0</v>
      </c>
      <c r="G35" s="204">
        <f t="shared" ref="G35:G36" si="12">ROUND(F35/12*0,2)</f>
        <v>0</v>
      </c>
    </row>
    <row r="36" spans="1:15" x14ac:dyDescent="0.35">
      <c r="A36" s="20" t="s">
        <v>107</v>
      </c>
      <c r="B36" s="203"/>
      <c r="C36" s="203"/>
      <c r="D36" s="203"/>
      <c r="E36" s="362"/>
      <c r="F36" s="204">
        <f t="shared" si="11"/>
        <v>0</v>
      </c>
      <c r="G36" s="204">
        <f t="shared" si="12"/>
        <v>0</v>
      </c>
    </row>
    <row r="37" spans="1:15" s="39" customFormat="1" x14ac:dyDescent="0.35">
      <c r="A37" s="20" t="s">
        <v>109</v>
      </c>
      <c r="B37" s="204">
        <f t="shared" ref="B37:G37" si="13">SUM(B34:B36)</f>
        <v>0</v>
      </c>
      <c r="C37" s="204">
        <f t="shared" si="13"/>
        <v>0</v>
      </c>
      <c r="D37" s="204">
        <f t="shared" si="13"/>
        <v>0</v>
      </c>
      <c r="E37" s="363">
        <f t="shared" si="13"/>
        <v>0</v>
      </c>
      <c r="F37" s="204">
        <f t="shared" si="13"/>
        <v>0</v>
      </c>
      <c r="G37" s="204">
        <f t="shared" si="13"/>
        <v>0</v>
      </c>
    </row>
    <row r="38" spans="1:15" x14ac:dyDescent="0.35">
      <c r="E38" s="360"/>
    </row>
    <row r="39" spans="1:15" x14ac:dyDescent="0.35">
      <c r="E39" s="360"/>
      <c r="K39" s="339"/>
      <c r="L39" s="339"/>
      <c r="M39" s="339"/>
      <c r="O39" s="325"/>
    </row>
    <row r="40" spans="1:15" x14ac:dyDescent="0.35">
      <c r="A40" s="338" t="s">
        <v>302</v>
      </c>
      <c r="B40" s="70"/>
      <c r="C40" s="70"/>
      <c r="D40" s="359"/>
      <c r="E40" s="360"/>
      <c r="K40" s="339"/>
      <c r="L40" s="339"/>
      <c r="M40" s="339"/>
      <c r="O40" s="325"/>
    </row>
    <row r="41" spans="1:15" x14ac:dyDescent="0.35">
      <c r="A41" s="20" t="s">
        <v>24</v>
      </c>
      <c r="B41" s="25"/>
      <c r="C41" s="25"/>
      <c r="D41" s="25"/>
      <c r="E41" s="361"/>
      <c r="F41" s="204">
        <f>SUM(B41:E41)</f>
        <v>0</v>
      </c>
      <c r="G41" s="204">
        <f>ROUND(F41/12*0,2)</f>
        <v>0</v>
      </c>
      <c r="K41" s="339"/>
      <c r="L41" s="339"/>
      <c r="M41" s="339"/>
    </row>
    <row r="42" spans="1:15" x14ac:dyDescent="0.35">
      <c r="A42" s="20" t="s">
        <v>25</v>
      </c>
      <c r="B42" s="203"/>
      <c r="C42" s="203"/>
      <c r="D42" s="203"/>
      <c r="E42" s="362"/>
      <c r="F42" s="204">
        <f>SUM(B42:E42)</f>
        <v>0</v>
      </c>
      <c r="G42" s="204">
        <f>SUM(G45:G47)</f>
        <v>0</v>
      </c>
      <c r="K42" s="339"/>
      <c r="L42" s="339"/>
      <c r="M42" s="339"/>
    </row>
    <row r="43" spans="1:15" x14ac:dyDescent="0.35">
      <c r="A43" s="20" t="s">
        <v>5</v>
      </c>
      <c r="B43" s="204">
        <f t="shared" ref="B43:G43" si="14">SUM(B41:B42)</f>
        <v>0</v>
      </c>
      <c r="C43" s="204">
        <f t="shared" si="14"/>
        <v>0</v>
      </c>
      <c r="D43" s="204">
        <f t="shared" si="14"/>
        <v>0</v>
      </c>
      <c r="E43" s="363">
        <f t="shared" si="14"/>
        <v>0</v>
      </c>
      <c r="F43" s="204">
        <f t="shared" si="14"/>
        <v>0</v>
      </c>
      <c r="G43" s="204">
        <f t="shared" si="14"/>
        <v>0</v>
      </c>
      <c r="K43" s="339"/>
      <c r="L43" s="339"/>
      <c r="M43" s="339"/>
    </row>
    <row r="44" spans="1:15" x14ac:dyDescent="0.35">
      <c r="B44" s="201"/>
      <c r="C44" s="201"/>
      <c r="D44" s="202"/>
      <c r="E44" s="360"/>
      <c r="K44" s="339"/>
      <c r="L44" s="339"/>
      <c r="M44" s="339"/>
    </row>
    <row r="45" spans="1:15" x14ac:dyDescent="0.35">
      <c r="A45" s="20" t="s">
        <v>105</v>
      </c>
      <c r="B45" s="25"/>
      <c r="C45" s="25"/>
      <c r="D45" s="25"/>
      <c r="E45" s="362"/>
      <c r="F45" s="204">
        <f t="shared" ref="F45:F47" si="15">SUM(B45:E45)</f>
        <v>0</v>
      </c>
      <c r="G45" s="204">
        <f>ROUND(F45/12*0,2)</f>
        <v>0</v>
      </c>
      <c r="K45" s="339"/>
      <c r="L45" s="339"/>
      <c r="M45" s="339"/>
    </row>
    <row r="46" spans="1:15" x14ac:dyDescent="0.35">
      <c r="A46" s="20" t="s">
        <v>106</v>
      </c>
      <c r="B46" s="25"/>
      <c r="C46" s="25"/>
      <c r="D46" s="25"/>
      <c r="E46" s="361"/>
      <c r="F46" s="204">
        <f t="shared" si="15"/>
        <v>0</v>
      </c>
      <c r="G46" s="204">
        <f t="shared" ref="G46:G47" si="16">ROUND(F46/12*0,2)</f>
        <v>0</v>
      </c>
    </row>
    <row r="47" spans="1:15" s="39" customFormat="1" x14ac:dyDescent="0.35">
      <c r="A47" s="20" t="s">
        <v>107</v>
      </c>
      <c r="B47" s="203"/>
      <c r="C47" s="203"/>
      <c r="D47" s="203"/>
      <c r="E47" s="362"/>
      <c r="F47" s="204">
        <f t="shared" si="15"/>
        <v>0</v>
      </c>
      <c r="G47" s="204">
        <f t="shared" si="16"/>
        <v>0</v>
      </c>
    </row>
    <row r="48" spans="1:15" s="39" customFormat="1" x14ac:dyDescent="0.35">
      <c r="A48" s="20" t="s">
        <v>109</v>
      </c>
      <c r="B48" s="204">
        <f>SUM(B45:B47)</f>
        <v>0</v>
      </c>
      <c r="C48" s="204">
        <f>SUM(C45:C47)</f>
        <v>0</v>
      </c>
      <c r="D48" s="204">
        <f t="shared" ref="D48:G48" si="17">SUM(D45:D47)</f>
        <v>0</v>
      </c>
      <c r="E48" s="363">
        <f t="shared" si="17"/>
        <v>0</v>
      </c>
      <c r="F48" s="204">
        <f t="shared" si="17"/>
        <v>0</v>
      </c>
      <c r="G48" s="204">
        <f t="shared" si="17"/>
        <v>0</v>
      </c>
    </row>
    <row r="49" spans="1:11" s="39" customFormat="1" x14ac:dyDescent="0.35">
      <c r="A49" s="46"/>
      <c r="B49" s="46"/>
      <c r="C49" s="46"/>
      <c r="D49" s="46"/>
      <c r="E49" s="360"/>
      <c r="F49" s="46"/>
      <c r="G49" s="46"/>
    </row>
    <row r="50" spans="1:11" s="39" customFormat="1" x14ac:dyDescent="0.35">
      <c r="A50" s="30"/>
      <c r="B50" s="232"/>
      <c r="C50" s="232"/>
      <c r="D50" s="232"/>
      <c r="E50" s="232"/>
      <c r="F50" s="232"/>
      <c r="G50" s="232"/>
    </row>
    <row r="51" spans="1:11" x14ac:dyDescent="0.35">
      <c r="A51" s="53" t="s">
        <v>11</v>
      </c>
    </row>
    <row r="52" spans="1:11" x14ac:dyDescent="0.35">
      <c r="A52" s="3" t="s">
        <v>303</v>
      </c>
    </row>
    <row r="53" spans="1:11" x14ac:dyDescent="0.35">
      <c r="A53" s="3" t="s">
        <v>304</v>
      </c>
    </row>
    <row r="54" spans="1:11" x14ac:dyDescent="0.35">
      <c r="A54" s="3" t="s">
        <v>305</v>
      </c>
    </row>
    <row r="55" spans="1:11" x14ac:dyDescent="0.35">
      <c r="A55" s="3" t="s">
        <v>306</v>
      </c>
    </row>
    <row r="56" spans="1:11" x14ac:dyDescent="0.35">
      <c r="A56" s="3" t="s">
        <v>152</v>
      </c>
    </row>
    <row r="57" spans="1:11" x14ac:dyDescent="0.35">
      <c r="A57" s="400" t="s">
        <v>307</v>
      </c>
      <c r="B57" s="400"/>
      <c r="C57" s="400"/>
      <c r="D57" s="400"/>
      <c r="E57" s="400"/>
      <c r="F57" s="400"/>
      <c r="G57" s="400"/>
      <c r="H57" s="400"/>
      <c r="I57" s="400"/>
      <c r="J57" s="400"/>
      <c r="K57" s="400"/>
    </row>
  </sheetData>
  <mergeCells count="2">
    <mergeCell ref="B4:D4"/>
    <mergeCell ref="A57:K57"/>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63"/>
  <sheetViews>
    <sheetView zoomScale="85" zoomScaleNormal="85" workbookViewId="0">
      <pane xSplit="2" ySplit="13" topLeftCell="C14" activePane="bottomRight" state="frozen"/>
      <selection activeCell="B5" sqref="B5:C22"/>
      <selection pane="topRight" activeCell="B5" sqref="B5:C22"/>
      <selection pane="bottomLeft" activeCell="B5" sqref="B5:C22"/>
      <selection pane="bottomRight" activeCell="Q51" sqref="Q51:R53"/>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7.81640625" style="174" hidden="1" customWidth="1" outlineLevel="1"/>
    <col min="16" max="16" width="15.26953125" style="46" bestFit="1" customWidth="1" collapsed="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12/01/2024</v>
      </c>
      <c r="B1" s="3"/>
      <c r="C1" s="3"/>
    </row>
    <row r="2" spans="1:35" x14ac:dyDescent="0.35">
      <c r="D2" s="3" t="s">
        <v>138</v>
      </c>
    </row>
    <row r="3" spans="1:35" ht="29" x14ac:dyDescent="0.35">
      <c r="D3" s="48" t="s">
        <v>45</v>
      </c>
      <c r="E3" s="70" t="s">
        <v>57</v>
      </c>
      <c r="F3" s="48" t="s">
        <v>3</v>
      </c>
      <c r="G3" s="70" t="s">
        <v>54</v>
      </c>
      <c r="H3" s="48" t="s">
        <v>10</v>
      </c>
      <c r="I3" s="48" t="s">
        <v>58</v>
      </c>
      <c r="S3" s="48"/>
    </row>
    <row r="4" spans="1:35" x14ac:dyDescent="0.35">
      <c r="A4" s="20" t="s">
        <v>24</v>
      </c>
      <c r="B4" s="20"/>
      <c r="C4" s="20"/>
      <c r="D4" s="22">
        <f>SUM(C18:L18)</f>
        <v>-374.52000000000044</v>
      </c>
      <c r="E4" s="22">
        <f>SUM(C24:K24)</f>
        <v>-7802.8499999999995</v>
      </c>
      <c r="F4" s="22">
        <f>E4-D4</f>
        <v>-7428.329999999999</v>
      </c>
      <c r="G4" s="22">
        <f>+B38</f>
        <v>-13341.832180000187</v>
      </c>
      <c r="H4" s="22">
        <f>SUM(C45:K45)</f>
        <v>-556.89</v>
      </c>
      <c r="I4" s="25">
        <f>SUM(F4:H4)</f>
        <v>-21327.052180000184</v>
      </c>
      <c r="J4" s="306">
        <f>+I4-L38</f>
        <v>0</v>
      </c>
      <c r="M4" s="47"/>
    </row>
    <row r="5" spans="1:35" ht="15" thickBot="1" x14ac:dyDescent="0.4">
      <c r="A5" s="20" t="s">
        <v>25</v>
      </c>
      <c r="B5" s="20"/>
      <c r="C5" s="20"/>
      <c r="D5" s="22">
        <f>SUM(C19:L21)</f>
        <v>16905.289999999997</v>
      </c>
      <c r="E5" s="22">
        <f>SUM(C25:K27)</f>
        <v>-183.27000000000004</v>
      </c>
      <c r="F5" s="22">
        <f>E5-D5</f>
        <v>-17088.559999999998</v>
      </c>
      <c r="G5" s="22">
        <f>SUM(B39:B41)</f>
        <v>39785.359160000284</v>
      </c>
      <c r="H5" s="22">
        <f>SUM(C46:K48)</f>
        <v>1087.0100000000011</v>
      </c>
      <c r="I5" s="25">
        <f>SUM(F5:H5)</f>
        <v>23783.809160000288</v>
      </c>
      <c r="J5" s="306">
        <f>+I5-SUM(L39:L41)</f>
        <v>1.673470251262188E-10</v>
      </c>
      <c r="M5" s="47"/>
    </row>
    <row r="6" spans="1:35" ht="15.5" thickTop="1" thickBot="1" x14ac:dyDescent="0.4">
      <c r="D6" s="27">
        <f t="shared" ref="D6:I6" si="0">SUM(D4:D5)</f>
        <v>16530.769999999997</v>
      </c>
      <c r="E6" s="27">
        <f t="shared" si="0"/>
        <v>-7986.12</v>
      </c>
      <c r="F6" s="27">
        <f t="shared" si="0"/>
        <v>-24516.889999999996</v>
      </c>
      <c r="G6" s="27">
        <f t="shared" si="0"/>
        <v>26443.526980000097</v>
      </c>
      <c r="H6" s="27">
        <f t="shared" si="0"/>
        <v>530.12000000000114</v>
      </c>
      <c r="I6" s="27">
        <f t="shared" si="0"/>
        <v>2456.7569800001038</v>
      </c>
      <c r="T6" s="5"/>
    </row>
    <row r="7" spans="1:35" ht="44" thickTop="1" x14ac:dyDescent="0.35">
      <c r="I7" s="208"/>
      <c r="J7" s="207" t="s">
        <v>120</v>
      </c>
    </row>
    <row r="8" spans="1:35" ht="17.25" customHeight="1" x14ac:dyDescent="0.35">
      <c r="A8" s="20" t="s">
        <v>105</v>
      </c>
      <c r="I8" s="25">
        <f>ROUND($I$5*J8,2)</f>
        <v>9325.4599999999991</v>
      </c>
      <c r="J8" s="205">
        <f>+'PCR Cycle 2'!K8</f>
        <v>0.39209287804949344</v>
      </c>
      <c r="K8" s="39"/>
    </row>
    <row r="9" spans="1:35" ht="17.25" customHeight="1" x14ac:dyDescent="0.35">
      <c r="A9" s="20" t="s">
        <v>106</v>
      </c>
      <c r="I9" s="25">
        <f t="shared" ref="I9:I10" si="1">ROUND($I$5*J9,2)</f>
        <v>10806.39</v>
      </c>
      <c r="J9" s="205">
        <f>+'PCR Cycle 2'!K9</f>
        <v>0.45435908608374953</v>
      </c>
      <c r="K9" s="39"/>
    </row>
    <row r="10" spans="1:35" ht="17.25" customHeight="1" thickBot="1" x14ac:dyDescent="0.4">
      <c r="A10" s="20" t="s">
        <v>107</v>
      </c>
      <c r="I10" s="25">
        <f t="shared" si="1"/>
        <v>3651.96</v>
      </c>
      <c r="J10" s="205">
        <f>+'PCR Cycle 2'!K10</f>
        <v>0.15354803586675725</v>
      </c>
      <c r="K10" s="39"/>
    </row>
    <row r="11" spans="1:35" ht="17.25" customHeight="1" thickTop="1" thickBot="1" x14ac:dyDescent="0.4">
      <c r="A11" s="20" t="s">
        <v>109</v>
      </c>
      <c r="I11" s="27">
        <f>SUM(I8:I10)</f>
        <v>23783.809999999998</v>
      </c>
      <c r="J11" s="206">
        <f>SUM(J8:J10)</f>
        <v>1.0000000000000002</v>
      </c>
    </row>
    <row r="12" spans="1:35" ht="15.5" thickTop="1" thickBot="1" x14ac:dyDescent="0.4">
      <c r="V12" s="4"/>
      <c r="W12" s="5"/>
    </row>
    <row r="13" spans="1:35" ht="87.5" thickBot="1" x14ac:dyDescent="0.4">
      <c r="B13" s="112" t="str">
        <f>+'PCR Cycle 2'!B13</f>
        <v>Cumulative Over/Under Carryover From 06/01/2024 Filing</v>
      </c>
      <c r="C13" s="143" t="str">
        <f>+'PCR Cycle 2'!C13</f>
        <v>Reverse May 2024 - July 2024 Forecast From 06/01/2024 Filing</v>
      </c>
      <c r="D13" s="409" t="s">
        <v>32</v>
      </c>
      <c r="E13" s="395"/>
      <c r="F13" s="396"/>
      <c r="G13" s="403" t="s">
        <v>32</v>
      </c>
      <c r="H13" s="404"/>
      <c r="I13" s="405"/>
      <c r="J13" s="392" t="s">
        <v>8</v>
      </c>
      <c r="K13" s="393"/>
      <c r="L13" s="394"/>
      <c r="O13" s="276" t="s">
        <v>221</v>
      </c>
    </row>
    <row r="14" spans="1:35" x14ac:dyDescent="0.35">
      <c r="A14" s="46" t="s">
        <v>84</v>
      </c>
      <c r="C14" s="102"/>
      <c r="D14" s="19">
        <f>+'PCR Cycle 2'!D14</f>
        <v>45443</v>
      </c>
      <c r="E14" s="19">
        <f t="shared" ref="E14:L14" si="2">EOMONTH(D14,1)</f>
        <v>45473</v>
      </c>
      <c r="F14" s="19">
        <f t="shared" si="2"/>
        <v>45504</v>
      </c>
      <c r="G14" s="14">
        <f t="shared" si="2"/>
        <v>45535</v>
      </c>
      <c r="H14" s="19">
        <f t="shared" si="2"/>
        <v>45565</v>
      </c>
      <c r="I14" s="15">
        <f t="shared" si="2"/>
        <v>45596</v>
      </c>
      <c r="J14" s="19">
        <f t="shared" si="2"/>
        <v>45626</v>
      </c>
      <c r="K14" s="19">
        <f t="shared" si="2"/>
        <v>45657</v>
      </c>
      <c r="L14" s="15">
        <f t="shared" si="2"/>
        <v>45688</v>
      </c>
      <c r="Z14" s="1"/>
      <c r="AA14" s="1"/>
      <c r="AB14" s="1"/>
      <c r="AC14" s="1"/>
      <c r="AD14" s="1"/>
      <c r="AE14" s="1"/>
      <c r="AF14" s="1"/>
      <c r="AG14" s="1"/>
      <c r="AH14" s="1"/>
      <c r="AI14" s="1"/>
    </row>
    <row r="15" spans="1:35" x14ac:dyDescent="0.35">
      <c r="A15" s="46" t="s">
        <v>5</v>
      </c>
      <c r="C15" s="96">
        <v>3479.8399999999997</v>
      </c>
      <c r="D15" s="106">
        <f>SUM(D24:D27)</f>
        <v>-1739.9199999999998</v>
      </c>
      <c r="E15" s="106">
        <f t="shared" ref="E15:K15" si="3">SUM(E24:E27)</f>
        <v>-1739.9199999999998</v>
      </c>
      <c r="F15" s="107">
        <f t="shared" si="3"/>
        <v>-1739.9199999999998</v>
      </c>
      <c r="G15" s="16">
        <f t="shared" si="3"/>
        <v>-1249.24</v>
      </c>
      <c r="H15" s="55">
        <f t="shared" si="3"/>
        <v>-1249.24</v>
      </c>
      <c r="I15" s="154">
        <f t="shared" si="3"/>
        <v>-1249.24</v>
      </c>
      <c r="J15" s="147">
        <f t="shared" si="3"/>
        <v>-1249.24</v>
      </c>
      <c r="K15" s="77">
        <f t="shared" si="3"/>
        <v>-1249.24</v>
      </c>
      <c r="L15" s="78"/>
      <c r="O15" s="174">
        <f>-SUM(J15:L15)</f>
        <v>2498.48</v>
      </c>
    </row>
    <row r="16" spans="1:35" x14ac:dyDescent="0.35">
      <c r="C16" s="98"/>
      <c r="D16" s="17"/>
      <c r="E16" s="17"/>
      <c r="F16" s="17"/>
      <c r="G16" s="10"/>
      <c r="H16" s="17"/>
      <c r="I16" s="11"/>
      <c r="J16" s="31"/>
      <c r="K16" s="31"/>
      <c r="L16" s="29"/>
    </row>
    <row r="17" spans="1:16" x14ac:dyDescent="0.35">
      <c r="A17" s="46" t="s">
        <v>85</v>
      </c>
      <c r="C17" s="98"/>
      <c r="D17" s="18"/>
      <c r="E17" s="18"/>
      <c r="F17" s="18"/>
      <c r="G17" s="90"/>
      <c r="H17" s="18"/>
      <c r="I17" s="155"/>
      <c r="J17" s="31"/>
      <c r="K17" s="31"/>
      <c r="L17" s="29"/>
      <c r="M17" s="63" t="s">
        <v>49</v>
      </c>
      <c r="N17" s="39"/>
    </row>
    <row r="18" spans="1:16" x14ac:dyDescent="0.35">
      <c r="A18" s="46" t="s">
        <v>24</v>
      </c>
      <c r="C18" s="96">
        <v>17286.14</v>
      </c>
      <c r="D18" s="126">
        <f>ROUND('[5]May 2024'!$G68,2)</f>
        <v>-4228.92</v>
      </c>
      <c r="E18" s="126">
        <f>ROUND('[5]June 2024'!$G68,2)</f>
        <v>-5764.5</v>
      </c>
      <c r="F18" s="126">
        <f>ROUND('[5]July 2024'!$G68,2)</f>
        <v>-7664.28</v>
      </c>
      <c r="G18" s="16">
        <f>ROUND('[5]August 2024'!$G68,2)</f>
        <v>-1.1000000000000001</v>
      </c>
      <c r="H18" s="55">
        <f>ROUND('[5]September 2024'!$G68,2)</f>
        <v>-0.04</v>
      </c>
      <c r="I18" s="154">
        <f>ROUND('[5]October 2024'!$G68,2)</f>
        <v>-1.82</v>
      </c>
      <c r="J18" s="116">
        <f>ROUND('PCR Cycle 2'!J26*$M18,2)</f>
        <v>0</v>
      </c>
      <c r="K18" s="41">
        <f>ROUND('PCR Cycle 2'!K26*$M18,2)</f>
        <v>0</v>
      </c>
      <c r="L18" s="61">
        <f>ROUND('PCR Cycle 2'!L26*$M18,2)</f>
        <v>0</v>
      </c>
      <c r="M18" s="72">
        <v>0</v>
      </c>
      <c r="N18" s="4"/>
      <c r="O18" s="174">
        <f t="shared" ref="O18:O21" si="4">-SUM(J18:L18)</f>
        <v>0</v>
      </c>
    </row>
    <row r="19" spans="1:16" x14ac:dyDescent="0.35">
      <c r="A19" s="46" t="s">
        <v>132</v>
      </c>
      <c r="C19" s="96">
        <v>-10193.06</v>
      </c>
      <c r="D19" s="126">
        <f>ROUND('[5]May 2024'!$G69,2)</f>
        <v>3279.9</v>
      </c>
      <c r="E19" s="126">
        <f>ROUND('[5]June 2024'!$G69,2)</f>
        <v>3383.69</v>
      </c>
      <c r="F19" s="126">
        <f>ROUND('[5]July 2024'!$G69,2)</f>
        <v>4131.9799999999996</v>
      </c>
      <c r="G19" s="16">
        <f>ROUND('[5]August 2024'!$G69,2)</f>
        <v>1280.8599999999999</v>
      </c>
      <c r="H19" s="55">
        <f>ROUND('[5]September 2024'!$G69,2)</f>
        <v>1266.53</v>
      </c>
      <c r="I19" s="154">
        <f>ROUND('[5]October 2024'!$G69,2)</f>
        <v>1225.6400000000001</v>
      </c>
      <c r="J19" s="116">
        <f>ROUND('PCR Cycle 2'!J27*$M19,2)</f>
        <v>1061.3900000000001</v>
      </c>
      <c r="K19" s="41">
        <f>ROUND('PCR Cycle 2'!K27*$M19,2)</f>
        <v>1104.3900000000001</v>
      </c>
      <c r="L19" s="61">
        <f>ROUND('PCR Cycle 2'!L27*$M19,2)</f>
        <v>1086.42</v>
      </c>
      <c r="M19" s="72">
        <v>1.0000000000000001E-5</v>
      </c>
      <c r="N19" s="4"/>
      <c r="O19" s="174">
        <f t="shared" si="4"/>
        <v>-3252.2000000000003</v>
      </c>
    </row>
    <row r="20" spans="1:16" x14ac:dyDescent="0.35">
      <c r="A20" s="46" t="s">
        <v>133</v>
      </c>
      <c r="C20" s="96">
        <v>-8781.66</v>
      </c>
      <c r="D20" s="126">
        <f>ROUND('[5]May 2024'!$G70,2)</f>
        <v>2299.7399999999998</v>
      </c>
      <c r="E20" s="126">
        <f>ROUND('[5]June 2024'!$G70,2)</f>
        <v>2816.87</v>
      </c>
      <c r="F20" s="126">
        <f>ROUND('[5]July 2024'!$G70,2)</f>
        <v>3129.65</v>
      </c>
      <c r="G20" s="16">
        <f>ROUND('[5]August 2024'!$G70,2)</f>
        <v>984.42</v>
      </c>
      <c r="H20" s="55">
        <f>ROUND('[5]September 2024'!$G70,2)</f>
        <v>1034.03</v>
      </c>
      <c r="I20" s="154">
        <f>ROUND('[5]October 2024'!$G70,2)</f>
        <v>955.71</v>
      </c>
      <c r="J20" s="116">
        <f>ROUND('PCR Cycle 2'!J28*$M20,2)</f>
        <v>900.35</v>
      </c>
      <c r="K20" s="41">
        <f>ROUND('PCR Cycle 2'!K28*$M20,2)</f>
        <v>936.82</v>
      </c>
      <c r="L20" s="61">
        <f>ROUND('PCR Cycle 2'!L28*$M20,2)</f>
        <v>921.58</v>
      </c>
      <c r="M20" s="72">
        <v>1.0000000000000001E-5</v>
      </c>
      <c r="N20" s="4"/>
      <c r="O20" s="174">
        <f t="shared" si="4"/>
        <v>-2758.75</v>
      </c>
    </row>
    <row r="21" spans="1:16" x14ac:dyDescent="0.35">
      <c r="A21" s="46" t="s">
        <v>134</v>
      </c>
      <c r="C21" s="96">
        <v>-3947.5300000000007</v>
      </c>
      <c r="D21" s="126">
        <f>ROUND('[5]May 2024'!$G71,2)</f>
        <v>1287.28</v>
      </c>
      <c r="E21" s="126">
        <f>ROUND('[5]June 2024'!$G71,2)</f>
        <v>1221.55</v>
      </c>
      <c r="F21" s="126">
        <f>ROUND('[5]July 2024'!$G71,2)</f>
        <v>1468.87</v>
      </c>
      <c r="G21" s="16">
        <f>ROUND('[5]August 2024'!$G71,2)</f>
        <v>761.69</v>
      </c>
      <c r="H21" s="55">
        <f>ROUND('[5]September 2024'!$G71,2)</f>
        <v>764.42</v>
      </c>
      <c r="I21" s="154">
        <f>ROUND('[5]October 2024'!$G71,2)</f>
        <v>700.95</v>
      </c>
      <c r="J21" s="116">
        <f>ROUND('PCR Cycle 2'!J29*$M21,2)</f>
        <v>594.89</v>
      </c>
      <c r="K21" s="41">
        <f>ROUND('PCR Cycle 2'!K29*$M21,2)</f>
        <v>619</v>
      </c>
      <c r="L21" s="61">
        <f>ROUND('PCR Cycle 2'!L29*$M21,2)</f>
        <v>608.91999999999996</v>
      </c>
      <c r="M21" s="72">
        <v>1.0000000000000001E-5</v>
      </c>
      <c r="N21" s="4"/>
      <c r="O21" s="174">
        <f t="shared" si="4"/>
        <v>-1822.81</v>
      </c>
    </row>
    <row r="22" spans="1:16" x14ac:dyDescent="0.35">
      <c r="C22" s="67"/>
      <c r="D22" s="68"/>
      <c r="E22" s="68"/>
      <c r="F22" s="68"/>
      <c r="G22" s="67"/>
      <c r="H22" s="68"/>
      <c r="I22" s="156"/>
      <c r="J22" s="56"/>
      <c r="K22" s="56"/>
      <c r="L22" s="13"/>
      <c r="N22" s="4"/>
    </row>
    <row r="23" spans="1:16" x14ac:dyDescent="0.35">
      <c r="A23" s="46" t="s">
        <v>87</v>
      </c>
      <c r="C23" s="36"/>
      <c r="D23" s="37"/>
      <c r="E23" s="37"/>
      <c r="F23" s="37"/>
      <c r="G23" s="36"/>
      <c r="H23" s="37"/>
      <c r="I23" s="158"/>
      <c r="J23" s="52"/>
      <c r="K23" s="52"/>
      <c r="L23" s="38"/>
    </row>
    <row r="24" spans="1:16" x14ac:dyDescent="0.35">
      <c r="A24" s="46" t="s">
        <v>24</v>
      </c>
      <c r="C24" s="96">
        <v>3483.7</v>
      </c>
      <c r="D24" s="330">
        <f>ROUND(+'EO Cycle 2'!$F$60/24+'EO Cycle 2'!$F$70/24+'EO Cycle 2'!$F$80/24,2)</f>
        <v>-1741.85</v>
      </c>
      <c r="E24" s="330">
        <f>ROUND(+'EO Cycle 2'!$F$60/24+'EO Cycle 2'!$F$70/24+'EO Cycle 2'!$F$80/24,2)</f>
        <v>-1741.85</v>
      </c>
      <c r="F24" s="330">
        <f>ROUND(+'EO Cycle 2'!$F$60/24+'EO Cycle 2'!$F$70/24+'EO Cycle 2'!$F$80/24,2)</f>
        <v>-1741.85</v>
      </c>
      <c r="G24" s="16">
        <f>ROUND(+'EO Cycle 2'!$F$70/24+'EO Cycle 2'!$F$80/24,2)</f>
        <v>-1212.2</v>
      </c>
      <c r="H24" s="55">
        <f>ROUND(+'EO Cycle 2'!$F$70/24+'EO Cycle 2'!$F$80/24,2)</f>
        <v>-1212.2</v>
      </c>
      <c r="I24" s="154">
        <f>ROUND(+'EO Cycle 2'!$F$70/24+'EO Cycle 2'!$F$80/24,2)</f>
        <v>-1212.2</v>
      </c>
      <c r="J24" s="133">
        <f>ROUND(+'EO Cycle 2'!$F$70/24+'EO Cycle 2'!$F$80/24,2)</f>
        <v>-1212.2</v>
      </c>
      <c r="K24" s="133">
        <f>ROUND(+'EO Cycle 2'!$F$70/24+'EO Cycle 2'!$F$80/24,2)</f>
        <v>-1212.2</v>
      </c>
      <c r="L24" s="78"/>
      <c r="N24" s="47"/>
      <c r="O24" s="174">
        <f t="shared" ref="O24:O29" si="5">-SUM(J24:L24)</f>
        <v>2424.4</v>
      </c>
      <c r="P24" s="174"/>
    </row>
    <row r="25" spans="1:16" x14ac:dyDescent="0.35">
      <c r="A25" s="46" t="s">
        <v>132</v>
      </c>
      <c r="C25" s="96">
        <v>-68.3</v>
      </c>
      <c r="D25" s="330">
        <f>ROUND(+'EO Cycle 2'!$F64/24+'EO Cycle 2'!$F74/24+'EO Cycle 2'!$F84/24,2)</f>
        <v>34.15</v>
      </c>
      <c r="E25" s="330">
        <f>ROUND(+'EO Cycle 2'!$F64/24+'EO Cycle 2'!$F74/24+'EO Cycle 2'!$F84/24,2)</f>
        <v>34.15</v>
      </c>
      <c r="F25" s="330">
        <f>ROUND(+'EO Cycle 2'!$F64/24+'EO Cycle 2'!$F74/24+'EO Cycle 2'!$F84/24,2)</f>
        <v>34.15</v>
      </c>
      <c r="G25" s="16">
        <f>ROUND(+'EO Cycle 2'!$F74/24+'EO Cycle 2'!$F84/24,2)</f>
        <v>14.86</v>
      </c>
      <c r="H25" s="55">
        <f>ROUND(+'EO Cycle 2'!$F74/24+'EO Cycle 2'!$F84/24,2)</f>
        <v>14.86</v>
      </c>
      <c r="I25" s="154">
        <f>ROUND(+'EO Cycle 2'!$F74/24+'EO Cycle 2'!$F84/24,2)</f>
        <v>14.86</v>
      </c>
      <c r="J25" s="133">
        <f>ROUND(+'EO Cycle 2'!$F74/24+'EO Cycle 2'!$F84/24,2)</f>
        <v>14.86</v>
      </c>
      <c r="K25" s="133">
        <f>ROUND(+'EO Cycle 2'!$F74/24+'EO Cycle 2'!$F84/24,2)</f>
        <v>14.86</v>
      </c>
      <c r="L25" s="78"/>
      <c r="N25" s="47"/>
      <c r="O25" s="174">
        <f t="shared" si="5"/>
        <v>-29.72</v>
      </c>
      <c r="P25" s="174"/>
    </row>
    <row r="26" spans="1:16" x14ac:dyDescent="0.35">
      <c r="A26" s="46" t="s">
        <v>133</v>
      </c>
      <c r="C26" s="96">
        <v>15.3</v>
      </c>
      <c r="D26" s="330">
        <f>ROUND(+'EO Cycle 2'!$F65/24+'EO Cycle 2'!$F75/24+'EO Cycle 2'!$F85/24,2)</f>
        <v>-7.65</v>
      </c>
      <c r="E26" s="330">
        <f>ROUND(+'EO Cycle 2'!$F65/24+'EO Cycle 2'!$F75/24+'EO Cycle 2'!$F85/24,2)</f>
        <v>-7.65</v>
      </c>
      <c r="F26" s="330">
        <f>ROUND(+'EO Cycle 2'!$F65/24+'EO Cycle 2'!$F75/24+'EO Cycle 2'!$F85/24,2)</f>
        <v>-7.65</v>
      </c>
      <c r="G26" s="16">
        <f>ROUND(+'EO Cycle 2'!$F75/24+'EO Cycle 2'!$F85/24,2)</f>
        <v>-28.04</v>
      </c>
      <c r="H26" s="55">
        <f>ROUND(+'EO Cycle 2'!$F75/24+'EO Cycle 2'!$F85/24,2)</f>
        <v>-28.04</v>
      </c>
      <c r="I26" s="154">
        <f>ROUND(+'EO Cycle 2'!$F75/24+'EO Cycle 2'!$F85/24,2)</f>
        <v>-28.04</v>
      </c>
      <c r="J26" s="133">
        <f>ROUND(+'EO Cycle 2'!$F75/24+'EO Cycle 2'!$F85/24,2)</f>
        <v>-28.04</v>
      </c>
      <c r="K26" s="133">
        <f>ROUND(+'EO Cycle 2'!$F75/24+'EO Cycle 2'!$F85/24,2)</f>
        <v>-28.04</v>
      </c>
      <c r="L26" s="78"/>
      <c r="N26" s="47"/>
      <c r="O26" s="174">
        <f t="shared" si="5"/>
        <v>56.08</v>
      </c>
      <c r="P26" s="174"/>
    </row>
    <row r="27" spans="1:16" x14ac:dyDescent="0.35">
      <c r="A27" s="46" t="s">
        <v>134</v>
      </c>
      <c r="C27" s="96">
        <v>49.14</v>
      </c>
      <c r="D27" s="330">
        <f>ROUND(+'EO Cycle 2'!$F66/24+'EO Cycle 2'!$F76/24+'EO Cycle 2'!$F86/24,2)</f>
        <v>-24.57</v>
      </c>
      <c r="E27" s="330">
        <f>ROUND(+'EO Cycle 2'!$F66/24+'EO Cycle 2'!$F76/24+'EO Cycle 2'!$F86/24,2)</f>
        <v>-24.57</v>
      </c>
      <c r="F27" s="330">
        <f>ROUND(+'EO Cycle 2'!$F66/24+'EO Cycle 2'!$F76/24+'EO Cycle 2'!$F86/24,2)</f>
        <v>-24.57</v>
      </c>
      <c r="G27" s="16">
        <f>ROUND(+'EO Cycle 2'!$F76/24+'EO Cycle 2'!$F86/24,2)</f>
        <v>-23.86</v>
      </c>
      <c r="H27" s="55">
        <f>ROUND(+'EO Cycle 2'!$F76/24+'EO Cycle 2'!$F86/24,2)</f>
        <v>-23.86</v>
      </c>
      <c r="I27" s="154">
        <f>ROUND(+'EO Cycle 2'!$F76/24+'EO Cycle 2'!$F86/24,2)</f>
        <v>-23.86</v>
      </c>
      <c r="J27" s="133">
        <f>ROUND(+'EO Cycle 2'!$F76/24+'EO Cycle 2'!$F86/24,2)</f>
        <v>-23.86</v>
      </c>
      <c r="K27" s="133">
        <f>ROUND(+'EO Cycle 2'!$F76/24+'EO Cycle 2'!$F86/24,2)</f>
        <v>-23.86</v>
      </c>
      <c r="L27" s="78"/>
      <c r="N27" s="47"/>
      <c r="O27" s="174">
        <f t="shared" si="5"/>
        <v>47.72</v>
      </c>
      <c r="P27" s="174"/>
    </row>
    <row r="28" spans="1:16" x14ac:dyDescent="0.35">
      <c r="C28" s="98"/>
      <c r="D28" s="350"/>
      <c r="E28" s="18"/>
      <c r="F28" s="18"/>
      <c r="G28" s="90"/>
      <c r="H28" s="18"/>
      <c r="I28" s="155"/>
      <c r="J28" s="56"/>
      <c r="K28" s="56"/>
      <c r="L28" s="13"/>
    </row>
    <row r="29" spans="1:16" ht="15" thickBot="1" x14ac:dyDescent="0.4">
      <c r="A29" s="3" t="s">
        <v>14</v>
      </c>
      <c r="B29" s="3"/>
      <c r="C29" s="100">
        <v>-339.68</v>
      </c>
      <c r="D29" s="126">
        <f>176.61+3.63</f>
        <v>180.24</v>
      </c>
      <c r="E29" s="126">
        <f>156.67+3.63</f>
        <v>160.29999999999998</v>
      </c>
      <c r="F29" s="127">
        <f>140.61+3.67</f>
        <v>144.28</v>
      </c>
      <c r="G29" s="26">
        <f>121.38+3.68</f>
        <v>125.06</v>
      </c>
      <c r="H29" s="115">
        <f>94.12+3.5</f>
        <v>97.62</v>
      </c>
      <c r="I29" s="159">
        <f>70.01+3.4</f>
        <v>73.410000000000011</v>
      </c>
      <c r="J29" s="150">
        <f>ROUND((SUM(I38:I41)+SUM(I45:I48)+SUM(J32:J35)/2)*J$43,2)</f>
        <v>53.94</v>
      </c>
      <c r="K29" s="135">
        <f>ROUND((SUM(J38:J41)+SUM(J45:J48)+SUM(K32:K35)/2)*K$43,2)</f>
        <v>34.94</v>
      </c>
      <c r="L29" s="81"/>
      <c r="O29" s="174">
        <f t="shared" si="5"/>
        <v>-88.88</v>
      </c>
    </row>
    <row r="30" spans="1:16" x14ac:dyDescent="0.35">
      <c r="C30" s="64"/>
      <c r="D30" s="139"/>
      <c r="E30" s="139"/>
      <c r="F30" s="140"/>
      <c r="G30" s="64"/>
      <c r="H30" s="33"/>
      <c r="I30" s="160"/>
      <c r="J30" s="34"/>
      <c r="K30" s="34"/>
      <c r="L30" s="60"/>
    </row>
    <row r="31" spans="1:16" x14ac:dyDescent="0.35">
      <c r="A31" s="46" t="s">
        <v>51</v>
      </c>
      <c r="C31" s="65"/>
      <c r="D31" s="140"/>
      <c r="E31" s="140"/>
      <c r="F31" s="140"/>
      <c r="G31" s="65"/>
      <c r="H31" s="35"/>
      <c r="I31" s="161"/>
      <c r="J31" s="34"/>
      <c r="K31" s="34"/>
      <c r="L31" s="60"/>
    </row>
    <row r="32" spans="1:16" x14ac:dyDescent="0.35">
      <c r="A32" s="46" t="s">
        <v>24</v>
      </c>
      <c r="C32" s="99">
        <f t="shared" ref="C32:L32" si="6">C24-C18</f>
        <v>-13802.439999999999</v>
      </c>
      <c r="D32" s="41">
        <f t="shared" si="6"/>
        <v>2487.0700000000002</v>
      </c>
      <c r="E32" s="41">
        <f t="shared" si="6"/>
        <v>4022.65</v>
      </c>
      <c r="F32" s="105">
        <f t="shared" si="6"/>
        <v>5922.43</v>
      </c>
      <c r="G32" s="40">
        <f t="shared" si="6"/>
        <v>-1211.1000000000001</v>
      </c>
      <c r="H32" s="41">
        <f t="shared" si="6"/>
        <v>-1212.1600000000001</v>
      </c>
      <c r="I32" s="61">
        <f t="shared" si="6"/>
        <v>-1210.3800000000001</v>
      </c>
      <c r="J32" s="116">
        <f t="shared" si="6"/>
        <v>-1212.2</v>
      </c>
      <c r="K32" s="41">
        <f t="shared" si="6"/>
        <v>-1212.2</v>
      </c>
      <c r="L32" s="61">
        <f t="shared" si="6"/>
        <v>0</v>
      </c>
    </row>
    <row r="33" spans="1:15" x14ac:dyDescent="0.35">
      <c r="A33" s="46" t="s">
        <v>132</v>
      </c>
      <c r="C33" s="99">
        <f t="shared" ref="C33:L33" si="7">C25-C19</f>
        <v>10124.76</v>
      </c>
      <c r="D33" s="41">
        <f t="shared" si="7"/>
        <v>-3245.75</v>
      </c>
      <c r="E33" s="41">
        <f t="shared" si="7"/>
        <v>-3349.54</v>
      </c>
      <c r="F33" s="105">
        <f t="shared" si="7"/>
        <v>-4097.83</v>
      </c>
      <c r="G33" s="40">
        <f t="shared" si="7"/>
        <v>-1266</v>
      </c>
      <c r="H33" s="41">
        <f t="shared" si="7"/>
        <v>-1251.67</v>
      </c>
      <c r="I33" s="61">
        <f t="shared" si="7"/>
        <v>-1210.7800000000002</v>
      </c>
      <c r="J33" s="116">
        <f t="shared" si="7"/>
        <v>-1046.5300000000002</v>
      </c>
      <c r="K33" s="41">
        <f t="shared" si="7"/>
        <v>-1089.5300000000002</v>
      </c>
      <c r="L33" s="61">
        <f t="shared" si="7"/>
        <v>-1086.42</v>
      </c>
    </row>
    <row r="34" spans="1:15" x14ac:dyDescent="0.35">
      <c r="A34" s="46" t="s">
        <v>133</v>
      </c>
      <c r="C34" s="99">
        <f t="shared" ref="C34:L34" si="8">C26-C20</f>
        <v>8796.9599999999991</v>
      </c>
      <c r="D34" s="41">
        <f t="shared" si="8"/>
        <v>-2307.39</v>
      </c>
      <c r="E34" s="41">
        <f t="shared" si="8"/>
        <v>-2824.52</v>
      </c>
      <c r="F34" s="105">
        <f t="shared" si="8"/>
        <v>-3137.3</v>
      </c>
      <c r="G34" s="40">
        <f t="shared" si="8"/>
        <v>-1012.4599999999999</v>
      </c>
      <c r="H34" s="41">
        <f t="shared" si="8"/>
        <v>-1062.07</v>
      </c>
      <c r="I34" s="61">
        <f t="shared" si="8"/>
        <v>-983.75</v>
      </c>
      <c r="J34" s="116">
        <f t="shared" si="8"/>
        <v>-928.39</v>
      </c>
      <c r="K34" s="41">
        <f t="shared" si="8"/>
        <v>-964.86</v>
      </c>
      <c r="L34" s="61">
        <f t="shared" si="8"/>
        <v>-921.58</v>
      </c>
    </row>
    <row r="35" spans="1:15" x14ac:dyDescent="0.35">
      <c r="A35" s="46" t="s">
        <v>134</v>
      </c>
      <c r="C35" s="99">
        <f t="shared" ref="C35:L35" si="9">C27-C21</f>
        <v>3996.6700000000005</v>
      </c>
      <c r="D35" s="41">
        <f t="shared" si="9"/>
        <v>-1311.85</v>
      </c>
      <c r="E35" s="41">
        <f t="shared" si="9"/>
        <v>-1246.1199999999999</v>
      </c>
      <c r="F35" s="105">
        <f t="shared" si="9"/>
        <v>-1493.4399999999998</v>
      </c>
      <c r="G35" s="40">
        <f t="shared" si="9"/>
        <v>-785.55000000000007</v>
      </c>
      <c r="H35" s="41">
        <f t="shared" si="9"/>
        <v>-788.28</v>
      </c>
      <c r="I35" s="61">
        <f t="shared" si="9"/>
        <v>-724.81000000000006</v>
      </c>
      <c r="J35" s="116">
        <f t="shared" si="9"/>
        <v>-618.75</v>
      </c>
      <c r="K35" s="41">
        <f t="shared" si="9"/>
        <v>-642.86</v>
      </c>
      <c r="L35" s="61">
        <f t="shared" si="9"/>
        <v>-608.91999999999996</v>
      </c>
    </row>
    <row r="36" spans="1:15" x14ac:dyDescent="0.35">
      <c r="C36" s="98"/>
      <c r="D36" s="17"/>
      <c r="E36" s="17"/>
      <c r="F36" s="17"/>
      <c r="G36" s="10"/>
      <c r="H36" s="17"/>
      <c r="I36" s="11"/>
      <c r="J36" s="17"/>
      <c r="K36" s="17"/>
      <c r="L36" s="11"/>
    </row>
    <row r="37" spans="1:15" ht="15" thickBot="1" x14ac:dyDescent="0.4">
      <c r="A37" s="46" t="s">
        <v>52</v>
      </c>
      <c r="C37" s="98"/>
      <c r="D37" s="17"/>
      <c r="E37" s="17"/>
      <c r="F37" s="17"/>
      <c r="G37" s="10"/>
      <c r="H37" s="17"/>
      <c r="I37" s="11"/>
      <c r="J37" s="17"/>
      <c r="K37" s="17"/>
      <c r="L37" s="11"/>
    </row>
    <row r="38" spans="1:15" x14ac:dyDescent="0.35">
      <c r="A38" s="46" t="s">
        <v>24</v>
      </c>
      <c r="B38" s="302">
        <v>-13341.832180000187</v>
      </c>
      <c r="C38" s="99">
        <f t="shared" ref="C38:L38" si="10">B38+C32+B45</f>
        <v>-27144.272180000185</v>
      </c>
      <c r="D38" s="41">
        <f t="shared" si="10"/>
        <v>-24394.402180000186</v>
      </c>
      <c r="E38" s="41">
        <f t="shared" si="10"/>
        <v>-20511.642180000184</v>
      </c>
      <c r="F38" s="105">
        <f t="shared" si="10"/>
        <v>-14712.342180000183</v>
      </c>
      <c r="G38" s="40">
        <f t="shared" si="10"/>
        <v>-16020.092180000183</v>
      </c>
      <c r="H38" s="41">
        <f t="shared" si="10"/>
        <v>-17316.112180000186</v>
      </c>
      <c r="I38" s="61">
        <f t="shared" si="10"/>
        <v>-18613.202180000186</v>
      </c>
      <c r="J38" s="116">
        <f t="shared" si="10"/>
        <v>-19915.372180000188</v>
      </c>
      <c r="K38" s="41">
        <f t="shared" si="10"/>
        <v>-21224.04218000019</v>
      </c>
      <c r="L38" s="61">
        <f t="shared" si="10"/>
        <v>-21327.052180000188</v>
      </c>
    </row>
    <row r="39" spans="1:15" x14ac:dyDescent="0.35">
      <c r="A39" s="46" t="s">
        <v>132</v>
      </c>
      <c r="B39" s="307">
        <v>-507731.4663999998</v>
      </c>
      <c r="C39" s="99">
        <f t="shared" ref="C39:L39" si="11">B39+C33+B46</f>
        <v>-497606.70639999979</v>
      </c>
      <c r="D39" s="41">
        <f t="shared" si="11"/>
        <v>-495436.50639999978</v>
      </c>
      <c r="E39" s="41">
        <f t="shared" si="11"/>
        <v>-501480.52639999974</v>
      </c>
      <c r="F39" s="105">
        <f t="shared" si="11"/>
        <v>-508310.67639999976</v>
      </c>
      <c r="G39" s="40">
        <f t="shared" si="11"/>
        <v>-512345.33639999974</v>
      </c>
      <c r="H39" s="41">
        <f t="shared" si="11"/>
        <v>-516381.02639999974</v>
      </c>
      <c r="I39" s="61">
        <f t="shared" si="11"/>
        <v>-520267.99639999977</v>
      </c>
      <c r="J39" s="116">
        <f t="shared" si="11"/>
        <v>-523910.8363999998</v>
      </c>
      <c r="K39" s="41">
        <f t="shared" si="11"/>
        <v>-527615.28639999987</v>
      </c>
      <c r="L39" s="61">
        <f t="shared" si="11"/>
        <v>-531335.02639999986</v>
      </c>
    </row>
    <row r="40" spans="1:15" x14ac:dyDescent="0.35">
      <c r="A40" s="46" t="s">
        <v>133</v>
      </c>
      <c r="B40" s="307">
        <v>412882.35496000003</v>
      </c>
      <c r="C40" s="99">
        <f t="shared" ref="C40:L40" si="12">B40+C34+B47</f>
        <v>421679.31496000005</v>
      </c>
      <c r="D40" s="41">
        <f t="shared" si="12"/>
        <v>414839.74496000004</v>
      </c>
      <c r="E40" s="41">
        <f t="shared" si="12"/>
        <v>414285.08496000001</v>
      </c>
      <c r="F40" s="105">
        <f t="shared" si="12"/>
        <v>413420.30496000004</v>
      </c>
      <c r="G40" s="40">
        <f t="shared" si="12"/>
        <v>414677.34496000002</v>
      </c>
      <c r="H40" s="41">
        <f t="shared" si="12"/>
        <v>415874.12495999999</v>
      </c>
      <c r="I40" s="61">
        <f t="shared" si="12"/>
        <v>417051.04495999997</v>
      </c>
      <c r="J40" s="116">
        <f t="shared" si="12"/>
        <v>418208.76495999994</v>
      </c>
      <c r="K40" s="41">
        <f t="shared" si="12"/>
        <v>419335.65495999996</v>
      </c>
      <c r="L40" s="61">
        <f t="shared" si="12"/>
        <v>420511.54495999991</v>
      </c>
    </row>
    <row r="41" spans="1:15" ht="15" thickBot="1" x14ac:dyDescent="0.4">
      <c r="A41" s="46" t="s">
        <v>134</v>
      </c>
      <c r="B41" s="303">
        <v>134634.47060000006</v>
      </c>
      <c r="C41" s="99">
        <f t="shared" ref="C41:L41" si="13">B41+C35+B48</f>
        <v>138631.14060000007</v>
      </c>
      <c r="D41" s="41">
        <f t="shared" si="13"/>
        <v>135833.04060000007</v>
      </c>
      <c r="E41" s="41">
        <f t="shared" si="13"/>
        <v>135331.67060000007</v>
      </c>
      <c r="F41" s="105">
        <f t="shared" si="13"/>
        <v>134581.46060000008</v>
      </c>
      <c r="G41" s="40">
        <f t="shared" si="13"/>
        <v>134536.00060000009</v>
      </c>
      <c r="H41" s="41">
        <f t="shared" si="13"/>
        <v>134481.81060000008</v>
      </c>
      <c r="I41" s="61">
        <f t="shared" si="13"/>
        <v>134456.85060000009</v>
      </c>
      <c r="J41" s="116">
        <f t="shared" si="13"/>
        <v>134511.68060000008</v>
      </c>
      <c r="K41" s="41">
        <f t="shared" si="13"/>
        <v>134542.41060000009</v>
      </c>
      <c r="L41" s="61">
        <f t="shared" si="13"/>
        <v>134607.29060000007</v>
      </c>
    </row>
    <row r="42" spans="1:15" x14ac:dyDescent="0.35">
      <c r="C42" s="98"/>
      <c r="D42" s="17"/>
      <c r="E42" s="17"/>
      <c r="F42" s="17"/>
      <c r="G42" s="10"/>
      <c r="H42" s="17"/>
      <c r="I42" s="11"/>
      <c r="J42" s="17"/>
      <c r="K42" s="17"/>
      <c r="L42" s="11"/>
    </row>
    <row r="43" spans="1:15" x14ac:dyDescent="0.35">
      <c r="A43" s="39" t="s">
        <v>86</v>
      </c>
      <c r="B43" s="39"/>
      <c r="C43" s="101"/>
      <c r="D43" s="309">
        <f>'PCR Cycle 3'!E45</f>
        <v>5.4564799999999997E-3</v>
      </c>
      <c r="E43" s="309">
        <f>'PCR Cycle 3'!F45</f>
        <v>5.4667700000000001E-3</v>
      </c>
      <c r="F43" s="309">
        <f>'PCR Cycle 3'!G45</f>
        <v>5.46883E-3</v>
      </c>
      <c r="G43" s="310">
        <f>'PCR Cycle 3'!H45</f>
        <v>5.4406000000000003E-3</v>
      </c>
      <c r="H43" s="309">
        <f>'PCR Cycle 3'!I45</f>
        <v>5.1888699999999999E-3</v>
      </c>
      <c r="I43" s="311">
        <f>'PCR Cycle 3'!J45</f>
        <v>4.9961500000000004E-3</v>
      </c>
      <c r="J43" s="381">
        <f>I43</f>
        <v>4.9961500000000004E-3</v>
      </c>
      <c r="K43" s="381">
        <f>I43</f>
        <v>4.9961500000000004E-3</v>
      </c>
      <c r="L43" s="84"/>
    </row>
    <row r="44" spans="1:15" x14ac:dyDescent="0.35">
      <c r="A44" s="39" t="s">
        <v>36</v>
      </c>
      <c r="B44" s="39"/>
      <c r="C44" s="103"/>
      <c r="D44" s="82"/>
      <c r="E44" s="82"/>
      <c r="F44" s="82"/>
      <c r="G44" s="83"/>
      <c r="H44" s="82"/>
      <c r="I44" s="84"/>
      <c r="J44" s="82"/>
      <c r="K44" s="82"/>
      <c r="L44" s="84"/>
    </row>
    <row r="45" spans="1:15" x14ac:dyDescent="0.35">
      <c r="A45" s="46" t="s">
        <v>24</v>
      </c>
      <c r="C45" s="315">
        <v>262.8</v>
      </c>
      <c r="D45" s="41">
        <f t="shared" ref="D45:L45" si="14">ROUND((C38+C45+D32/2)*D$43,2)</f>
        <v>-139.88999999999999</v>
      </c>
      <c r="E45" s="41">
        <f t="shared" si="14"/>
        <v>-123.13</v>
      </c>
      <c r="F45" s="105">
        <f t="shared" si="14"/>
        <v>-96.65</v>
      </c>
      <c r="G45" s="40">
        <f t="shared" si="14"/>
        <v>-83.86</v>
      </c>
      <c r="H45" s="116">
        <f t="shared" si="14"/>
        <v>-86.71</v>
      </c>
      <c r="I45" s="49">
        <f t="shared" si="14"/>
        <v>-89.97</v>
      </c>
      <c r="J45" s="151">
        <f t="shared" si="14"/>
        <v>-96.47</v>
      </c>
      <c r="K45" s="105">
        <f t="shared" si="14"/>
        <v>-103.01</v>
      </c>
      <c r="L45" s="61">
        <f t="shared" si="14"/>
        <v>0</v>
      </c>
      <c r="O45" s="174">
        <f t="shared" ref="O45:O48" si="15">-SUM(J45:L45)</f>
        <v>199.48000000000002</v>
      </c>
    </row>
    <row r="46" spans="1:15" x14ac:dyDescent="0.35">
      <c r="A46" s="46" t="s">
        <v>132</v>
      </c>
      <c r="C46" s="315">
        <v>5415.95</v>
      </c>
      <c r="D46" s="41">
        <f t="shared" ref="D46:L46" si="16">ROUND((C39+C46+D33/2)*D$43,2)</f>
        <v>-2694.48</v>
      </c>
      <c r="E46" s="41">
        <f t="shared" si="16"/>
        <v>-2732.32</v>
      </c>
      <c r="F46" s="105">
        <f t="shared" si="16"/>
        <v>-2768.66</v>
      </c>
      <c r="G46" s="40">
        <f t="shared" si="16"/>
        <v>-2784.02</v>
      </c>
      <c r="H46" s="116">
        <f t="shared" si="16"/>
        <v>-2676.19</v>
      </c>
      <c r="I46" s="49">
        <f t="shared" si="16"/>
        <v>-2596.31</v>
      </c>
      <c r="J46" s="151">
        <f t="shared" si="16"/>
        <v>-2614.92</v>
      </c>
      <c r="K46" s="105">
        <f t="shared" si="16"/>
        <v>-2633.32</v>
      </c>
      <c r="L46" s="61">
        <f t="shared" si="16"/>
        <v>0</v>
      </c>
      <c r="O46" s="174">
        <f t="shared" si="15"/>
        <v>5248.24</v>
      </c>
    </row>
    <row r="47" spans="1:15" x14ac:dyDescent="0.35">
      <c r="A47" s="46" t="s">
        <v>133</v>
      </c>
      <c r="C47" s="315">
        <v>-4532.18</v>
      </c>
      <c r="D47" s="41">
        <f t="shared" ref="D47:L47" si="17">ROUND((C40+C47+D34/2)*D$43,2)</f>
        <v>2269.86</v>
      </c>
      <c r="E47" s="41">
        <f t="shared" si="17"/>
        <v>2272.52</v>
      </c>
      <c r="F47" s="105">
        <f t="shared" si="17"/>
        <v>2269.5</v>
      </c>
      <c r="G47" s="40">
        <f t="shared" si="17"/>
        <v>2258.85</v>
      </c>
      <c r="H47" s="116">
        <f t="shared" si="17"/>
        <v>2160.67</v>
      </c>
      <c r="I47" s="49">
        <f t="shared" si="17"/>
        <v>2086.11</v>
      </c>
      <c r="J47" s="151">
        <f t="shared" si="17"/>
        <v>2091.75</v>
      </c>
      <c r="K47" s="105">
        <f t="shared" si="17"/>
        <v>2097.4699999999998</v>
      </c>
      <c r="L47" s="61">
        <f t="shared" si="17"/>
        <v>0</v>
      </c>
      <c r="O47" s="174">
        <f t="shared" si="15"/>
        <v>-4189.2199999999993</v>
      </c>
    </row>
    <row r="48" spans="1:15" ht="15" thickBot="1" x14ac:dyDescent="0.4">
      <c r="A48" s="46" t="s">
        <v>134</v>
      </c>
      <c r="C48" s="315">
        <v>-1486.25</v>
      </c>
      <c r="D48" s="41">
        <f t="shared" ref="D48:L48" si="18">ROUND((C41+C48+D35/2)*D$43,2)</f>
        <v>744.75</v>
      </c>
      <c r="E48" s="41">
        <f t="shared" si="18"/>
        <v>743.23</v>
      </c>
      <c r="F48" s="105">
        <f t="shared" si="18"/>
        <v>740.09</v>
      </c>
      <c r="G48" s="40">
        <f t="shared" si="18"/>
        <v>734.09</v>
      </c>
      <c r="H48" s="116">
        <f t="shared" si="18"/>
        <v>699.85</v>
      </c>
      <c r="I48" s="49">
        <f t="shared" si="18"/>
        <v>673.58</v>
      </c>
      <c r="J48" s="151">
        <f t="shared" si="18"/>
        <v>673.59</v>
      </c>
      <c r="K48" s="105">
        <f t="shared" si="18"/>
        <v>673.8</v>
      </c>
      <c r="L48" s="61">
        <f t="shared" si="18"/>
        <v>0</v>
      </c>
      <c r="O48" s="174">
        <f t="shared" si="15"/>
        <v>-1347.3899999999999</v>
      </c>
    </row>
    <row r="49" spans="1:12" ht="15.5" thickTop="1" thickBot="1" x14ac:dyDescent="0.4">
      <c r="A49" s="54" t="s">
        <v>22</v>
      </c>
      <c r="B49" s="54"/>
      <c r="C49" s="104">
        <v>0</v>
      </c>
      <c r="D49" s="42">
        <f t="shared" ref="D49:L49" si="19">SUM(D45:D48)+SUM(D38:D41)-D52</f>
        <v>3.2741809263825417E-11</v>
      </c>
      <c r="E49" s="42">
        <f t="shared" si="19"/>
        <v>5.0931703299283981E-11</v>
      </c>
      <c r="F49" s="50">
        <f t="shared" si="19"/>
        <v>5.4569682106375694E-11</v>
      </c>
      <c r="G49" s="137">
        <f t="shared" si="19"/>
        <v>6.9121597334742546E-11</v>
      </c>
      <c r="H49" s="50">
        <f t="shared" si="19"/>
        <v>7.2759576141834259E-11</v>
      </c>
      <c r="I49" s="62">
        <f t="shared" si="19"/>
        <v>0</v>
      </c>
      <c r="J49" s="152">
        <f t="shared" si="19"/>
        <v>-4.0017766878008842E-11</v>
      </c>
      <c r="K49" s="50">
        <f t="shared" si="19"/>
        <v>-1.2823875294998288E-10</v>
      </c>
      <c r="L49" s="62">
        <f t="shared" si="19"/>
        <v>-1.964508555829525E-10</v>
      </c>
    </row>
    <row r="50" spans="1:12" ht="15.5" thickTop="1" thickBot="1" x14ac:dyDescent="0.4">
      <c r="A50" s="54" t="s">
        <v>23</v>
      </c>
      <c r="B50" s="54"/>
      <c r="C50" s="104">
        <v>0</v>
      </c>
      <c r="D50" s="42">
        <f t="shared" ref="D50:L50" si="20">SUM(D45:D48)-D29</f>
        <v>2.2737367544323206E-13</v>
      </c>
      <c r="E50" s="42">
        <f t="shared" si="20"/>
        <v>-2.5579538487363607E-13</v>
      </c>
      <c r="F50" s="50">
        <f t="shared" si="20"/>
        <v>0</v>
      </c>
      <c r="G50" s="137">
        <f t="shared" si="20"/>
        <v>-1.7053025658242404E-13</v>
      </c>
      <c r="H50" s="50">
        <f t="shared" si="20"/>
        <v>0</v>
      </c>
      <c r="I50" s="62">
        <f t="shared" si="20"/>
        <v>4.1211478674085811E-13</v>
      </c>
      <c r="J50" s="153">
        <f t="shared" si="20"/>
        <v>1.0000000000161435E-2</v>
      </c>
      <c r="K50" s="42">
        <f t="shared" si="20"/>
        <v>-6.2527760746888816E-13</v>
      </c>
      <c r="L50" s="42">
        <f t="shared" si="20"/>
        <v>0</v>
      </c>
    </row>
    <row r="51" spans="1:12" ht="15.5" thickTop="1" thickBot="1" x14ac:dyDescent="0.4">
      <c r="C51" s="98"/>
      <c r="D51" s="17"/>
      <c r="E51" s="17"/>
      <c r="F51" s="17"/>
      <c r="G51" s="10"/>
      <c r="H51" s="17"/>
      <c r="I51" s="11"/>
      <c r="J51" s="17"/>
      <c r="K51" s="17"/>
      <c r="L51" s="11"/>
    </row>
    <row r="52" spans="1:12" ht="15" thickBot="1" x14ac:dyDescent="0.4">
      <c r="A52" s="46" t="s">
        <v>35</v>
      </c>
      <c r="B52" s="113">
        <f>SUM(B38:B41)</f>
        <v>26443.526980000082</v>
      </c>
      <c r="C52" s="99">
        <f t="shared" ref="C52:L52" si="21">(C15-SUM(C18:C21))+SUM(C45:C48)+B52</f>
        <v>35219.796980000086</v>
      </c>
      <c r="D52" s="41">
        <f t="shared" si="21"/>
        <v>31022.116980000086</v>
      </c>
      <c r="E52" s="41">
        <f t="shared" si="21"/>
        <v>27784.886980000087</v>
      </c>
      <c r="F52" s="105">
        <f t="shared" si="21"/>
        <v>25123.026980000086</v>
      </c>
      <c r="G52" s="40">
        <f t="shared" si="21"/>
        <v>20972.976980000087</v>
      </c>
      <c r="H52" s="41">
        <f t="shared" si="21"/>
        <v>16756.416980000085</v>
      </c>
      <c r="I52" s="61">
        <f t="shared" si="21"/>
        <v>12700.106980000086</v>
      </c>
      <c r="J52" s="151">
        <f t="shared" si="21"/>
        <v>8948.1869800000859</v>
      </c>
      <c r="K52" s="105">
        <f t="shared" si="21"/>
        <v>5073.6769800000857</v>
      </c>
      <c r="L52" s="61">
        <f t="shared" si="21"/>
        <v>2456.7569800000856</v>
      </c>
    </row>
    <row r="53" spans="1:12" x14ac:dyDescent="0.35">
      <c r="A53" s="46" t="s">
        <v>12</v>
      </c>
      <c r="C53" s="114"/>
      <c r="D53" s="17"/>
      <c r="E53" s="17"/>
      <c r="F53" s="17"/>
      <c r="G53" s="10"/>
      <c r="H53" s="17"/>
      <c r="I53" s="11"/>
      <c r="J53" s="17"/>
      <c r="K53" s="17"/>
      <c r="L53" s="11"/>
    </row>
    <row r="54" spans="1:12" ht="15" thickBot="1" x14ac:dyDescent="0.4">
      <c r="A54" s="37"/>
      <c r="B54" s="37"/>
      <c r="C54" s="138"/>
      <c r="D54" s="44"/>
      <c r="E54" s="44"/>
      <c r="F54" s="44"/>
      <c r="G54" s="43"/>
      <c r="H54" s="44"/>
      <c r="I54" s="45"/>
      <c r="J54" s="44"/>
      <c r="K54" s="44"/>
      <c r="L54" s="45"/>
    </row>
    <row r="56" spans="1:12" x14ac:dyDescent="0.35">
      <c r="A56" s="69" t="s">
        <v>11</v>
      </c>
      <c r="B56" s="69"/>
      <c r="C56" s="69"/>
    </row>
    <row r="57" spans="1:12" ht="31.5" customHeight="1" x14ac:dyDescent="0.35">
      <c r="A57" s="390" t="s">
        <v>153</v>
      </c>
      <c r="B57" s="390"/>
      <c r="C57" s="390"/>
      <c r="D57" s="390"/>
      <c r="E57" s="390"/>
      <c r="F57" s="390"/>
      <c r="G57" s="390"/>
      <c r="H57" s="390"/>
      <c r="I57" s="390"/>
      <c r="J57" s="214"/>
      <c r="K57" s="214"/>
      <c r="L57" s="214"/>
    </row>
    <row r="58" spans="1:12" ht="57" customHeight="1" x14ac:dyDescent="0.35">
      <c r="A58" s="390" t="s">
        <v>253</v>
      </c>
      <c r="B58" s="391"/>
      <c r="C58" s="391"/>
      <c r="D58" s="391"/>
      <c r="E58" s="391"/>
      <c r="F58" s="391"/>
      <c r="G58" s="391"/>
      <c r="H58" s="391"/>
      <c r="I58" s="391"/>
      <c r="J58" s="214"/>
      <c r="K58" s="214"/>
    </row>
    <row r="59" spans="1:12" ht="18.75" customHeight="1" x14ac:dyDescent="0.35">
      <c r="A59" s="390" t="s">
        <v>181</v>
      </c>
      <c r="B59" s="390"/>
      <c r="C59" s="390"/>
      <c r="D59" s="390"/>
      <c r="E59" s="390"/>
      <c r="F59" s="390"/>
      <c r="G59" s="390"/>
      <c r="H59" s="390"/>
      <c r="I59" s="390"/>
      <c r="J59" s="214"/>
      <c r="K59" s="214"/>
      <c r="L59" s="214"/>
    </row>
    <row r="60" spans="1:12" x14ac:dyDescent="0.35">
      <c r="A60" s="390" t="s">
        <v>255</v>
      </c>
      <c r="B60" s="391"/>
      <c r="C60" s="391"/>
      <c r="D60" s="391"/>
      <c r="E60" s="391"/>
      <c r="F60" s="391"/>
      <c r="G60" s="391"/>
      <c r="H60" s="391"/>
      <c r="I60" s="391"/>
    </row>
    <row r="61" spans="1:12" x14ac:dyDescent="0.35">
      <c r="A61" s="63" t="s">
        <v>288</v>
      </c>
      <c r="B61" s="63"/>
      <c r="C61" s="63"/>
      <c r="D61" s="39"/>
      <c r="E61" s="39"/>
      <c r="F61" s="39"/>
      <c r="G61" s="39"/>
      <c r="H61" s="39"/>
      <c r="I61" s="39"/>
    </row>
    <row r="62" spans="1:12" x14ac:dyDescent="0.35">
      <c r="A62" s="63" t="s">
        <v>93</v>
      </c>
      <c r="B62" s="63"/>
      <c r="C62" s="63"/>
      <c r="D62" s="39"/>
      <c r="E62" s="39"/>
      <c r="F62" s="39"/>
      <c r="G62" s="39"/>
      <c r="H62" s="39"/>
      <c r="I62" s="39"/>
    </row>
    <row r="63" spans="1:12" x14ac:dyDescent="0.35">
      <c r="A63" s="3" t="s">
        <v>177</v>
      </c>
      <c r="B63" s="3"/>
      <c r="C63" s="3"/>
    </row>
  </sheetData>
  <mergeCells count="7">
    <mergeCell ref="A60:I60"/>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J60"/>
  <sheetViews>
    <sheetView zoomScale="85" zoomScaleNormal="85" workbookViewId="0">
      <selection activeCell="Q49" sqref="Q49:R49"/>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2.453125" style="46" customWidth="1" outlineLevel="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7.81640625" style="174" hidden="1" customWidth="1" outlineLevel="1"/>
    <col min="17" max="17" width="15.26953125" style="46" bestFit="1" customWidth="1" collapsed="1"/>
    <col min="18" max="18" width="17.453125" style="46" bestFit="1" customWidth="1"/>
    <col min="19" max="19" width="16.26953125" style="46" bestFit="1" customWidth="1"/>
    <col min="20" max="20" width="15.26953125" style="46" bestFit="1" customWidth="1"/>
    <col min="21" max="21" width="12.453125" style="46" customWidth="1"/>
    <col min="22" max="23" width="14.26953125" style="46" bestFit="1" customWidth="1"/>
    <col min="24" max="16384" width="9.1796875" style="46"/>
  </cols>
  <sheetData>
    <row r="1" spans="1:36" x14ac:dyDescent="0.35">
      <c r="A1" s="3" t="str">
        <f>+'PPC Cycle 3'!A1</f>
        <v>Evergy Missouri West, Inc. - DSIM Rider Update Filed 12/01/2024</v>
      </c>
      <c r="B1" s="3"/>
      <c r="C1" s="3"/>
      <c r="D1" s="3"/>
    </row>
    <row r="2" spans="1:36" x14ac:dyDescent="0.35">
      <c r="E2" s="3" t="s">
        <v>162</v>
      </c>
    </row>
    <row r="3" spans="1:36" ht="29" x14ac:dyDescent="0.35">
      <c r="E3" s="48" t="s">
        <v>45</v>
      </c>
      <c r="F3" s="70" t="s">
        <v>57</v>
      </c>
      <c r="G3" s="48" t="s">
        <v>3</v>
      </c>
      <c r="H3" s="70" t="s">
        <v>54</v>
      </c>
      <c r="I3" s="48" t="s">
        <v>10</v>
      </c>
      <c r="J3" s="48" t="s">
        <v>58</v>
      </c>
      <c r="T3" s="48"/>
    </row>
    <row r="4" spans="1:36" x14ac:dyDescent="0.35">
      <c r="A4" s="20" t="s">
        <v>24</v>
      </c>
      <c r="B4" s="20"/>
      <c r="C4" s="20"/>
      <c r="D4" s="20"/>
      <c r="E4" s="22">
        <f>SUM(C15:M15)</f>
        <v>1487092.6400000001</v>
      </c>
      <c r="F4" s="22">
        <f>SUM(C21:L21)</f>
        <v>1577321</v>
      </c>
      <c r="G4" s="22">
        <f>F4-E4</f>
        <v>90228.35999999987</v>
      </c>
      <c r="H4" s="22">
        <f>+B35</f>
        <v>435486.12000000023</v>
      </c>
      <c r="I4" s="22">
        <f>SUM(C42:L42)</f>
        <v>23058.230000000003</v>
      </c>
      <c r="J4" s="25">
        <f>SUM(G4:I4)</f>
        <v>548772.71000000008</v>
      </c>
      <c r="K4" s="47">
        <f>+J4-M35</f>
        <v>0</v>
      </c>
      <c r="N4" s="47"/>
    </row>
    <row r="5" spans="1:36" x14ac:dyDescent="0.35">
      <c r="A5" s="20" t="s">
        <v>105</v>
      </c>
      <c r="B5" s="20"/>
      <c r="C5" s="20"/>
      <c r="D5" s="20"/>
      <c r="E5" s="22">
        <f t="shared" ref="E5:E7" si="0">SUM(C16:M16)</f>
        <v>281678.67</v>
      </c>
      <c r="F5" s="22">
        <f t="shared" ref="F5:F7" si="1">SUM(C22:L22)</f>
        <v>310473.81999999995</v>
      </c>
      <c r="G5" s="22">
        <f t="shared" ref="G5:G7" si="2">F5-E5</f>
        <v>28795.149999999965</v>
      </c>
      <c r="H5" s="22">
        <f t="shared" ref="H5:H7" si="3">+B36</f>
        <v>38927.519999999982</v>
      </c>
      <c r="I5" s="22">
        <f t="shared" ref="I5:I7" si="4">SUM(C43:L43)</f>
        <v>2800.9900000000002</v>
      </c>
      <c r="J5" s="25">
        <f t="shared" ref="J5:J7" si="5">SUM(G5:I5)</f>
        <v>70523.65999999996</v>
      </c>
      <c r="K5" s="47">
        <f>+J5-M36</f>
        <v>0</v>
      </c>
      <c r="N5" s="47"/>
    </row>
    <row r="6" spans="1:36" x14ac:dyDescent="0.35">
      <c r="A6" s="20" t="s">
        <v>106</v>
      </c>
      <c r="B6" s="20"/>
      <c r="C6" s="20"/>
      <c r="D6" s="20"/>
      <c r="E6" s="22">
        <f t="shared" si="0"/>
        <v>400321.35</v>
      </c>
      <c r="F6" s="22">
        <f t="shared" si="1"/>
        <v>499276.7</v>
      </c>
      <c r="G6" s="22">
        <f t="shared" si="2"/>
        <v>98955.350000000035</v>
      </c>
      <c r="H6" s="22">
        <f t="shared" si="3"/>
        <v>92958.35000000002</v>
      </c>
      <c r="I6" s="22">
        <f t="shared" si="4"/>
        <v>6701.7799999999988</v>
      </c>
      <c r="J6" s="25">
        <f t="shared" si="5"/>
        <v>198615.48000000007</v>
      </c>
      <c r="K6" s="47">
        <f>+J6-M37</f>
        <v>0</v>
      </c>
      <c r="N6" s="47"/>
    </row>
    <row r="7" spans="1:36" ht="15" thickBot="1" x14ac:dyDescent="0.4">
      <c r="A7" s="20" t="s">
        <v>107</v>
      </c>
      <c r="B7" s="20"/>
      <c r="C7" s="20"/>
      <c r="D7" s="20"/>
      <c r="E7" s="22">
        <f t="shared" si="0"/>
        <v>310838.15000000002</v>
      </c>
      <c r="F7" s="22">
        <f t="shared" si="1"/>
        <v>375957.20999999996</v>
      </c>
      <c r="G7" s="22">
        <f t="shared" si="2"/>
        <v>65119.059999999939</v>
      </c>
      <c r="H7" s="22">
        <f t="shared" si="3"/>
        <v>51292.160000000003</v>
      </c>
      <c r="I7" s="22">
        <f t="shared" si="4"/>
        <v>3928.5299999999997</v>
      </c>
      <c r="J7" s="25">
        <f t="shared" si="5"/>
        <v>120339.74999999994</v>
      </c>
      <c r="K7" s="47">
        <f>+J7-M38</f>
        <v>0</v>
      </c>
      <c r="N7" s="47"/>
    </row>
    <row r="8" spans="1:36" ht="15.5" thickTop="1" thickBot="1" x14ac:dyDescent="0.4">
      <c r="E8" s="27">
        <f t="shared" ref="E8:J8" si="6">SUM(E4:E7)</f>
        <v>2479930.81</v>
      </c>
      <c r="F8" s="27">
        <f t="shared" si="6"/>
        <v>2763028.73</v>
      </c>
      <c r="G8" s="27">
        <f t="shared" si="6"/>
        <v>283097.91999999981</v>
      </c>
      <c r="H8" s="27">
        <f t="shared" si="6"/>
        <v>618664.15000000026</v>
      </c>
      <c r="I8" s="27">
        <f t="shared" si="6"/>
        <v>36489.530000000006</v>
      </c>
      <c r="J8" s="27">
        <f t="shared" si="6"/>
        <v>938251.60000000009</v>
      </c>
      <c r="U8" s="5"/>
    </row>
    <row r="9" spans="1:36" ht="15.5" thickTop="1" thickBot="1" x14ac:dyDescent="0.4">
      <c r="W9" s="4"/>
      <c r="X9" s="5"/>
    </row>
    <row r="10" spans="1:36" ht="87.5" thickBot="1" x14ac:dyDescent="0.4">
      <c r="B10" s="112" t="str">
        <f>+'PCR Cycle 2'!B13</f>
        <v>Cumulative Over/Under Carryover From 06/01/2024 Filing</v>
      </c>
      <c r="C10" s="143" t="str">
        <f>+'PCR Cycle 2'!C13</f>
        <v>Reverse May 2024 - July 2024 Forecast From 06/01/2024 Filing</v>
      </c>
      <c r="D10" s="355" t="s">
        <v>296</v>
      </c>
      <c r="E10" s="409" t="s">
        <v>32</v>
      </c>
      <c r="F10" s="395"/>
      <c r="G10" s="396"/>
      <c r="H10" s="403" t="s">
        <v>32</v>
      </c>
      <c r="I10" s="404"/>
      <c r="J10" s="405"/>
      <c r="K10" s="392" t="s">
        <v>8</v>
      </c>
      <c r="L10" s="393"/>
      <c r="M10" s="394"/>
      <c r="P10" s="276" t="s">
        <v>221</v>
      </c>
    </row>
    <row r="11" spans="1:36" x14ac:dyDescent="0.35">
      <c r="A11" s="46" t="s">
        <v>84</v>
      </c>
      <c r="C11" s="102"/>
      <c r="D11" s="351"/>
      <c r="E11" s="19">
        <f>+'PCR Cycle 2'!D14</f>
        <v>45443</v>
      </c>
      <c r="F11" s="19">
        <f t="shared" ref="F11:M11" si="7">EOMONTH(E11,1)</f>
        <v>45473</v>
      </c>
      <c r="G11" s="19">
        <f t="shared" si="7"/>
        <v>45504</v>
      </c>
      <c r="H11" s="14">
        <f t="shared" si="7"/>
        <v>45535</v>
      </c>
      <c r="I11" s="19">
        <f t="shared" si="7"/>
        <v>45565</v>
      </c>
      <c r="J11" s="15">
        <f t="shared" si="7"/>
        <v>45596</v>
      </c>
      <c r="K11" s="19">
        <f t="shared" si="7"/>
        <v>45626</v>
      </c>
      <c r="L11" s="19">
        <f t="shared" si="7"/>
        <v>45657</v>
      </c>
      <c r="M11" s="15">
        <f t="shared" si="7"/>
        <v>45688</v>
      </c>
      <c r="AA11" s="1"/>
      <c r="AB11" s="1"/>
      <c r="AC11" s="1"/>
      <c r="AD11" s="1"/>
      <c r="AE11" s="1"/>
      <c r="AF11" s="1"/>
      <c r="AG11" s="1"/>
      <c r="AH11" s="1"/>
      <c r="AI11" s="1"/>
      <c r="AJ11" s="1"/>
    </row>
    <row r="12" spans="1:36" x14ac:dyDescent="0.35">
      <c r="A12" s="46" t="s">
        <v>5</v>
      </c>
      <c r="C12" s="96">
        <v>-966754.98</v>
      </c>
      <c r="D12" s="248">
        <f t="shared" ref="D12:L12" si="8">SUM(D21:D24)</f>
        <v>-289.68</v>
      </c>
      <c r="E12" s="106">
        <f t="shared" si="8"/>
        <v>483280.93</v>
      </c>
      <c r="F12" s="106">
        <f t="shared" si="8"/>
        <v>483280.93</v>
      </c>
      <c r="G12" s="107">
        <f t="shared" si="8"/>
        <v>483280.93</v>
      </c>
      <c r="H12" s="16">
        <f t="shared" si="8"/>
        <v>456046.12</v>
      </c>
      <c r="I12" s="55">
        <f t="shared" si="8"/>
        <v>456046.12</v>
      </c>
      <c r="J12" s="154">
        <f t="shared" si="8"/>
        <v>456046.12</v>
      </c>
      <c r="K12" s="147">
        <f t="shared" si="8"/>
        <v>456046.12</v>
      </c>
      <c r="L12" s="77">
        <f t="shared" si="8"/>
        <v>456046.12</v>
      </c>
      <c r="M12" s="78"/>
      <c r="P12" s="174">
        <f>-SUM(K12:M12)</f>
        <v>-912092.24</v>
      </c>
    </row>
    <row r="13" spans="1:36" x14ac:dyDescent="0.35">
      <c r="C13" s="98"/>
      <c r="D13" s="141"/>
      <c r="E13" s="17"/>
      <c r="F13" s="17"/>
      <c r="G13" s="17"/>
      <c r="H13" s="10"/>
      <c r="I13" s="17"/>
      <c r="J13" s="11"/>
      <c r="K13" s="31"/>
      <c r="L13" s="31"/>
      <c r="M13" s="29"/>
    </row>
    <row r="14" spans="1:36" x14ac:dyDescent="0.35">
      <c r="A14" s="46" t="s">
        <v>85</v>
      </c>
      <c r="C14" s="98"/>
      <c r="D14" s="141"/>
      <c r="E14" s="18"/>
      <c r="F14" s="18"/>
      <c r="G14" s="18"/>
      <c r="H14" s="90"/>
      <c r="I14" s="18"/>
      <c r="J14" s="155"/>
      <c r="K14" s="31"/>
      <c r="L14" s="31"/>
      <c r="M14" s="29"/>
      <c r="N14" s="63" t="s">
        <v>49</v>
      </c>
      <c r="O14" s="39"/>
    </row>
    <row r="15" spans="1:36" x14ac:dyDescent="0.35">
      <c r="A15" s="46" t="s">
        <v>24</v>
      </c>
      <c r="C15" s="96">
        <v>-622300.9</v>
      </c>
      <c r="D15" s="248"/>
      <c r="E15" s="126">
        <f>ROUND('[5]May 2024'!$G104,2)</f>
        <v>152258.48000000001</v>
      </c>
      <c r="F15" s="126">
        <f>ROUND('[5]June 2024'!$G104,2)</f>
        <v>207529.52</v>
      </c>
      <c r="G15" s="126">
        <f>ROUND('[5]July 2024'!$G104,2)</f>
        <v>275926.93</v>
      </c>
      <c r="H15" s="16">
        <f>ROUND('[5]August 2024'!$G104,2)</f>
        <v>282648.32000000001</v>
      </c>
      <c r="I15" s="55">
        <f>ROUND('[5]September 2024'!$G104,2)</f>
        <v>255171.59</v>
      </c>
      <c r="J15" s="154">
        <f>ROUND('[5]October 2024'!$G104,2)</f>
        <v>200884.15</v>
      </c>
      <c r="K15" s="116">
        <f>ROUND('PCR Cycle 2'!J26*$N15,2)</f>
        <v>183645.49</v>
      </c>
      <c r="L15" s="41">
        <f>ROUND('PCR Cycle 2'!K26*$N15,2)</f>
        <v>245737.7</v>
      </c>
      <c r="M15" s="61">
        <f>ROUND('PCR Cycle 2'!L26*$N15,2)</f>
        <v>305591.36</v>
      </c>
      <c r="N15" s="72">
        <v>7.5999999999999993E-4</v>
      </c>
      <c r="O15" s="4"/>
      <c r="P15" s="174">
        <f t="shared" ref="P15:P18" si="9">-SUM(K15:M15)</f>
        <v>-734974.55</v>
      </c>
    </row>
    <row r="16" spans="1:36" x14ac:dyDescent="0.35">
      <c r="A16" s="46" t="s">
        <v>132</v>
      </c>
      <c r="C16" s="96">
        <v>-105328.23000000001</v>
      </c>
      <c r="D16" s="248"/>
      <c r="E16" s="126">
        <f>ROUND('[5]May 2024'!$G105,2)</f>
        <v>30627.37</v>
      </c>
      <c r="F16" s="126">
        <f>ROUND('[5]June 2024'!$G105,2)</f>
        <v>35038.730000000003</v>
      </c>
      <c r="G16" s="126">
        <f>ROUND('[5]July 2024'!$G105,2)</f>
        <v>42303.5</v>
      </c>
      <c r="H16" s="16">
        <f>ROUND('[5]August 2024'!$G105,2)</f>
        <v>51157.85</v>
      </c>
      <c r="I16" s="55">
        <f>ROUND('[5]September 2024'!$G105,2)</f>
        <v>51155.91</v>
      </c>
      <c r="J16" s="154">
        <f>ROUND('[5]October 2024'!$G105,2)</f>
        <v>46635.14</v>
      </c>
      <c r="K16" s="116">
        <f>ROUND('PCR Cycle 2'!J27*$N16,2)</f>
        <v>42455.71</v>
      </c>
      <c r="L16" s="41">
        <f>ROUND('PCR Cycle 2'!K27*$N16,2)</f>
        <v>44175.77</v>
      </c>
      <c r="M16" s="61">
        <f>ROUND('PCR Cycle 2'!L27*$N16,2)</f>
        <v>43456.92</v>
      </c>
      <c r="N16" s="72">
        <v>4.0000000000000002E-4</v>
      </c>
      <c r="O16" s="4"/>
      <c r="P16" s="174">
        <f t="shared" si="9"/>
        <v>-130088.4</v>
      </c>
    </row>
    <row r="17" spans="1:16" x14ac:dyDescent="0.35">
      <c r="A17" s="46" t="s">
        <v>133</v>
      </c>
      <c r="C17" s="96">
        <v>-222468.84000000003</v>
      </c>
      <c r="D17" s="248"/>
      <c r="E17" s="126">
        <f>ROUND('[5]May 2024'!$G106,2)</f>
        <v>67776.160000000003</v>
      </c>
      <c r="F17" s="126">
        <f>ROUND('[5]June 2024'!$G106,2)</f>
        <v>71566.559999999998</v>
      </c>
      <c r="G17" s="126">
        <f>ROUND('[5]July 2024'!$G106,2)</f>
        <v>79984.44</v>
      </c>
      <c r="H17" s="16">
        <f>ROUND('[5]August 2024'!$G106,2)</f>
        <v>70247.75</v>
      </c>
      <c r="I17" s="55">
        <f>ROUND('[5]September 2024'!$G106,2)</f>
        <v>72997.789999999994</v>
      </c>
      <c r="J17" s="154">
        <f>ROUND('[5]October 2024'!$G106,2)</f>
        <v>67104.850000000006</v>
      </c>
      <c r="K17" s="116">
        <f>ROUND('PCR Cycle 2'!J28*$N17,2)</f>
        <v>63024.34</v>
      </c>
      <c r="L17" s="41">
        <f>ROUND('PCR Cycle 2'!K28*$N17,2)</f>
        <v>65577.710000000006</v>
      </c>
      <c r="M17" s="61">
        <f>ROUND('PCR Cycle 2'!L28*$N17,2)</f>
        <v>64510.59</v>
      </c>
      <c r="N17" s="72">
        <v>6.9999999999999999E-4</v>
      </c>
      <c r="O17" s="4"/>
      <c r="P17" s="174">
        <f t="shared" si="9"/>
        <v>-193112.64</v>
      </c>
    </row>
    <row r="18" spans="1:16" x14ac:dyDescent="0.35">
      <c r="A18" s="46" t="s">
        <v>134</v>
      </c>
      <c r="C18" s="96">
        <v>-155927.16</v>
      </c>
      <c r="D18" s="248"/>
      <c r="E18" s="126">
        <f>ROUND('[5]May 2024'!$G107,2)</f>
        <v>51011.6</v>
      </c>
      <c r="F18" s="126">
        <f>ROUND('[5]June 2024'!$G107,2)</f>
        <v>48390.13</v>
      </c>
      <c r="G18" s="126">
        <f>ROUND('[5]July 2024'!$G107,2)</f>
        <v>59305.4</v>
      </c>
      <c r="H18" s="16">
        <f>ROUND('[5]August 2024'!$G107,2)</f>
        <v>54201.7</v>
      </c>
      <c r="I18" s="55">
        <f>ROUND('[5]September 2024'!$G107,2)</f>
        <v>59361.09</v>
      </c>
      <c r="J18" s="154">
        <f>ROUND('[5]October 2024'!$G107,2)</f>
        <v>54138.75</v>
      </c>
      <c r="K18" s="116">
        <f>ROUND('PCR Cycle 2'!J29*$N18,2)</f>
        <v>45806.86</v>
      </c>
      <c r="L18" s="41">
        <f>ROUND('PCR Cycle 2'!K29*$N18,2)</f>
        <v>47662.69</v>
      </c>
      <c r="M18" s="61">
        <f>ROUND('PCR Cycle 2'!L29*$N18,2)</f>
        <v>46887.09</v>
      </c>
      <c r="N18" s="72">
        <v>7.6999999999999996E-4</v>
      </c>
      <c r="O18" s="4"/>
      <c r="P18" s="174">
        <f t="shared" si="9"/>
        <v>-140356.64000000001</v>
      </c>
    </row>
    <row r="19" spans="1:16" x14ac:dyDescent="0.35">
      <c r="C19" s="67"/>
      <c r="D19" s="68"/>
      <c r="E19" s="68"/>
      <c r="F19" s="68"/>
      <c r="G19" s="68"/>
      <c r="H19" s="67"/>
      <c r="I19" s="68"/>
      <c r="J19" s="156"/>
      <c r="K19" s="56"/>
      <c r="L19" s="56"/>
      <c r="M19" s="13"/>
      <c r="O19" s="4"/>
    </row>
    <row r="20" spans="1:16" x14ac:dyDescent="0.35">
      <c r="A20" s="46" t="s">
        <v>87</v>
      </c>
      <c r="C20" s="36"/>
      <c r="D20" s="37"/>
      <c r="E20" s="37"/>
      <c r="F20" s="37"/>
      <c r="G20" s="37"/>
      <c r="H20" s="36"/>
      <c r="I20" s="37"/>
      <c r="J20" s="158"/>
      <c r="K20" s="52"/>
      <c r="L20" s="52"/>
      <c r="M20" s="38"/>
    </row>
    <row r="21" spans="1:16" x14ac:dyDescent="0.35">
      <c r="A21" s="46" t="s">
        <v>24</v>
      </c>
      <c r="C21" s="96">
        <v>-571342.92000000004</v>
      </c>
      <c r="D21" s="248">
        <f>ROUND(SUM('EO Cycle 3'!C74:E74)/12-SUM('[22]EO Cycle 3'!$C73:$E73)/12,2)*3</f>
        <v>-289.68</v>
      </c>
      <c r="E21" s="106">
        <f>ROUND((+'EO Cycle 3'!$F52/12+'EO Cycle 3'!$F63/12+'EO Cycle 3'!$F74/12),2)</f>
        <v>285574.90000000002</v>
      </c>
      <c r="F21" s="106">
        <f>ROUND((+'EO Cycle 3'!$F52/12+'EO Cycle 3'!$F63/12+'EO Cycle 3'!$F74/12),2)</f>
        <v>285574.90000000002</v>
      </c>
      <c r="G21" s="106">
        <f>ROUND((+'EO Cycle 3'!$F52/12+'EO Cycle 3'!$F63/12+'EO Cycle 3'!$F74/12),2)</f>
        <v>285574.90000000002</v>
      </c>
      <c r="H21" s="16">
        <f>ROUND((+'EO Cycle 3'!$F52/12+'EO Cycle 3'!$F74/12+'EO Cycle 3'!$F85/12+'EO Cycle 3'!$F107/12),2)</f>
        <v>258445.78</v>
      </c>
      <c r="I21" s="55">
        <f>ROUND((+'EO Cycle 3'!$F52/12+'EO Cycle 3'!$F74/12+'EO Cycle 3'!$F85/12+'EO Cycle 3'!$F107/12),2)</f>
        <v>258445.78</v>
      </c>
      <c r="J21" s="154">
        <f>ROUND((+'EO Cycle 3'!$F52/12+'EO Cycle 3'!$F74/12+'EO Cycle 3'!$F85/12+'EO Cycle 3'!$F107/12),2)</f>
        <v>258445.78</v>
      </c>
      <c r="K21" s="133">
        <f>ROUND((+'EO Cycle 3'!$F52/12+'EO Cycle 3'!$F74/12+'EO Cycle 3'!$F85/12+'EO Cycle 3'!$F107/12),2)</f>
        <v>258445.78</v>
      </c>
      <c r="L21" s="133">
        <f>ROUND((+'EO Cycle 3'!$F52/12+'EO Cycle 3'!$F74/12+'EO Cycle 3'!$F85/12+'EO Cycle 3'!$F107/12),2)</f>
        <v>258445.78</v>
      </c>
      <c r="M21" s="78"/>
      <c r="P21" s="174">
        <f t="shared" ref="P21:P26" si="10">-SUM(K21:M21)</f>
        <v>-516891.56</v>
      </c>
    </row>
    <row r="22" spans="1:16" x14ac:dyDescent="0.35">
      <c r="A22" s="46" t="s">
        <v>132</v>
      </c>
      <c r="C22" s="96">
        <v>-87424.84</v>
      </c>
      <c r="D22" s="248">
        <f>ROUND(SUM('EO Cycle 3'!C78:E78)/12-SUM('[22]EO Cycle 3'!$C77:$E77)/12,2)*3</f>
        <v>0</v>
      </c>
      <c r="E22" s="106">
        <f>ROUND((+'EO Cycle 3'!$F56/12+'EO Cycle 3'!$F67/12+'EO Cycle 3'!$F78/12),2)</f>
        <v>43712.42</v>
      </c>
      <c r="F22" s="106">
        <f>ROUND((+'EO Cycle 3'!$F56/12+'EO Cycle 3'!$F67/12+'EO Cycle 3'!$F78/12),2)</f>
        <v>43712.42</v>
      </c>
      <c r="G22" s="106">
        <f>ROUND((+'EO Cycle 3'!$F56/12+'EO Cycle 3'!$F67/12+'EO Cycle 3'!$F78/12),2)</f>
        <v>43712.42</v>
      </c>
      <c r="H22" s="16">
        <f>ROUND((+'EO Cycle 3'!$F56/12+'EO Cycle 3'!$F78/12+'EO Cycle 3'!$F89/12+'EO Cycle 3'!$F111/12),2)</f>
        <v>53352.28</v>
      </c>
      <c r="I22" s="55">
        <f>ROUND((+'EO Cycle 3'!$F56/12+'EO Cycle 3'!$F78/12+'EO Cycle 3'!$F89/12+'EO Cycle 3'!$F111/12),2)</f>
        <v>53352.28</v>
      </c>
      <c r="J22" s="154">
        <f>ROUND((+'EO Cycle 3'!$F56/12+'EO Cycle 3'!$F78/12+'EO Cycle 3'!$F89/12+'EO Cycle 3'!$F111/12),2)</f>
        <v>53352.28</v>
      </c>
      <c r="K22" s="133">
        <f>ROUND((+'EO Cycle 3'!$F56/12+'EO Cycle 3'!$F78/12+'EO Cycle 3'!$F89/12+'EO Cycle 3'!$F111/12),2)</f>
        <v>53352.28</v>
      </c>
      <c r="L22" s="133">
        <f>ROUND((+'EO Cycle 3'!$F56/12+'EO Cycle 3'!$F78/12+'EO Cycle 3'!$F89/12+'EO Cycle 3'!$F111/12),2)</f>
        <v>53352.28</v>
      </c>
      <c r="M22" s="78"/>
      <c r="P22" s="174">
        <f t="shared" si="10"/>
        <v>-106704.56</v>
      </c>
    </row>
    <row r="23" spans="1:16" x14ac:dyDescent="0.35">
      <c r="A23" s="46" t="s">
        <v>133</v>
      </c>
      <c r="C23" s="96">
        <v>-190157.1</v>
      </c>
      <c r="D23" s="248">
        <f>ROUND(SUM('EO Cycle 3'!C79:E79)/12-SUM('[22]EO Cycle 3'!$C78:$E78)/12,2)*3</f>
        <v>0</v>
      </c>
      <c r="E23" s="106">
        <f>ROUND((+'EO Cycle 3'!$F57/12+'EO Cycle 3'!$F68/12+'EO Cycle 3'!$F79/12),2)</f>
        <v>95078.55</v>
      </c>
      <c r="F23" s="106">
        <f>ROUND((+'EO Cycle 3'!$F57/12+'EO Cycle 3'!$F68/12+'EO Cycle 3'!$F79/12),2)</f>
        <v>95078.55</v>
      </c>
      <c r="G23" s="106">
        <f>ROUND((+'EO Cycle 3'!$F57/12+'EO Cycle 3'!$F68/12+'EO Cycle 3'!$F79/12),2)</f>
        <v>95078.55</v>
      </c>
      <c r="H23" s="16">
        <f>ROUND((+'EO Cycle 3'!$F57/12+'EO Cycle 3'!$F79/12+'EO Cycle 3'!$F90/12+'EO Cycle 3'!$F112/12),2)</f>
        <v>80839.63</v>
      </c>
      <c r="I23" s="55">
        <f>ROUND((+'EO Cycle 3'!$F57/12+'EO Cycle 3'!$F79/12+'EO Cycle 3'!$F90/12+'EO Cycle 3'!$F112/12),2)</f>
        <v>80839.63</v>
      </c>
      <c r="J23" s="154">
        <f>ROUND((+'EO Cycle 3'!$F57/12+'EO Cycle 3'!$F79/12+'EO Cycle 3'!$F90/12+'EO Cycle 3'!$F112/12),2)</f>
        <v>80839.63</v>
      </c>
      <c r="K23" s="133">
        <f>ROUND((+'EO Cycle 3'!$F57/12+'EO Cycle 3'!$F79/12+'EO Cycle 3'!$F90/12+'EO Cycle 3'!$F112/12),2)</f>
        <v>80839.63</v>
      </c>
      <c r="L23" s="133">
        <f>ROUND((+'EO Cycle 3'!$F57/12+'EO Cycle 3'!$F79/12+'EO Cycle 3'!$F90/12+'EO Cycle 3'!$F112/12),2)</f>
        <v>80839.63</v>
      </c>
      <c r="M23" s="78"/>
      <c r="P23" s="174">
        <f t="shared" si="10"/>
        <v>-161679.26</v>
      </c>
    </row>
    <row r="24" spans="1:16" x14ac:dyDescent="0.35">
      <c r="A24" s="46" t="s">
        <v>134</v>
      </c>
      <c r="C24" s="96">
        <v>-117830.12</v>
      </c>
      <c r="D24" s="248">
        <f>ROUND(SUM('EO Cycle 3'!C80:E80)/12-SUM('[22]EO Cycle 3'!$C79:$E79)/12,2)*3</f>
        <v>0</v>
      </c>
      <c r="E24" s="106">
        <f>ROUND((+'EO Cycle 3'!$F58/12+'EO Cycle 3'!$F69/12+'EO Cycle 3'!$F80/12),2)</f>
        <v>58915.06</v>
      </c>
      <c r="F24" s="106">
        <f>ROUND((+'EO Cycle 3'!$F58/12+'EO Cycle 3'!$F69/12+'EO Cycle 3'!$F80/12),2)</f>
        <v>58915.06</v>
      </c>
      <c r="G24" s="106">
        <f>ROUND((+'EO Cycle 3'!$F58/12+'EO Cycle 3'!$F69/12+'EO Cycle 3'!$F80/12),2)</f>
        <v>58915.06</v>
      </c>
      <c r="H24" s="16">
        <f>ROUND((+'EO Cycle 3'!$F58/12+'EO Cycle 3'!$F80/12+'EO Cycle 3'!$F91/12+'EO Cycle 3'!$F113/12),2)</f>
        <v>63408.43</v>
      </c>
      <c r="I24" s="55">
        <f>ROUND((+'EO Cycle 3'!$F58/12+'EO Cycle 3'!$F80/12+'EO Cycle 3'!$F91/12+'EO Cycle 3'!$F113/12),2)</f>
        <v>63408.43</v>
      </c>
      <c r="J24" s="154">
        <f>ROUND((+'EO Cycle 3'!$F58/12+'EO Cycle 3'!$F80/12+'EO Cycle 3'!$F91/12+'EO Cycle 3'!$F113/12),2)</f>
        <v>63408.43</v>
      </c>
      <c r="K24" s="133">
        <f>ROUND((+'EO Cycle 3'!$F58/12+'EO Cycle 3'!$F80/12+'EO Cycle 3'!$F91/12+'EO Cycle 3'!$F113/12),2)</f>
        <v>63408.43</v>
      </c>
      <c r="L24" s="133">
        <f>ROUND((+'EO Cycle 3'!$F58/12+'EO Cycle 3'!$F80/12+'EO Cycle 3'!$F91/12+'EO Cycle 3'!$F113/12),2)</f>
        <v>63408.43</v>
      </c>
      <c r="M24" s="78"/>
      <c r="O24" s="47"/>
      <c r="P24" s="174">
        <f t="shared" si="10"/>
        <v>-126816.86</v>
      </c>
    </row>
    <row r="25" spans="1:16" x14ac:dyDescent="0.35">
      <c r="C25" s="98"/>
      <c r="D25" s="141"/>
      <c r="E25" s="18"/>
      <c r="F25" s="18"/>
      <c r="G25" s="18"/>
      <c r="H25" s="90"/>
      <c r="I25" s="18"/>
      <c r="J25" s="155"/>
      <c r="K25" s="56"/>
      <c r="L25" s="56"/>
      <c r="M25" s="13"/>
    </row>
    <row r="26" spans="1:16" ht="15" thickBot="1" x14ac:dyDescent="0.4">
      <c r="A26" s="3" t="s">
        <v>14</v>
      </c>
      <c r="B26" s="3"/>
      <c r="C26" s="100">
        <v>-10033.91</v>
      </c>
      <c r="D26" s="357">
        <f>SUM(D42:D45)</f>
        <v>0</v>
      </c>
      <c r="E26" s="126">
        <f>4575.63+0.75</f>
        <v>4576.38</v>
      </c>
      <c r="F26" s="126">
        <f>5434.96-0.05</f>
        <v>5434.91</v>
      </c>
      <c r="G26" s="127">
        <f>5867.36-0.04</f>
        <v>5867.32</v>
      </c>
      <c r="H26" s="26">
        <f>5933.07-0.05</f>
        <v>5933.0199999999995</v>
      </c>
      <c r="I26" s="115">
        <f>5728.65-0.06</f>
        <v>5728.5899999999992</v>
      </c>
      <c r="J26" s="159">
        <f>5805.89-0.03</f>
        <v>5805.8600000000006</v>
      </c>
      <c r="K26" s="150">
        <f>ROUND((SUM(J35:J38)+SUM(J42:J45)+SUM(K29:K32)/2)*K$40,2)</f>
        <v>6355.46</v>
      </c>
      <c r="L26" s="135">
        <f>ROUND((SUM(K35:K38)+SUM(K42:K45)+SUM(L29:L32)/2)*L$40,2)</f>
        <v>6821.89</v>
      </c>
      <c r="M26" s="81"/>
      <c r="P26" s="174">
        <f t="shared" si="10"/>
        <v>-13177.35</v>
      </c>
    </row>
    <row r="27" spans="1:16" x14ac:dyDescent="0.35">
      <c r="C27" s="64"/>
      <c r="D27" s="33"/>
      <c r="E27" s="139"/>
      <c r="F27" s="139"/>
      <c r="G27" s="140"/>
      <c r="H27" s="64"/>
      <c r="I27" s="33"/>
      <c r="J27" s="160"/>
      <c r="K27" s="34"/>
      <c r="L27" s="34"/>
      <c r="M27" s="60"/>
    </row>
    <row r="28" spans="1:16" x14ac:dyDescent="0.35">
      <c r="A28" s="46" t="s">
        <v>51</v>
      </c>
      <c r="C28" s="65"/>
      <c r="D28" s="35"/>
      <c r="E28" s="140"/>
      <c r="F28" s="140"/>
      <c r="G28" s="140"/>
      <c r="H28" s="65"/>
      <c r="I28" s="35"/>
      <c r="J28" s="161"/>
      <c r="K28" s="34"/>
      <c r="L28" s="34"/>
      <c r="M28" s="60"/>
    </row>
    <row r="29" spans="1:16" x14ac:dyDescent="0.35">
      <c r="A29" s="46" t="s">
        <v>24</v>
      </c>
      <c r="C29" s="99">
        <f t="shared" ref="C29:M32" si="11">C21-C15</f>
        <v>50957.979999999981</v>
      </c>
      <c r="D29" s="352">
        <f t="shared" ref="D29" si="12">D21-D15</f>
        <v>-289.68</v>
      </c>
      <c r="E29" s="41">
        <f t="shared" si="11"/>
        <v>133316.42000000001</v>
      </c>
      <c r="F29" s="41">
        <f t="shared" si="11"/>
        <v>78045.380000000034</v>
      </c>
      <c r="G29" s="105">
        <f t="shared" si="11"/>
        <v>9647.9700000000303</v>
      </c>
      <c r="H29" s="40">
        <f t="shared" si="11"/>
        <v>-24202.540000000008</v>
      </c>
      <c r="I29" s="41">
        <f t="shared" si="11"/>
        <v>3274.1900000000023</v>
      </c>
      <c r="J29" s="61">
        <f t="shared" si="11"/>
        <v>57561.630000000005</v>
      </c>
      <c r="K29" s="116">
        <f t="shared" si="11"/>
        <v>74800.290000000008</v>
      </c>
      <c r="L29" s="41">
        <f t="shared" si="11"/>
        <v>12708.079999999987</v>
      </c>
      <c r="M29" s="61">
        <f t="shared" si="11"/>
        <v>-305591.36</v>
      </c>
    </row>
    <row r="30" spans="1:16" x14ac:dyDescent="0.35">
      <c r="A30" s="46" t="s">
        <v>132</v>
      </c>
      <c r="C30" s="99">
        <f t="shared" si="11"/>
        <v>17903.390000000014</v>
      </c>
      <c r="D30" s="352">
        <f t="shared" ref="D30" si="13">D22-D16</f>
        <v>0</v>
      </c>
      <c r="E30" s="41">
        <f t="shared" si="11"/>
        <v>13085.05</v>
      </c>
      <c r="F30" s="41">
        <f t="shared" si="11"/>
        <v>8673.6899999999951</v>
      </c>
      <c r="G30" s="105">
        <f t="shared" si="11"/>
        <v>1408.9199999999983</v>
      </c>
      <c r="H30" s="40">
        <f t="shared" si="11"/>
        <v>2194.4300000000003</v>
      </c>
      <c r="I30" s="41">
        <f t="shared" si="11"/>
        <v>2196.3699999999953</v>
      </c>
      <c r="J30" s="61">
        <f t="shared" si="11"/>
        <v>6717.1399999999994</v>
      </c>
      <c r="K30" s="116">
        <f t="shared" si="11"/>
        <v>10896.57</v>
      </c>
      <c r="L30" s="41">
        <f t="shared" si="11"/>
        <v>9176.510000000002</v>
      </c>
      <c r="M30" s="61">
        <f t="shared" si="11"/>
        <v>-43456.92</v>
      </c>
    </row>
    <row r="31" spans="1:16" x14ac:dyDescent="0.35">
      <c r="A31" s="46" t="s">
        <v>133</v>
      </c>
      <c r="C31" s="99">
        <f t="shared" si="11"/>
        <v>32311.74000000002</v>
      </c>
      <c r="D31" s="352">
        <f t="shared" ref="D31" si="14">D23-D17</f>
        <v>0</v>
      </c>
      <c r="E31" s="41">
        <f t="shared" si="11"/>
        <v>27302.39</v>
      </c>
      <c r="F31" s="41">
        <f t="shared" si="11"/>
        <v>23511.990000000005</v>
      </c>
      <c r="G31" s="105">
        <f t="shared" si="11"/>
        <v>15094.11</v>
      </c>
      <c r="H31" s="40">
        <f t="shared" si="11"/>
        <v>10591.880000000005</v>
      </c>
      <c r="I31" s="41">
        <f t="shared" si="11"/>
        <v>7841.8400000000111</v>
      </c>
      <c r="J31" s="61">
        <f t="shared" si="11"/>
        <v>13734.779999999999</v>
      </c>
      <c r="K31" s="116">
        <f t="shared" si="11"/>
        <v>17815.290000000008</v>
      </c>
      <c r="L31" s="41">
        <f t="shared" si="11"/>
        <v>15261.919999999998</v>
      </c>
      <c r="M31" s="61">
        <f t="shared" si="11"/>
        <v>-64510.59</v>
      </c>
    </row>
    <row r="32" spans="1:16" x14ac:dyDescent="0.35">
      <c r="A32" s="46" t="s">
        <v>134</v>
      </c>
      <c r="C32" s="99">
        <f t="shared" si="11"/>
        <v>38097.040000000008</v>
      </c>
      <c r="D32" s="352">
        <f t="shared" ref="D32" si="15">D24-D18</f>
        <v>0</v>
      </c>
      <c r="E32" s="41">
        <f t="shared" si="11"/>
        <v>7903.4599999999991</v>
      </c>
      <c r="F32" s="41">
        <f t="shared" si="11"/>
        <v>10524.93</v>
      </c>
      <c r="G32" s="105">
        <f t="shared" si="11"/>
        <v>-390.34000000000378</v>
      </c>
      <c r="H32" s="40">
        <f t="shared" si="11"/>
        <v>9206.7300000000032</v>
      </c>
      <c r="I32" s="41">
        <f t="shared" si="11"/>
        <v>4047.3400000000038</v>
      </c>
      <c r="J32" s="61">
        <f t="shared" si="11"/>
        <v>9269.68</v>
      </c>
      <c r="K32" s="116">
        <f t="shared" si="11"/>
        <v>17601.57</v>
      </c>
      <c r="L32" s="41">
        <f t="shared" si="11"/>
        <v>15745.739999999998</v>
      </c>
      <c r="M32" s="61">
        <f t="shared" si="11"/>
        <v>-46887.09</v>
      </c>
    </row>
    <row r="33" spans="1:16" x14ac:dyDescent="0.35">
      <c r="C33" s="98"/>
      <c r="D33" s="141"/>
      <c r="E33" s="17"/>
      <c r="F33" s="17"/>
      <c r="G33" s="17"/>
      <c r="H33" s="10"/>
      <c r="I33" s="17"/>
      <c r="J33" s="11"/>
      <c r="K33" s="17"/>
      <c r="L33" s="17"/>
      <c r="M33" s="11"/>
    </row>
    <row r="34" spans="1:16" ht="15" thickBot="1" x14ac:dyDescent="0.4">
      <c r="A34" s="46" t="s">
        <v>52</v>
      </c>
      <c r="C34" s="98"/>
      <c r="D34" s="141"/>
      <c r="E34" s="17"/>
      <c r="F34" s="17"/>
      <c r="G34" s="17"/>
      <c r="H34" s="10"/>
      <c r="I34" s="17"/>
      <c r="J34" s="11"/>
      <c r="K34" s="17"/>
      <c r="L34" s="17"/>
      <c r="M34" s="11"/>
    </row>
    <row r="35" spans="1:16" x14ac:dyDescent="0.35">
      <c r="A35" s="46" t="s">
        <v>24</v>
      </c>
      <c r="B35" s="331">
        <v>435486.12000000023</v>
      </c>
      <c r="C35" s="99">
        <f t="shared" ref="C35:M38" si="16">B35+C29+B42</f>
        <v>486444.10000000021</v>
      </c>
      <c r="D35" s="352"/>
      <c r="E35" s="41">
        <f>C35+E29+C42+D29+D42</f>
        <v>612909.76000000024</v>
      </c>
      <c r="F35" s="41">
        <f t="shared" si="16"/>
        <v>693937.33000000019</v>
      </c>
      <c r="G35" s="105">
        <f t="shared" si="16"/>
        <v>707165.5700000003</v>
      </c>
      <c r="H35" s="40">
        <f t="shared" si="16"/>
        <v>686804.02000000025</v>
      </c>
      <c r="I35" s="41">
        <f t="shared" si="16"/>
        <v>693880.67000000016</v>
      </c>
      <c r="J35" s="61">
        <f t="shared" si="16"/>
        <v>755034.26000000013</v>
      </c>
      <c r="K35" s="116">
        <f t="shared" si="16"/>
        <v>833463.02000000014</v>
      </c>
      <c r="L35" s="41">
        <f t="shared" si="16"/>
        <v>850148.35000000009</v>
      </c>
      <c r="M35" s="61">
        <f t="shared" si="16"/>
        <v>548772.71000000008</v>
      </c>
    </row>
    <row r="36" spans="1:16" x14ac:dyDescent="0.35">
      <c r="A36" s="46" t="s">
        <v>132</v>
      </c>
      <c r="B36" s="332">
        <v>38927.519999999982</v>
      </c>
      <c r="C36" s="99">
        <f t="shared" si="16"/>
        <v>56830.909999999996</v>
      </c>
      <c r="D36" s="352"/>
      <c r="E36" s="41">
        <f t="shared" ref="E36:E38" si="17">C36+E30+C43+D36+D43</f>
        <v>69177.319999999992</v>
      </c>
      <c r="F36" s="41">
        <f t="shared" si="16"/>
        <v>78192.779999999984</v>
      </c>
      <c r="G36" s="105">
        <f t="shared" si="16"/>
        <v>80005.449999999983</v>
      </c>
      <c r="H36" s="40">
        <f t="shared" si="16"/>
        <v>82633.559999999969</v>
      </c>
      <c r="I36" s="41">
        <f t="shared" si="16"/>
        <v>85273.539999999964</v>
      </c>
      <c r="J36" s="61">
        <f t="shared" si="16"/>
        <v>92427.449999999968</v>
      </c>
      <c r="K36" s="116">
        <f t="shared" si="16"/>
        <v>103769.01999999996</v>
      </c>
      <c r="L36" s="41">
        <f t="shared" si="16"/>
        <v>113436.75999999997</v>
      </c>
      <c r="M36" s="61">
        <f t="shared" si="16"/>
        <v>70523.659999999974</v>
      </c>
    </row>
    <row r="37" spans="1:16" x14ac:dyDescent="0.35">
      <c r="A37" s="46" t="s">
        <v>133</v>
      </c>
      <c r="B37" s="332">
        <v>92958.35000000002</v>
      </c>
      <c r="C37" s="99">
        <f t="shared" si="16"/>
        <v>125270.09000000004</v>
      </c>
      <c r="D37" s="352"/>
      <c r="E37" s="41">
        <f t="shared" si="17"/>
        <v>150926.02000000005</v>
      </c>
      <c r="F37" s="41">
        <f t="shared" si="16"/>
        <v>175187.05000000008</v>
      </c>
      <c r="G37" s="105">
        <f t="shared" si="16"/>
        <v>191174.60000000009</v>
      </c>
      <c r="H37" s="40">
        <f t="shared" si="16"/>
        <v>202770.71000000011</v>
      </c>
      <c r="I37" s="41">
        <f t="shared" si="16"/>
        <v>211686.93000000011</v>
      </c>
      <c r="J37" s="61">
        <f t="shared" si="16"/>
        <v>226499.78000000012</v>
      </c>
      <c r="K37" s="116">
        <f t="shared" si="16"/>
        <v>245412.39000000013</v>
      </c>
      <c r="L37" s="41">
        <f t="shared" si="16"/>
        <v>261855.9200000001</v>
      </c>
      <c r="M37" s="61">
        <f t="shared" si="16"/>
        <v>198615.4800000001</v>
      </c>
    </row>
    <row r="38" spans="1:16" ht="15" thickBot="1" x14ac:dyDescent="0.4">
      <c r="A38" s="46" t="s">
        <v>134</v>
      </c>
      <c r="B38" s="333">
        <v>51292.160000000003</v>
      </c>
      <c r="C38" s="99">
        <f t="shared" si="16"/>
        <v>89389.200000000012</v>
      </c>
      <c r="D38" s="352"/>
      <c r="E38" s="41">
        <f t="shared" si="17"/>
        <v>96204.94</v>
      </c>
      <c r="F38" s="41">
        <f t="shared" si="16"/>
        <v>107233.25</v>
      </c>
      <c r="G38" s="105">
        <f t="shared" si="16"/>
        <v>107400.36</v>
      </c>
      <c r="H38" s="40">
        <f t="shared" si="16"/>
        <v>117195.51</v>
      </c>
      <c r="I38" s="41">
        <f t="shared" si="16"/>
        <v>121855.42000000001</v>
      </c>
      <c r="J38" s="61">
        <f t="shared" si="16"/>
        <v>131746.89000000001</v>
      </c>
      <c r="K38" s="116">
        <f t="shared" si="16"/>
        <v>149983.53000000003</v>
      </c>
      <c r="L38" s="41">
        <f t="shared" si="16"/>
        <v>166434.64000000001</v>
      </c>
      <c r="M38" s="61">
        <f t="shared" si="16"/>
        <v>120339.75000000001</v>
      </c>
    </row>
    <row r="39" spans="1:16" x14ac:dyDescent="0.35">
      <c r="C39" s="98"/>
      <c r="D39" s="141"/>
      <c r="E39" s="17"/>
      <c r="F39" s="17"/>
      <c r="G39" s="17"/>
      <c r="H39" s="10"/>
      <c r="I39" s="17"/>
      <c r="J39" s="11"/>
      <c r="K39" s="17"/>
      <c r="L39" s="17"/>
      <c r="M39" s="11"/>
    </row>
    <row r="40" spans="1:16" x14ac:dyDescent="0.35">
      <c r="A40" s="39" t="s">
        <v>86</v>
      </c>
      <c r="B40" s="39"/>
      <c r="C40" s="101"/>
      <c r="D40" s="252"/>
      <c r="E40" s="309">
        <f>'PCR Cycle 3'!E45</f>
        <v>5.4564799999999997E-3</v>
      </c>
      <c r="F40" s="309">
        <f>'PCR Cycle 3'!F45</f>
        <v>5.4667700000000001E-3</v>
      </c>
      <c r="G40" s="309">
        <f>'PCR Cycle 3'!G45</f>
        <v>5.46883E-3</v>
      </c>
      <c r="H40" s="310">
        <f>'PCR Cycle 3'!H45</f>
        <v>5.4406000000000003E-3</v>
      </c>
      <c r="I40" s="309">
        <f>'PCR Cycle 3'!I45</f>
        <v>5.1888699999999999E-3</v>
      </c>
      <c r="J40" s="311">
        <f>'PCR Cycle 3'!J45</f>
        <v>4.9961500000000004E-3</v>
      </c>
      <c r="K40" s="82">
        <f>J40</f>
        <v>4.9961500000000004E-3</v>
      </c>
      <c r="L40" s="82">
        <f>J40</f>
        <v>4.9961500000000004E-3</v>
      </c>
      <c r="M40" s="84"/>
    </row>
    <row r="41" spans="1:16" x14ac:dyDescent="0.35">
      <c r="A41" s="39" t="s">
        <v>36</v>
      </c>
      <c r="B41" s="39"/>
      <c r="C41" s="103"/>
      <c r="D41" s="353"/>
      <c r="E41" s="82"/>
      <c r="F41" s="82"/>
      <c r="G41" s="82"/>
      <c r="H41" s="83"/>
      <c r="I41" s="82"/>
      <c r="J41" s="84"/>
      <c r="K41" s="82"/>
      <c r="L41" s="82"/>
      <c r="M41" s="84"/>
    </row>
    <row r="42" spans="1:16" x14ac:dyDescent="0.35">
      <c r="A42" s="46" t="s">
        <v>24</v>
      </c>
      <c r="C42" s="334">
        <v>-6561.08</v>
      </c>
      <c r="D42" s="358"/>
      <c r="E42" s="41">
        <f>ROUND((C35+C42+E29/2)*E$40,2)</f>
        <v>2982.19</v>
      </c>
      <c r="F42" s="41">
        <f t="shared" ref="F42:M45" si="18">ROUND((E35+E42+F29/2)*F$40,2)</f>
        <v>3580.27</v>
      </c>
      <c r="G42" s="105">
        <f t="shared" si="18"/>
        <v>3840.99</v>
      </c>
      <c r="H42" s="40">
        <f t="shared" si="18"/>
        <v>3802.46</v>
      </c>
      <c r="I42" s="116">
        <f t="shared" si="18"/>
        <v>3591.96</v>
      </c>
      <c r="J42" s="49">
        <f t="shared" si="18"/>
        <v>3628.47</v>
      </c>
      <c r="K42" s="151">
        <f t="shared" si="18"/>
        <v>3977.25</v>
      </c>
      <c r="L42" s="105">
        <f t="shared" si="18"/>
        <v>4215.72</v>
      </c>
      <c r="M42" s="61">
        <f t="shared" si="18"/>
        <v>0</v>
      </c>
      <c r="P42" s="174">
        <f t="shared" ref="P42:P45" si="19">-SUM(K42:M42)</f>
        <v>-8192.9700000000012</v>
      </c>
    </row>
    <row r="43" spans="1:16" x14ac:dyDescent="0.35">
      <c r="A43" s="46" t="s">
        <v>132</v>
      </c>
      <c r="C43" s="334">
        <v>-738.6400000000001</v>
      </c>
      <c r="D43" s="358"/>
      <c r="E43" s="41">
        <f>ROUND((C36+C43+E30/2)*E$40,2)</f>
        <v>341.77</v>
      </c>
      <c r="F43" s="41">
        <f t="shared" si="18"/>
        <v>403.75</v>
      </c>
      <c r="G43" s="105">
        <f t="shared" si="18"/>
        <v>433.68</v>
      </c>
      <c r="H43" s="40">
        <f t="shared" si="18"/>
        <v>443.61</v>
      </c>
      <c r="I43" s="116">
        <f t="shared" si="18"/>
        <v>436.77</v>
      </c>
      <c r="J43" s="49">
        <f t="shared" si="18"/>
        <v>445</v>
      </c>
      <c r="K43" s="151">
        <f t="shared" si="18"/>
        <v>491.23</v>
      </c>
      <c r="L43" s="105">
        <f t="shared" si="18"/>
        <v>543.82000000000005</v>
      </c>
      <c r="M43" s="61">
        <f t="shared" si="18"/>
        <v>0</v>
      </c>
      <c r="P43" s="174">
        <f t="shared" si="19"/>
        <v>-1035.0500000000002</v>
      </c>
    </row>
    <row r="44" spans="1:16" x14ac:dyDescent="0.35">
      <c r="A44" s="46" t="s">
        <v>133</v>
      </c>
      <c r="C44" s="334">
        <v>-1646.46</v>
      </c>
      <c r="D44" s="358"/>
      <c r="E44" s="41">
        <f>ROUND((C37+C44+E31/2)*E$40,2)</f>
        <v>749.04</v>
      </c>
      <c r="F44" s="41">
        <f t="shared" si="18"/>
        <v>893.44</v>
      </c>
      <c r="G44" s="105">
        <f t="shared" si="18"/>
        <v>1004.23</v>
      </c>
      <c r="H44" s="40">
        <f t="shared" si="18"/>
        <v>1074.3800000000001</v>
      </c>
      <c r="I44" s="116">
        <f t="shared" si="18"/>
        <v>1078.07</v>
      </c>
      <c r="J44" s="49">
        <f t="shared" si="18"/>
        <v>1097.32</v>
      </c>
      <c r="K44" s="151">
        <f t="shared" si="18"/>
        <v>1181.6099999999999</v>
      </c>
      <c r="L44" s="105">
        <f t="shared" si="18"/>
        <v>1270.1500000000001</v>
      </c>
      <c r="M44" s="61">
        <f t="shared" si="18"/>
        <v>0</v>
      </c>
      <c r="P44" s="174">
        <f t="shared" si="19"/>
        <v>-2451.7600000000002</v>
      </c>
    </row>
    <row r="45" spans="1:16" ht="15" thickBot="1" x14ac:dyDescent="0.4">
      <c r="A45" s="46" t="s">
        <v>134</v>
      </c>
      <c r="C45" s="334">
        <v>-1087.72</v>
      </c>
      <c r="D45" s="358"/>
      <c r="E45" s="41">
        <f>ROUND((C38+C45+E32/2)*E$40,2)</f>
        <v>503.38</v>
      </c>
      <c r="F45" s="41">
        <f t="shared" si="18"/>
        <v>557.45000000000005</v>
      </c>
      <c r="G45" s="105">
        <f t="shared" si="18"/>
        <v>588.41999999999996</v>
      </c>
      <c r="H45" s="40">
        <f t="shared" si="18"/>
        <v>612.57000000000005</v>
      </c>
      <c r="I45" s="116">
        <f t="shared" si="18"/>
        <v>621.79</v>
      </c>
      <c r="J45" s="49">
        <f t="shared" si="18"/>
        <v>635.07000000000005</v>
      </c>
      <c r="K45" s="151">
        <f t="shared" si="18"/>
        <v>705.37</v>
      </c>
      <c r="L45" s="105">
        <f t="shared" si="18"/>
        <v>792.2</v>
      </c>
      <c r="M45" s="61">
        <f t="shared" si="18"/>
        <v>0</v>
      </c>
      <c r="P45" s="174">
        <f t="shared" si="19"/>
        <v>-1497.5700000000002</v>
      </c>
    </row>
    <row r="46" spans="1:16" ht="15.5" thickTop="1" thickBot="1" x14ac:dyDescent="0.4">
      <c r="A46" s="54" t="s">
        <v>22</v>
      </c>
      <c r="B46" s="54"/>
      <c r="C46" s="104">
        <v>0</v>
      </c>
      <c r="D46" s="255"/>
      <c r="E46" s="42">
        <f t="shared" ref="E46:M46" si="20">SUM(E42:E45)+SUM(E35:E38)-E49</f>
        <v>0</v>
      </c>
      <c r="F46" s="42">
        <f t="shared" si="20"/>
        <v>0</v>
      </c>
      <c r="G46" s="50">
        <f t="shared" si="20"/>
        <v>0</v>
      </c>
      <c r="H46" s="137">
        <f t="shared" si="20"/>
        <v>0</v>
      </c>
      <c r="I46" s="50">
        <f t="shared" si="20"/>
        <v>0</v>
      </c>
      <c r="J46" s="62">
        <f t="shared" si="20"/>
        <v>0</v>
      </c>
      <c r="K46" s="152">
        <f t="shared" si="20"/>
        <v>0</v>
      </c>
      <c r="L46" s="50">
        <f t="shared" si="20"/>
        <v>0</v>
      </c>
      <c r="M46" s="62">
        <f t="shared" si="20"/>
        <v>0</v>
      </c>
    </row>
    <row r="47" spans="1:16" ht="15.5" thickTop="1" thickBot="1" x14ac:dyDescent="0.4">
      <c r="A47" s="54" t="s">
        <v>23</v>
      </c>
      <c r="B47" s="54"/>
      <c r="C47" s="104">
        <v>0</v>
      </c>
      <c r="D47" s="255"/>
      <c r="E47" s="42">
        <f t="shared" ref="E47:M47" si="21">SUM(E42:E45)-E26</f>
        <v>0</v>
      </c>
      <c r="F47" s="42">
        <f t="shared" si="21"/>
        <v>0</v>
      </c>
      <c r="G47" s="50">
        <f t="shared" si="21"/>
        <v>0</v>
      </c>
      <c r="H47" s="137">
        <f t="shared" si="21"/>
        <v>0</v>
      </c>
      <c r="I47" s="50">
        <f t="shared" si="21"/>
        <v>0</v>
      </c>
      <c r="J47" s="62">
        <f t="shared" si="21"/>
        <v>0</v>
      </c>
      <c r="K47" s="153">
        <f t="shared" si="21"/>
        <v>0</v>
      </c>
      <c r="L47" s="42">
        <f t="shared" si="21"/>
        <v>0</v>
      </c>
      <c r="M47" s="42">
        <f t="shared" si="21"/>
        <v>0</v>
      </c>
    </row>
    <row r="48" spans="1:16" ht="15.5" thickTop="1" thickBot="1" x14ac:dyDescent="0.4">
      <c r="C48" s="98"/>
      <c r="D48" s="141"/>
      <c r="E48" s="17"/>
      <c r="F48" s="17"/>
      <c r="G48" s="17"/>
      <c r="H48" s="10"/>
      <c r="I48" s="17"/>
      <c r="J48" s="11"/>
      <c r="K48" s="17"/>
      <c r="L48" s="17"/>
      <c r="M48" s="11"/>
    </row>
    <row r="49" spans="1:13" ht="15" thickBot="1" x14ac:dyDescent="0.4">
      <c r="A49" s="46" t="s">
        <v>35</v>
      </c>
      <c r="B49" s="113">
        <f>SUM(B35:B38)</f>
        <v>618664.15000000026</v>
      </c>
      <c r="C49" s="99">
        <f t="shared" ref="C49:M49" si="22">(C12-SUM(C15:C18))+SUM(C42:C45)+B49</f>
        <v>747900.40000000014</v>
      </c>
      <c r="D49" s="352"/>
      <c r="E49" s="41">
        <f>(E12-SUM(E15:E18))+SUM(D42:E45)+C49+SUM(D29:D32)</f>
        <v>933794.42</v>
      </c>
      <c r="F49" s="41">
        <f t="shared" si="22"/>
        <v>1059985.32</v>
      </c>
      <c r="G49" s="105">
        <f t="shared" si="22"/>
        <v>1091613.3</v>
      </c>
      <c r="H49" s="40">
        <f t="shared" si="22"/>
        <v>1095336.82</v>
      </c>
      <c r="I49" s="41">
        <f t="shared" si="22"/>
        <v>1118425.1500000001</v>
      </c>
      <c r="J49" s="61">
        <f t="shared" si="22"/>
        <v>1211514.2400000002</v>
      </c>
      <c r="K49" s="151">
        <f t="shared" si="22"/>
        <v>1338983.4200000002</v>
      </c>
      <c r="L49" s="105">
        <f t="shared" si="22"/>
        <v>1398697.56</v>
      </c>
      <c r="M49" s="61">
        <f t="shared" si="22"/>
        <v>938251.60000000009</v>
      </c>
    </row>
    <row r="50" spans="1:13" x14ac:dyDescent="0.35">
      <c r="A50" s="46" t="s">
        <v>12</v>
      </c>
      <c r="C50" s="114"/>
      <c r="D50" s="17"/>
      <c r="E50" s="17"/>
      <c r="F50" s="17"/>
      <c r="G50" s="17"/>
      <c r="H50" s="10"/>
      <c r="I50" s="17"/>
      <c r="J50" s="11"/>
      <c r="K50" s="17"/>
      <c r="L50" s="17"/>
      <c r="M50" s="11"/>
    </row>
    <row r="51" spans="1:13" ht="15" thickBot="1" x14ac:dyDescent="0.4">
      <c r="A51" s="37"/>
      <c r="B51" s="37"/>
      <c r="C51" s="138"/>
      <c r="D51" s="354"/>
      <c r="E51" s="44"/>
      <c r="F51" s="44"/>
      <c r="G51" s="44"/>
      <c r="H51" s="43"/>
      <c r="I51" s="44"/>
      <c r="J51" s="45"/>
      <c r="K51" s="44"/>
      <c r="L51" s="44"/>
      <c r="M51" s="45"/>
    </row>
    <row r="53" spans="1:13" x14ac:dyDescent="0.35">
      <c r="A53" s="69" t="s">
        <v>11</v>
      </c>
      <c r="B53" s="69"/>
      <c r="C53" s="69"/>
      <c r="D53" s="69"/>
    </row>
    <row r="54" spans="1:13" ht="31.5" customHeight="1" x14ac:dyDescent="0.35">
      <c r="A54" s="390" t="s">
        <v>153</v>
      </c>
      <c r="B54" s="390"/>
      <c r="C54" s="390"/>
      <c r="D54" s="390"/>
      <c r="E54" s="390"/>
      <c r="F54" s="390"/>
      <c r="G54" s="390"/>
      <c r="H54" s="390"/>
      <c r="I54" s="390"/>
      <c r="J54" s="390"/>
      <c r="K54" s="264"/>
      <c r="L54" s="264"/>
      <c r="M54" s="264"/>
    </row>
    <row r="55" spans="1:13" ht="62.15" customHeight="1" x14ac:dyDescent="0.35">
      <c r="A55" s="390" t="s">
        <v>253</v>
      </c>
      <c r="B55" s="391"/>
      <c r="C55" s="391"/>
      <c r="D55" s="391"/>
      <c r="E55" s="391"/>
      <c r="F55" s="391"/>
      <c r="G55" s="391"/>
      <c r="H55" s="391"/>
      <c r="I55" s="391"/>
      <c r="J55" s="391"/>
      <c r="K55" s="264"/>
      <c r="L55" s="264"/>
    </row>
    <row r="56" spans="1:13" ht="18.75" customHeight="1" x14ac:dyDescent="0.35">
      <c r="A56" s="390" t="s">
        <v>182</v>
      </c>
      <c r="B56" s="390"/>
      <c r="C56" s="390"/>
      <c r="D56" s="390"/>
      <c r="E56" s="390"/>
      <c r="F56" s="390"/>
      <c r="G56" s="390"/>
      <c r="H56" s="390"/>
      <c r="I56" s="390"/>
      <c r="J56" s="390"/>
      <c r="K56" s="264"/>
      <c r="L56" s="264"/>
      <c r="M56" s="264"/>
    </row>
    <row r="57" spans="1:13" x14ac:dyDescent="0.35">
      <c r="A57" s="390" t="s">
        <v>255</v>
      </c>
      <c r="B57" s="391"/>
      <c r="C57" s="391"/>
      <c r="D57" s="391"/>
      <c r="E57" s="391"/>
      <c r="F57" s="391"/>
      <c r="G57" s="391"/>
      <c r="H57" s="391"/>
      <c r="I57" s="391"/>
      <c r="J57" s="391"/>
    </row>
    <row r="58" spans="1:13" x14ac:dyDescent="0.35">
      <c r="A58" s="63" t="s">
        <v>288</v>
      </c>
      <c r="B58" s="63"/>
      <c r="C58" s="63"/>
      <c r="D58" s="63"/>
      <c r="E58" s="39"/>
      <c r="F58" s="39"/>
      <c r="G58" s="39"/>
      <c r="H58" s="39"/>
      <c r="I58" s="39"/>
      <c r="J58" s="39"/>
    </row>
    <row r="59" spans="1:13" x14ac:dyDescent="0.35">
      <c r="A59" s="63" t="s">
        <v>93</v>
      </c>
      <c r="B59" s="63"/>
      <c r="C59" s="63"/>
      <c r="D59" s="63"/>
      <c r="E59" s="39"/>
      <c r="F59" s="39"/>
      <c r="G59" s="39"/>
      <c r="H59" s="39"/>
      <c r="I59" s="39"/>
      <c r="J59" s="39"/>
    </row>
    <row r="60" spans="1:13" x14ac:dyDescent="0.35">
      <c r="A60" s="356" t="s">
        <v>297</v>
      </c>
      <c r="B60" s="3"/>
      <c r="C60" s="3"/>
      <c r="D60" s="3"/>
    </row>
  </sheetData>
  <mergeCells count="7">
    <mergeCell ref="A57:J57"/>
    <mergeCell ref="A56:J56"/>
    <mergeCell ref="E10:G10"/>
    <mergeCell ref="H10:J10"/>
    <mergeCell ref="K10:M10"/>
    <mergeCell ref="A54:J54"/>
    <mergeCell ref="A55:J55"/>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activeCell="D20" sqref="D20"/>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5" width="12.26953125" style="46" bestFit="1" customWidth="1"/>
    <col min="6" max="6" width="13.453125" style="46" bestFit="1" customWidth="1"/>
    <col min="7" max="16384" width="9.1796875" style="46"/>
  </cols>
  <sheetData>
    <row r="1" spans="1:4" x14ac:dyDescent="0.35">
      <c r="A1" s="63" t="str">
        <f>+'PPC Cycle 3'!A1</f>
        <v>Evergy Missouri West, Inc. - DSIM Rider Update Filed 12/01/2024</v>
      </c>
    </row>
    <row r="2" spans="1:4" x14ac:dyDescent="0.35">
      <c r="A2" s="9" t="str">
        <f>+SUBSTITUTE('PPC Cycle 3'!A2,"Cycle 3","Cycle 2")</f>
        <v>Projections for Cycle 2 January 2025 - December 2025 DSIM</v>
      </c>
    </row>
    <row r="3" spans="1:4" ht="45.75" customHeight="1" x14ac:dyDescent="0.35">
      <c r="B3" s="389" t="s">
        <v>95</v>
      </c>
      <c r="C3" s="389"/>
      <c r="D3" s="389"/>
    </row>
    <row r="4" spans="1:4" x14ac:dyDescent="0.35">
      <c r="B4" s="48" t="s">
        <v>17</v>
      </c>
    </row>
    <row r="5" spans="1:4" x14ac:dyDescent="0.35">
      <c r="A5" s="20" t="s">
        <v>82</v>
      </c>
      <c r="B5" s="267">
        <f>+B8</f>
        <v>0</v>
      </c>
    </row>
    <row r="6" spans="1:4" x14ac:dyDescent="0.35">
      <c r="A6" s="20" t="s">
        <v>83</v>
      </c>
      <c r="B6" s="267">
        <f>+C8</f>
        <v>0</v>
      </c>
    </row>
    <row r="7" spans="1:4" ht="29" x14ac:dyDescent="0.35">
      <c r="A7" s="20"/>
      <c r="B7" s="245" t="s">
        <v>82</v>
      </c>
      <c r="C7" s="246" t="s">
        <v>83</v>
      </c>
      <c r="D7" s="246" t="s">
        <v>5</v>
      </c>
    </row>
    <row r="8" spans="1:4" x14ac:dyDescent="0.35">
      <c r="A8" s="20" t="s">
        <v>24</v>
      </c>
      <c r="B8" s="198">
        <v>0</v>
      </c>
      <c r="C8" s="198">
        <v>0</v>
      </c>
      <c r="D8" s="198">
        <f>SUM(B8:C8)</f>
        <v>0</v>
      </c>
    </row>
    <row r="9" spans="1:4" x14ac:dyDescent="0.35">
      <c r="A9" s="20" t="s">
        <v>25</v>
      </c>
      <c r="B9" s="198">
        <v>0</v>
      </c>
      <c r="C9" s="198">
        <v>0</v>
      </c>
      <c r="D9" s="198">
        <f>SUM(B9:C9)</f>
        <v>0</v>
      </c>
    </row>
    <row r="10" spans="1:4" ht="15" thickBot="1" x14ac:dyDescent="0.4">
      <c r="A10" s="20" t="s">
        <v>5</v>
      </c>
      <c r="B10" s="199">
        <f>SUM(B8:B9)</f>
        <v>0</v>
      </c>
      <c r="C10" s="199">
        <f>SUM(C8:C9)</f>
        <v>0</v>
      </c>
      <c r="D10" s="199">
        <f>SUM(D8:D9)</f>
        <v>0</v>
      </c>
    </row>
    <row r="11" spans="1:4" ht="15.5" thickTop="1" thickBot="1" x14ac:dyDescent="0.4">
      <c r="B11" s="200">
        <f>+B10-B5</f>
        <v>0</v>
      </c>
      <c r="C11" s="200">
        <f>+C10-B6</f>
        <v>0</v>
      </c>
      <c r="D11" s="200">
        <f>ROUND(B5+B6,2)-D10</f>
        <v>0</v>
      </c>
    </row>
    <row r="12" spans="1:4" ht="29.5" thickTop="1" x14ac:dyDescent="0.35">
      <c r="B12" s="208"/>
      <c r="C12" s="207" t="s">
        <v>108</v>
      </c>
    </row>
    <row r="13" spans="1:4" x14ac:dyDescent="0.35">
      <c r="A13" s="20" t="s">
        <v>105</v>
      </c>
      <c r="B13" s="198">
        <f>ROUND($D$9*C13,2)</f>
        <v>0</v>
      </c>
      <c r="C13" s="205">
        <f>+'PCR Cycle 2'!K8</f>
        <v>0.39209287804949344</v>
      </c>
    </row>
    <row r="14" spans="1:4" x14ac:dyDescent="0.35">
      <c r="A14" s="20" t="s">
        <v>106</v>
      </c>
      <c r="B14" s="198">
        <f>ROUND($D$9*C14,2)</f>
        <v>0</v>
      </c>
      <c r="C14" s="205">
        <f>+'PCR Cycle 2'!K9</f>
        <v>0.45435908608374953</v>
      </c>
    </row>
    <row r="15" spans="1:4" ht="15" thickBot="1" x14ac:dyDescent="0.4">
      <c r="A15" s="20" t="s">
        <v>107</v>
      </c>
      <c r="B15" s="198">
        <f>ROUND($D$9*C15,2)</f>
        <v>0</v>
      </c>
      <c r="C15" s="205">
        <f>+'PCR Cycle 2'!K10</f>
        <v>0.15354803586675725</v>
      </c>
    </row>
    <row r="16" spans="1:4" ht="15.5" thickTop="1" thickBot="1" x14ac:dyDescent="0.4">
      <c r="A16" s="20" t="s">
        <v>109</v>
      </c>
      <c r="B16" s="32">
        <f>SUM(B13:B15)</f>
        <v>0</v>
      </c>
      <c r="C16" s="206">
        <f>SUM(C13:C15)</f>
        <v>1.0000000000000002</v>
      </c>
    </row>
    <row r="17" spans="1:5" ht="15" thickTop="1" x14ac:dyDescent="0.35"/>
    <row r="18" spans="1:5" x14ac:dyDescent="0.35">
      <c r="A18" s="53" t="s">
        <v>11</v>
      </c>
    </row>
    <row r="19" spans="1:5" s="39" customFormat="1" x14ac:dyDescent="0.35">
      <c r="A19" s="3" t="s">
        <v>213</v>
      </c>
      <c r="B19" s="46"/>
      <c r="C19" s="46"/>
      <c r="D19" s="46"/>
    </row>
    <row r="20" spans="1:5" s="39" customFormat="1" x14ac:dyDescent="0.35">
      <c r="A20" s="3" t="s">
        <v>214</v>
      </c>
      <c r="B20" s="46"/>
      <c r="C20" s="46"/>
      <c r="D20" s="46"/>
    </row>
    <row r="21" spans="1:5" s="39" customFormat="1" x14ac:dyDescent="0.35">
      <c r="A21" s="3"/>
      <c r="B21" s="46"/>
      <c r="C21" s="46"/>
      <c r="D21" s="46"/>
    </row>
    <row r="23" spans="1:5" x14ac:dyDescent="0.35">
      <c r="A23" s="3"/>
      <c r="D23" s="174"/>
    </row>
    <row r="24" spans="1:5" x14ac:dyDescent="0.35">
      <c r="D24" s="174"/>
    </row>
    <row r="25" spans="1:5" x14ac:dyDescent="0.35">
      <c r="B25" s="70"/>
      <c r="D25" s="174"/>
    </row>
    <row r="26" spans="1:5" x14ac:dyDescent="0.35">
      <c r="A26" s="195"/>
      <c r="B26" s="196"/>
      <c r="D26" s="174"/>
    </row>
    <row r="27" spans="1:5" x14ac:dyDescent="0.35">
      <c r="A27" s="195"/>
      <c r="B27" s="196"/>
      <c r="D27" s="174"/>
    </row>
    <row r="28" spans="1:5" x14ac:dyDescent="0.35">
      <c r="A28" s="195"/>
      <c r="B28" s="196"/>
      <c r="D28" s="174"/>
    </row>
    <row r="29" spans="1:5" x14ac:dyDescent="0.35">
      <c r="A29" s="195"/>
      <c r="B29" s="196"/>
      <c r="D29" s="174"/>
      <c r="E29" s="244"/>
    </row>
    <row r="30" spans="1:5" x14ac:dyDescent="0.35">
      <c r="A30" s="195"/>
      <c r="B30" s="175"/>
      <c r="D30" s="174"/>
    </row>
    <row r="31" spans="1:5" x14ac:dyDescent="0.35">
      <c r="A31" s="195"/>
      <c r="B31" s="175"/>
      <c r="D31" s="174"/>
    </row>
    <row r="32" spans="1:5" ht="16" x14ac:dyDescent="0.5">
      <c r="A32" s="195"/>
      <c r="B32" s="175"/>
      <c r="D32" s="197"/>
    </row>
    <row r="33" spans="1:4" x14ac:dyDescent="0.35">
      <c r="A33" s="195"/>
      <c r="D33" s="174"/>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G50"/>
  <sheetViews>
    <sheetView tabSelected="1" zoomScale="90" zoomScaleNormal="90" workbookViewId="0"/>
  </sheetViews>
  <sheetFormatPr defaultRowHeight="14.5" outlineLevelCol="1" x14ac:dyDescent="0.35"/>
  <cols>
    <col min="2" max="2" width="25.1796875" customWidth="1"/>
    <col min="3" max="4" width="16.7265625" bestFit="1" customWidth="1"/>
    <col min="5" max="5" width="15.453125" bestFit="1" customWidth="1"/>
    <col min="6" max="6" width="14.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2" width="13.7265625" bestFit="1" customWidth="1"/>
    <col min="13" max="13" width="14.26953125" bestFit="1" customWidth="1"/>
    <col min="14" max="14" width="12.26953125" bestFit="1" customWidth="1"/>
    <col min="15" max="16" width="16" bestFit="1" customWidth="1" outlineLevel="1"/>
    <col min="17" max="17" width="16" style="46" customWidth="1" outlineLevel="1"/>
    <col min="18" max="18" width="9.1796875" customWidth="1" outlineLevel="1"/>
    <col min="19" max="20" width="16.7265625" bestFit="1" customWidth="1" outlineLevel="1"/>
    <col min="21" max="21" width="16.7265625" style="46" bestFit="1" customWidth="1" outlineLevel="1"/>
    <col min="22" max="22" width="16.7265625" bestFit="1" customWidth="1" outlineLevel="1"/>
    <col min="23" max="23" width="9.1796875" customWidth="1" outlineLevel="1"/>
    <col min="24" max="27" width="16.7265625" bestFit="1" customWidth="1" outlineLevel="1"/>
    <col min="28" max="28" width="12.81640625" bestFit="1" customWidth="1"/>
    <col min="29" max="32" width="16.7265625" customWidth="1"/>
    <col min="33" max="33" width="12.81640625" bestFit="1" customWidth="1"/>
  </cols>
  <sheetData>
    <row r="1" spans="1:33" x14ac:dyDescent="0.35">
      <c r="A1" s="3" t="str">
        <f>+'PPC Cycle 3'!A1</f>
        <v>Evergy Missouri West, Inc. - DSIM Rider Update Filed 12/01/2024</v>
      </c>
    </row>
    <row r="2" spans="1:33" ht="15" thickBot="1" x14ac:dyDescent="0.4">
      <c r="H2" s="46"/>
      <c r="I2" s="46"/>
      <c r="J2" s="48"/>
      <c r="K2" s="48"/>
    </row>
    <row r="3" spans="1:33" ht="27.5" thickBot="1" x14ac:dyDescent="0.4">
      <c r="B3" s="86" t="s">
        <v>7</v>
      </c>
      <c r="C3" s="123" t="s">
        <v>19</v>
      </c>
      <c r="D3" s="123" t="s">
        <v>20</v>
      </c>
      <c r="E3" s="123" t="s">
        <v>56</v>
      </c>
      <c r="F3" s="123" t="s">
        <v>21</v>
      </c>
      <c r="G3" s="123" t="s">
        <v>37</v>
      </c>
      <c r="H3" s="88" t="s">
        <v>28</v>
      </c>
      <c r="I3" s="39"/>
      <c r="J3" s="87" t="s">
        <v>13</v>
      </c>
      <c r="K3" s="88" t="s">
        <v>55</v>
      </c>
      <c r="L3" s="88" t="s">
        <v>70</v>
      </c>
      <c r="M3" s="88" t="s">
        <v>71</v>
      </c>
      <c r="N3" s="286" t="s">
        <v>220</v>
      </c>
      <c r="O3" s="17"/>
    </row>
    <row r="4" spans="1:33" ht="15" thickBot="1" x14ac:dyDescent="0.4">
      <c r="B4" s="89" t="s">
        <v>24</v>
      </c>
      <c r="C4" s="121">
        <f t="shared" ref="C4:F7" si="0">C12+C20</f>
        <v>8233916.8723200001</v>
      </c>
      <c r="D4" s="122">
        <f t="shared" si="0"/>
        <v>460758.70999999996</v>
      </c>
      <c r="E4" s="122">
        <f t="shared" si="0"/>
        <v>1399389.4878199999</v>
      </c>
      <c r="F4" s="122">
        <f t="shared" si="0"/>
        <v>-423520.11999999988</v>
      </c>
      <c r="G4" s="283">
        <f>+'PPC Cycle 3'!B5</f>
        <v>3746590857</v>
      </c>
      <c r="H4" s="257">
        <f>ROUND(SUM(C4:F4)/G4,5)</f>
        <v>2.5799999999999998E-3</v>
      </c>
      <c r="I4" s="258"/>
      <c r="J4" s="230">
        <f>ROUND((C12+C20)/G4,5)</f>
        <v>2.2000000000000001E-3</v>
      </c>
      <c r="K4" s="265">
        <f>ROUND((D12+D20)/G4,5)</f>
        <v>1.2E-4</v>
      </c>
      <c r="L4" s="125">
        <f>ROUND((E12+E20)/G4,5)</f>
        <v>3.6999999999999999E-4</v>
      </c>
      <c r="M4" s="125">
        <f>ROUND((F12+F20)/G4,5)</f>
        <v>-1.1E-4</v>
      </c>
      <c r="N4" s="285">
        <f>+H4-SUM(J4:M4)</f>
        <v>0</v>
      </c>
      <c r="O4" s="241"/>
      <c r="P4" s="241"/>
      <c r="Q4" s="241"/>
      <c r="R4" s="241"/>
      <c r="S4" s="241"/>
    </row>
    <row r="5" spans="1:33" ht="15" thickBot="1" x14ac:dyDescent="0.4">
      <c r="B5" s="89" t="s">
        <v>105</v>
      </c>
      <c r="C5" s="121">
        <f t="shared" si="0"/>
        <v>2673621.29</v>
      </c>
      <c r="D5" s="122">
        <f t="shared" si="0"/>
        <v>329913.7799999998</v>
      </c>
      <c r="E5" s="122">
        <f t="shared" si="0"/>
        <v>288120.15999999997</v>
      </c>
      <c r="F5" s="122">
        <f t="shared" si="0"/>
        <v>-126058.58</v>
      </c>
      <c r="G5" s="283">
        <f>+'PPC Cycle 3'!B6</f>
        <v>1216480640</v>
      </c>
      <c r="H5" s="257">
        <f>ROUND(SUM(C5:F5)/G5,5)</f>
        <v>2.5999999999999999E-3</v>
      </c>
      <c r="I5" s="258"/>
      <c r="J5" s="348">
        <f>ROUND((C13+C21)/G5,5)-0.00001</f>
        <v>2.1900000000000001E-3</v>
      </c>
      <c r="K5" s="265">
        <f>ROUND((D13+D21)/G5,5)</f>
        <v>2.7E-4</v>
      </c>
      <c r="L5" s="125">
        <f>ROUND((E13+E21)/G5,5)</f>
        <v>2.4000000000000001E-4</v>
      </c>
      <c r="M5" s="125">
        <f>ROUND((F13+F21)/G5,5)</f>
        <v>-1E-4</v>
      </c>
      <c r="N5" s="285">
        <f t="shared" ref="N5:N7" si="1">+H5-SUM(J5:M5)</f>
        <v>0</v>
      </c>
      <c r="O5" s="241">
        <f>C5/SUM(C$5:C$7)</f>
        <v>0.31026511357963837</v>
      </c>
      <c r="P5" s="241">
        <f t="shared" ref="P5:Q5" si="2">D5/SUM(D$5:D$7)</f>
        <v>0.48064617476476945</v>
      </c>
      <c r="Q5" s="241">
        <f t="shared" si="2"/>
        <v>0.27133944345873778</v>
      </c>
      <c r="R5" s="241">
        <f>F5/SUM(F$5:F$7)</f>
        <v>0.37508603257131923</v>
      </c>
      <c r="S5" s="241">
        <f>G5/SUM(G$5:G$7)</f>
        <v>0.41515230429213457</v>
      </c>
    </row>
    <row r="6" spans="1:33" s="46" customFormat="1" ht="15" thickBot="1" x14ac:dyDescent="0.4">
      <c r="B6" s="89" t="s">
        <v>106</v>
      </c>
      <c r="C6" s="121">
        <f t="shared" si="0"/>
        <v>3041955.8099999987</v>
      </c>
      <c r="D6" s="122">
        <f t="shared" si="0"/>
        <v>291644.67000000004</v>
      </c>
      <c r="E6" s="122">
        <f t="shared" si="0"/>
        <v>458008.14000000007</v>
      </c>
      <c r="F6" s="122">
        <f t="shared" si="0"/>
        <v>-120989</v>
      </c>
      <c r="G6" s="283">
        <f>+'PPC Cycle 3'!B7</f>
        <v>1031903974</v>
      </c>
      <c r="H6" s="257">
        <f>ROUND(SUM(C6:F6)/G6,5)</f>
        <v>3.5599999999999998E-3</v>
      </c>
      <c r="I6" s="258"/>
      <c r="J6" s="348">
        <f>ROUND((C14+C22)/G6,5)+0.00001</f>
        <v>2.96E-3</v>
      </c>
      <c r="K6" s="265">
        <f>ROUND((D14+D22)/G6,5)</f>
        <v>2.7999999999999998E-4</v>
      </c>
      <c r="L6" s="125">
        <f>ROUND((E14+E22)/G6,5)</f>
        <v>4.4000000000000002E-4</v>
      </c>
      <c r="M6" s="125">
        <f>ROUND((F14+F22)/G6,5)</f>
        <v>-1.2E-4</v>
      </c>
      <c r="N6" s="285">
        <f t="shared" si="1"/>
        <v>0</v>
      </c>
      <c r="O6" s="241">
        <f t="shared" ref="O6:O7" si="3">C6/SUM(C$5:C$7)</f>
        <v>0.3530091447221721</v>
      </c>
      <c r="P6" s="241">
        <f t="shared" ref="P6:P7" si="4">D6/SUM(D$5:D$7)</f>
        <v>0.42489251290453411</v>
      </c>
      <c r="Q6" s="241">
        <f t="shared" ref="Q6:Q7" si="5">E6/SUM(E$5:E$7)</f>
        <v>0.43133279464780144</v>
      </c>
      <c r="R6" s="241">
        <f>F6/SUM(F$5:F$7)</f>
        <v>0.36000154844494792</v>
      </c>
      <c r="S6" s="241">
        <f t="shared" ref="S6:S7" si="6">G6/SUM(G$5:G$7)</f>
        <v>0.35216122519986087</v>
      </c>
    </row>
    <row r="7" spans="1:33" s="46" customFormat="1" ht="15" thickBot="1" x14ac:dyDescent="0.4">
      <c r="B7" s="89" t="s">
        <v>107</v>
      </c>
      <c r="C7" s="121">
        <f t="shared" si="0"/>
        <v>2901638.2200000011</v>
      </c>
      <c r="D7" s="122">
        <f t="shared" si="0"/>
        <v>64837.900000000009</v>
      </c>
      <c r="E7" s="122">
        <f t="shared" si="0"/>
        <v>315715.69999999995</v>
      </c>
      <c r="F7" s="122">
        <f t="shared" si="0"/>
        <v>-89031.530000000013</v>
      </c>
      <c r="G7" s="283">
        <f>+'PPC Cycle 3'!B8</f>
        <v>681818657</v>
      </c>
      <c r="H7" s="257">
        <f>ROUND(SUM(C7:F7)/G7,5)</f>
        <v>4.6800000000000001E-3</v>
      </c>
      <c r="I7" s="258"/>
      <c r="J7" s="348">
        <f>ROUND((C15+C23)/G7,5)-0.00001</f>
        <v>4.2500000000000003E-3</v>
      </c>
      <c r="K7" s="265">
        <f>ROUND((D15+D23)/G7,5)</f>
        <v>1E-4</v>
      </c>
      <c r="L7" s="125">
        <f>ROUND((E15+E23)/G7,5)</f>
        <v>4.6000000000000001E-4</v>
      </c>
      <c r="M7" s="125">
        <f>ROUND((F15+F23)/G7,5)</f>
        <v>-1.2999999999999999E-4</v>
      </c>
      <c r="N7" s="285">
        <f t="shared" si="1"/>
        <v>0</v>
      </c>
      <c r="O7" s="241">
        <f t="shared" si="3"/>
        <v>0.33672574169818947</v>
      </c>
      <c r="P7" s="241">
        <f t="shared" si="4"/>
        <v>9.4461312330696434E-2</v>
      </c>
      <c r="Q7" s="241">
        <f t="shared" si="5"/>
        <v>0.29732776189346077</v>
      </c>
      <c r="R7" s="241">
        <f>F7/SUM(F$5:F$7)</f>
        <v>0.26491241898373274</v>
      </c>
      <c r="S7" s="241">
        <f t="shared" si="6"/>
        <v>0.23268647050800456</v>
      </c>
    </row>
    <row r="8" spans="1:33" x14ac:dyDescent="0.35">
      <c r="C8" s="120"/>
      <c r="D8" s="120"/>
      <c r="E8" s="120"/>
      <c r="F8" s="120"/>
      <c r="G8" s="119"/>
      <c r="H8" s="259"/>
      <c r="I8" s="259"/>
      <c r="J8" s="259"/>
    </row>
    <row r="9" spans="1:33" x14ac:dyDescent="0.35">
      <c r="C9" s="120"/>
      <c r="D9" s="120"/>
      <c r="E9" s="120"/>
      <c r="F9" s="120"/>
      <c r="G9" s="119"/>
      <c r="H9" s="46"/>
      <c r="I9" s="46"/>
      <c r="J9" s="17"/>
      <c r="K9" s="17"/>
      <c r="L9" s="46"/>
      <c r="M9" s="46"/>
    </row>
    <row r="10" spans="1:33" ht="15" thickBot="1" x14ac:dyDescent="0.4">
      <c r="C10" s="120"/>
      <c r="D10" s="120"/>
      <c r="E10" s="120"/>
      <c r="F10" s="120"/>
      <c r="G10" s="119"/>
      <c r="H10" s="46"/>
      <c r="I10" s="46"/>
      <c r="J10" s="17"/>
      <c r="K10" s="17"/>
      <c r="L10" s="46"/>
      <c r="M10" s="46"/>
    </row>
    <row r="11" spans="1:33" ht="15" thickBot="1" x14ac:dyDescent="0.4">
      <c r="B11" s="86" t="s">
        <v>7</v>
      </c>
      <c r="C11" s="124" t="s">
        <v>6</v>
      </c>
      <c r="D11" s="124" t="s">
        <v>16</v>
      </c>
      <c r="E11" s="124" t="s">
        <v>57</v>
      </c>
      <c r="F11" s="124" t="s">
        <v>17</v>
      </c>
      <c r="G11" s="119"/>
      <c r="H11" s="46"/>
      <c r="I11" s="46"/>
      <c r="J11" s="17"/>
      <c r="K11" s="17"/>
      <c r="L11" s="46"/>
      <c r="M11" s="46"/>
      <c r="O11" s="124" t="s">
        <v>72</v>
      </c>
      <c r="P11" s="124" t="s">
        <v>73</v>
      </c>
      <c r="Q11" s="124" t="s">
        <v>80</v>
      </c>
      <c r="R11" s="46"/>
      <c r="S11" s="124" t="s">
        <v>74</v>
      </c>
      <c r="T11" s="124" t="s">
        <v>75</v>
      </c>
      <c r="U11" s="124" t="s">
        <v>101</v>
      </c>
      <c r="V11" s="124" t="s">
        <v>91</v>
      </c>
      <c r="X11" s="124" t="s">
        <v>112</v>
      </c>
      <c r="Y11" s="124" t="s">
        <v>113</v>
      </c>
      <c r="Z11" s="124" t="s">
        <v>114</v>
      </c>
      <c r="AA11" s="124" t="s">
        <v>115</v>
      </c>
      <c r="AC11" s="124" t="s">
        <v>234</v>
      </c>
      <c r="AD11" s="124" t="s">
        <v>235</v>
      </c>
      <c r="AE11" s="124" t="s">
        <v>236</v>
      </c>
      <c r="AF11" s="124" t="s">
        <v>237</v>
      </c>
      <c r="AG11" s="46"/>
    </row>
    <row r="12" spans="1:33" ht="15" thickBot="1" x14ac:dyDescent="0.4">
      <c r="B12" s="89" t="s">
        <v>24</v>
      </c>
      <c r="C12" s="284">
        <f>+'PPC Cycle 3'!C5+'PPC Cycle 4'!C5</f>
        <v>5789470.1200000001</v>
      </c>
      <c r="D12" s="284">
        <f>'PTD Cycle 2'!C6+'PTD Cycle 3'!C6+'PTD Cycle 4'!C6</f>
        <v>377278.62</v>
      </c>
      <c r="E12" s="284">
        <f>+'EO Cycle 2'!G7+'EO Cycle 3'!G8+'EO Cycle 4'!G8</f>
        <v>871943.83000000007</v>
      </c>
      <c r="F12" s="284">
        <f>+'OA Cycle 3'!F9</f>
        <v>0</v>
      </c>
      <c r="G12" s="119"/>
      <c r="H12" s="46"/>
      <c r="I12" s="46"/>
      <c r="J12" s="46"/>
      <c r="K12" s="46"/>
      <c r="L12" s="46"/>
      <c r="M12" s="46"/>
      <c r="O12" s="287">
        <v>0</v>
      </c>
      <c r="P12" s="287">
        <v>0</v>
      </c>
      <c r="Q12" s="288">
        <v>0</v>
      </c>
      <c r="R12" s="146"/>
      <c r="S12" s="289">
        <v>0</v>
      </c>
      <c r="T12" s="290">
        <f>ROUND(+'PTD Cycle 2'!C6/'Tariff Tables'!G4,5)</f>
        <v>0</v>
      </c>
      <c r="U12" s="290">
        <f>ROUND('EO Cycle 2'!G7/'Tariff Tables'!G4,5)</f>
        <v>0</v>
      </c>
      <c r="V12" s="290">
        <f>ROUND(0/'Tariff Tables'!G4,5)</f>
        <v>0</v>
      </c>
      <c r="X12" s="290">
        <f>ROUND('PPC Cycle 3'!C5/'Tariff Tables'!$G4,5)</f>
        <v>4.0000000000000003E-5</v>
      </c>
      <c r="Y12" s="290">
        <f>ROUND('PTD Cycle 3'!C6/'Tariff Tables'!G4,5)</f>
        <v>6.0000000000000002E-5</v>
      </c>
      <c r="Z12" s="290">
        <f>ROUND('EO Cycle 3'!G8/'Tariff Tables'!G4,5)</f>
        <v>2.3000000000000001E-4</v>
      </c>
      <c r="AA12" s="290">
        <f>ROUND('OA Cycle 3'!F9/'Tariff Tables'!G4,5)</f>
        <v>0</v>
      </c>
      <c r="AB12" s="146"/>
      <c r="AC12" s="290">
        <f>ROUND('PPC Cycle 4'!C5/'Tariff Tables'!$G4,5)</f>
        <v>1.5100000000000001E-3</v>
      </c>
      <c r="AD12" s="290">
        <f>ROUND('PTD Cycle 4'!C6/'Tariff Tables'!G4,5)</f>
        <v>4.0000000000000003E-5</v>
      </c>
      <c r="AE12" s="290">
        <f>ROUND('EO Cycle 4'!G8/'Tariff Tables'!G4,5)</f>
        <v>0</v>
      </c>
      <c r="AF12" s="290"/>
      <c r="AG12" s="146">
        <f ca="1">SUM($O12:OFFSET(AG12,0,-1),$O20:OFFSET(AG20,0,-1))</f>
        <v>2.5800000000000003E-3</v>
      </c>
    </row>
    <row r="13" spans="1:33" ht="15" thickBot="1" x14ac:dyDescent="0.4">
      <c r="B13" s="89" t="s">
        <v>105</v>
      </c>
      <c r="C13" s="284">
        <f>+'PPC Cycle 3'!C6+'PPC Cycle 4'!C6</f>
        <v>1269836.8800000001</v>
      </c>
      <c r="D13" s="284">
        <f>'PTD Cycle 2'!C7+'PTD Cycle 3'!C7+'PTD Cycle 4'!C7</f>
        <v>336405.85999999993</v>
      </c>
      <c r="E13" s="284">
        <f>+'EO Cycle 2'!G11+'EO Cycle 3'!G12+'EO Cycle 4'!G12</f>
        <v>208271.04</v>
      </c>
      <c r="F13" s="284">
        <f>+'OA Cycle 3'!F14</f>
        <v>0</v>
      </c>
      <c r="G13" s="119"/>
      <c r="H13" s="46"/>
      <c r="I13" s="46"/>
      <c r="J13" s="46"/>
      <c r="K13" s="46"/>
      <c r="L13" s="46"/>
      <c r="M13" s="46"/>
      <c r="O13" s="287">
        <v>0</v>
      </c>
      <c r="P13" s="287">
        <v>0</v>
      </c>
      <c r="Q13" s="288">
        <v>0</v>
      </c>
      <c r="R13" s="146"/>
      <c r="S13" s="289">
        <v>0</v>
      </c>
      <c r="T13" s="291">
        <f>ROUND(+'PTD Cycle 2'!C10/'Tariff Tables'!G5,5)</f>
        <v>0</v>
      </c>
      <c r="U13" s="292">
        <f>ROUND('EO Cycle 2'!G11/'Tariff Tables'!G5,5)</f>
        <v>0</v>
      </c>
      <c r="V13" s="291">
        <f>ROUND('OA Cycle 2'!B13/'Tariff Tables'!G5,5)</f>
        <v>0</v>
      </c>
      <c r="X13" s="290">
        <f>ROUND('PPC Cycle 3'!C6/'Tariff Tables'!$G5,5)</f>
        <v>4.0000000000000003E-5</v>
      </c>
      <c r="Y13" s="290">
        <f>ROUND('PTD Cycle 3'!C7/'Tariff Tables'!G5,5)</f>
        <v>2.7E-4</v>
      </c>
      <c r="Z13" s="290">
        <f>ROUND('EO Cycle 3'!G12/'Tariff Tables'!G5,5)</f>
        <v>1.7000000000000001E-4</v>
      </c>
      <c r="AA13" s="290">
        <f>ROUND(0/'Tariff Tables'!G5,5)</f>
        <v>0</v>
      </c>
      <c r="AB13" s="146"/>
      <c r="AC13" s="290">
        <f>ROUND('PPC Cycle 4'!C6/'Tariff Tables'!$G5,5)</f>
        <v>1E-3</v>
      </c>
      <c r="AD13" s="290">
        <f>ROUND('PTD Cycle 4'!C7/'Tariff Tables'!G5,5)</f>
        <v>1.0000000000000001E-5</v>
      </c>
      <c r="AE13" s="290">
        <f>ROUND('EO Cycle 4'!G12/'Tariff Tables'!G5,5)</f>
        <v>0</v>
      </c>
      <c r="AF13" s="290"/>
      <c r="AG13" s="146">
        <f ca="1">SUM($O13:OFFSET(AG13,0,-1),$O21:OFFSET(AG21,0,-1))</f>
        <v>2.6000000000000003E-3</v>
      </c>
    </row>
    <row r="14" spans="1:33" s="46" customFormat="1" ht="15" thickBot="1" x14ac:dyDescent="0.4">
      <c r="B14" s="89" t="s">
        <v>106</v>
      </c>
      <c r="C14" s="284">
        <f>+'PPC Cycle 3'!C7+'PPC Cycle 4'!C7</f>
        <v>2505576.8599999994</v>
      </c>
      <c r="D14" s="284">
        <f>'PTD Cycle 2'!C8+'PTD Cycle 3'!C8+'PTD Cycle 4'!C8</f>
        <v>217292.75999999998</v>
      </c>
      <c r="E14" s="284">
        <f>+'EO Cycle 2'!G12+'EO Cycle 3'!G13+'EO Cycle 4'!G13</f>
        <v>248586.27000000002</v>
      </c>
      <c r="F14" s="284">
        <f>+'OA Cycle 3'!F15</f>
        <v>0</v>
      </c>
      <c r="G14" s="119"/>
      <c r="O14" s="287">
        <v>0</v>
      </c>
      <c r="P14" s="287">
        <v>0</v>
      </c>
      <c r="Q14" s="288">
        <v>0</v>
      </c>
      <c r="R14" s="219"/>
      <c r="S14" s="289">
        <v>0</v>
      </c>
      <c r="T14" s="291">
        <f>ROUND(+'PTD Cycle 2'!C11/'Tariff Tables'!G6,5)</f>
        <v>0</v>
      </c>
      <c r="U14" s="292">
        <f>ROUND('EO Cycle 2'!G12/'Tariff Tables'!G6,5)</f>
        <v>0</v>
      </c>
      <c r="V14" s="291">
        <f>ROUND('OA Cycle 2'!B14/'Tariff Tables'!G6,5)</f>
        <v>0</v>
      </c>
      <c r="X14" s="290">
        <f>ROUND('PPC Cycle 3'!C7/'Tariff Tables'!$G6,5)</f>
        <v>5.0000000000000002E-5</v>
      </c>
      <c r="Y14" s="290">
        <f>ROUND('PTD Cycle 3'!C8/'Tariff Tables'!G6,5)</f>
        <v>2.0000000000000001E-4</v>
      </c>
      <c r="Z14" s="290">
        <f>ROUND('EO Cycle 3'!G13/'Tariff Tables'!G6,5)</f>
        <v>2.4000000000000001E-4</v>
      </c>
      <c r="AA14" s="290">
        <f>ROUND(0/'Tariff Tables'!G6,5)</f>
        <v>0</v>
      </c>
      <c r="AB14" s="146"/>
      <c r="AC14" s="290">
        <f>ROUND('PPC Cycle 4'!C7/'Tariff Tables'!$G6,5)</f>
        <v>2.3800000000000002E-3</v>
      </c>
      <c r="AD14" s="290">
        <f>ROUND('PTD Cycle 4'!C8/'Tariff Tables'!G6,5)</f>
        <v>1.0000000000000001E-5</v>
      </c>
      <c r="AE14" s="290">
        <f>ROUND('EO Cycle 4'!G13/'Tariff Tables'!G6,5)</f>
        <v>0</v>
      </c>
      <c r="AF14" s="290"/>
      <c r="AG14" s="146">
        <f ca="1">SUM($O14:OFFSET(AG14,0,-1),$O22:OFFSET(AG22,0,-1))</f>
        <v>3.5600000000000007E-3</v>
      </c>
    </row>
    <row r="15" spans="1:33" s="46" customFormat="1" ht="15" thickBot="1" x14ac:dyDescent="0.4">
      <c r="B15" s="89" t="s">
        <v>107</v>
      </c>
      <c r="C15" s="284">
        <f>+'PPC Cycle 3'!C8+'PPC Cycle 4'!C8</f>
        <v>2899545.6300000004</v>
      </c>
      <c r="D15" s="284">
        <f>'PTD Cycle 2'!C9+'PTD Cycle 3'!C9+'PTD Cycle 4'!C9</f>
        <v>41873.87999999999</v>
      </c>
      <c r="E15" s="284">
        <f>+'EO Cycle 2'!G13+'EO Cycle 3'!G14+'EO Cycle 4'!G14</f>
        <v>191723.99000000002</v>
      </c>
      <c r="F15" s="284">
        <f>+'OA Cycle 3'!F16</f>
        <v>0</v>
      </c>
      <c r="G15" s="119"/>
      <c r="O15" s="287">
        <v>0</v>
      </c>
      <c r="P15" s="287">
        <v>0</v>
      </c>
      <c r="Q15" s="288">
        <v>0</v>
      </c>
      <c r="R15" s="219"/>
      <c r="S15" s="289">
        <v>0</v>
      </c>
      <c r="T15" s="291">
        <f>ROUND(+'PTD Cycle 2'!C12/'Tariff Tables'!G7,5)</f>
        <v>0</v>
      </c>
      <c r="U15" s="292">
        <f>ROUND('EO Cycle 2'!G13/'Tariff Tables'!G7,5)</f>
        <v>0</v>
      </c>
      <c r="V15" s="291">
        <f>ROUND('OA Cycle 2'!B15/'Tariff Tables'!G7,5)</f>
        <v>0</v>
      </c>
      <c r="X15" s="290">
        <f>ROUND('PPC Cycle 3'!C8/'Tariff Tables'!$G7,5)</f>
        <v>6.0000000000000002E-5</v>
      </c>
      <c r="Y15" s="290">
        <f>ROUND('PTD Cycle 3'!C9/'Tariff Tables'!G7,5)</f>
        <v>5.0000000000000002E-5</v>
      </c>
      <c r="Z15" s="290">
        <f>ROUND('EO Cycle 3'!G14/'Tariff Tables'!G7,5)</f>
        <v>2.7999999999999998E-4</v>
      </c>
      <c r="AA15" s="290">
        <f>ROUND(0/'Tariff Tables'!G7,5)</f>
        <v>0</v>
      </c>
      <c r="AB15" s="146"/>
      <c r="AC15" s="290">
        <f>ROUND('PPC Cycle 4'!C8/'Tariff Tables'!$G7,5)</f>
        <v>4.1999999999999997E-3</v>
      </c>
      <c r="AD15" s="290">
        <f>ROUND('PTD Cycle 4'!C9/'Tariff Tables'!G7,5)</f>
        <v>1.0000000000000001E-5</v>
      </c>
      <c r="AE15" s="290">
        <f>ROUND('EO Cycle 4'!G14/'Tariff Tables'!G7,5)</f>
        <v>0</v>
      </c>
      <c r="AF15" s="290"/>
      <c r="AG15" s="146">
        <f ca="1">SUM($O15:OFFSET(AG15,0,-1),$O23:OFFSET(AG23,0,-1))</f>
        <v>4.6799999999999975E-3</v>
      </c>
    </row>
    <row r="16" spans="1:33" x14ac:dyDescent="0.35">
      <c r="C16" s="119"/>
      <c r="D16" s="119"/>
      <c r="E16" s="119"/>
      <c r="F16" s="119"/>
      <c r="G16" s="119"/>
      <c r="J16" s="17"/>
      <c r="K16" s="17"/>
      <c r="O16" s="169"/>
      <c r="P16" s="169"/>
      <c r="Q16" s="220"/>
      <c r="R16" s="219"/>
      <c r="S16" s="219"/>
      <c r="T16" s="219"/>
      <c r="U16" s="219"/>
      <c r="V16" s="146"/>
      <c r="X16" s="219"/>
      <c r="Y16" s="219"/>
      <c r="Z16" s="219"/>
      <c r="AA16" s="219"/>
      <c r="AC16" s="219"/>
      <c r="AD16" s="219"/>
      <c r="AE16" s="219"/>
      <c r="AF16" s="219"/>
      <c r="AG16" s="46"/>
    </row>
    <row r="17" spans="2:33" x14ac:dyDescent="0.35">
      <c r="C17" s="120"/>
      <c r="D17" s="120"/>
      <c r="E17" s="120"/>
      <c r="F17" s="120"/>
      <c r="G17" s="119"/>
      <c r="J17" s="17"/>
      <c r="K17" s="17"/>
      <c r="O17" s="169"/>
      <c r="P17" s="169"/>
      <c r="Q17" s="220"/>
      <c r="R17" s="219"/>
      <c r="S17" s="219"/>
      <c r="T17" s="219"/>
      <c r="U17" s="219"/>
      <c r="V17" s="146"/>
      <c r="X17" s="219"/>
      <c r="Y17" s="219"/>
      <c r="Z17" s="219"/>
      <c r="AA17" s="219"/>
      <c r="AC17" s="219"/>
      <c r="AD17" s="219"/>
      <c r="AE17" s="219"/>
      <c r="AF17" s="219"/>
      <c r="AG17" s="46"/>
    </row>
    <row r="18" spans="2:33" ht="15" thickBot="1" x14ac:dyDescent="0.4">
      <c r="C18" s="120"/>
      <c r="D18" s="120"/>
      <c r="E18" s="120"/>
      <c r="F18" s="120"/>
      <c r="G18" s="119"/>
      <c r="J18" s="17"/>
      <c r="K18" s="17"/>
      <c r="O18" s="169"/>
      <c r="P18" s="169"/>
      <c r="Q18" s="220"/>
      <c r="R18" s="219"/>
      <c r="S18" s="219"/>
      <c r="T18" s="219"/>
      <c r="U18" s="219"/>
      <c r="V18" s="219"/>
      <c r="W18" s="259"/>
      <c r="X18" s="219"/>
      <c r="Y18" s="219"/>
      <c r="Z18" s="219"/>
      <c r="AA18" s="219"/>
      <c r="AC18" s="219"/>
      <c r="AD18" s="219"/>
      <c r="AE18" s="219"/>
      <c r="AF18" s="219"/>
      <c r="AG18" s="46"/>
    </row>
    <row r="19" spans="2:33" ht="15" thickBot="1" x14ac:dyDescent="0.4">
      <c r="B19" s="86" t="s">
        <v>7</v>
      </c>
      <c r="C19" s="124" t="s">
        <v>4</v>
      </c>
      <c r="D19" s="124" t="s">
        <v>9</v>
      </c>
      <c r="E19" s="124" t="s">
        <v>58</v>
      </c>
      <c r="F19" s="124" t="s">
        <v>18</v>
      </c>
      <c r="G19" s="119"/>
      <c r="O19" s="170" t="s">
        <v>76</v>
      </c>
      <c r="P19" s="170" t="s">
        <v>77</v>
      </c>
      <c r="Q19" s="221" t="s">
        <v>81</v>
      </c>
      <c r="R19" s="219"/>
      <c r="S19" s="222" t="s">
        <v>78</v>
      </c>
      <c r="T19" s="222" t="s">
        <v>79</v>
      </c>
      <c r="U19" s="221" t="s">
        <v>104</v>
      </c>
      <c r="V19" s="222" t="s">
        <v>92</v>
      </c>
      <c r="W19" s="259"/>
      <c r="X19" s="222" t="s">
        <v>116</v>
      </c>
      <c r="Y19" s="222" t="s">
        <v>117</v>
      </c>
      <c r="Z19" s="221" t="s">
        <v>118</v>
      </c>
      <c r="AA19" s="222" t="s">
        <v>119</v>
      </c>
      <c r="AC19" s="222" t="s">
        <v>238</v>
      </c>
      <c r="AD19" s="222" t="s">
        <v>239</v>
      </c>
      <c r="AE19" s="221" t="s">
        <v>240</v>
      </c>
      <c r="AF19" s="222" t="s">
        <v>241</v>
      </c>
      <c r="AG19" s="46"/>
    </row>
    <row r="20" spans="2:33" ht="15" thickBot="1" x14ac:dyDescent="0.4">
      <c r="B20" s="89" t="s">
        <v>24</v>
      </c>
      <c r="C20" s="284">
        <f>+'PCR Cycle 4'!K4+'PCR Cycle 3'!K4+'PCR Cycle 2'!J4</f>
        <v>2444446.7523199995</v>
      </c>
      <c r="D20" s="284">
        <f>'TDR Cycle 3'!K4+'TDR Cycle 2'!K4</f>
        <v>83480.089999999982</v>
      </c>
      <c r="E20" s="284">
        <f>+'EOR Cycle 2'!I4+'EOR Cycle 3'!J4</f>
        <v>527445.65781999985</v>
      </c>
      <c r="F20" s="284">
        <f>+'OAR Cycle 2'!I4+'OAR Cycle 3'!I4</f>
        <v>-423520.11999999988</v>
      </c>
      <c r="G20" s="119"/>
      <c r="O20" s="287">
        <v>0</v>
      </c>
      <c r="P20" s="287">
        <v>0</v>
      </c>
      <c r="Q20" s="287">
        <v>0</v>
      </c>
      <c r="R20" s="219"/>
      <c r="S20" s="290">
        <f>ROUND(+'PCR Cycle 2'!J4/'Tariff Tables'!G4,5)</f>
        <v>0</v>
      </c>
      <c r="T20" s="290">
        <f>ROUND(+'TDR Cycle 2'!K4/'Tariff Tables'!G4,5)</f>
        <v>2.0000000000000002E-5</v>
      </c>
      <c r="U20" s="290">
        <f>ROUND('EOR Cycle 2'!I4/'Tariff Tables'!G4,5)</f>
        <v>-1.0000000000000001E-5</v>
      </c>
      <c r="V20" s="290">
        <f>ROUND('OAR Cycle 2'!I4/'Tariff Tables'!G4,5)</f>
        <v>0</v>
      </c>
      <c r="W20" s="259"/>
      <c r="X20" s="347">
        <f>ROUND('PCR Cycle 3'!K4/'Tariff Tables'!G4,5)-0.00001</f>
        <v>6.3999999999999994E-4</v>
      </c>
      <c r="Y20" s="290">
        <f>ROUND('TDR Cycle 3'!K4/'Tariff Tables'!G4,5)</f>
        <v>0</v>
      </c>
      <c r="Z20" s="290">
        <f>ROUND('EOR Cycle 3'!J4/'Tariff Tables'!G4,5)</f>
        <v>1.4999999999999999E-4</v>
      </c>
      <c r="AA20" s="290">
        <f>ROUND('OAR Cycle 3'!I4/'Tariff Tables'!G4,5)</f>
        <v>-1.1E-4</v>
      </c>
      <c r="AC20" s="291">
        <f>ROUND('PCR Cycle 4'!$K4/'Tariff Tables'!$G4,5)</f>
        <v>1.0000000000000001E-5</v>
      </c>
      <c r="AD20" s="290"/>
      <c r="AE20" s="290"/>
      <c r="AF20" s="293"/>
      <c r="AG20" s="46"/>
    </row>
    <row r="21" spans="2:33" ht="15" thickBot="1" x14ac:dyDescent="0.4">
      <c r="B21" s="89" t="s">
        <v>105</v>
      </c>
      <c r="C21" s="284">
        <f>+'PCR Cycle 4'!K5+'PCR Cycle 3'!K5+'PCR Cycle 2'!J8</f>
        <v>1403784.41</v>
      </c>
      <c r="D21" s="284">
        <f>'TDR Cycle 3'!K5+'TDR Cycle 2'!K8</f>
        <v>-6492.08000000014</v>
      </c>
      <c r="E21" s="284">
        <f>+'EOR Cycle 2'!I8+'EOR Cycle 3'!J5</f>
        <v>79849.119999999966</v>
      </c>
      <c r="F21" s="284">
        <f>+'OAR Cycle 2'!I8+'OAR Cycle 3'!I5</f>
        <v>-126058.58</v>
      </c>
      <c r="G21" s="119"/>
      <c r="O21" s="287">
        <v>0</v>
      </c>
      <c r="P21" s="287">
        <v>0</v>
      </c>
      <c r="Q21" s="287">
        <v>0</v>
      </c>
      <c r="R21" s="219"/>
      <c r="S21" s="291">
        <f>ROUND(+'PCR Cycle 2'!J8/'Tariff Tables'!G5,5)</f>
        <v>0</v>
      </c>
      <c r="T21" s="291">
        <f>ROUND(+'TDR Cycle 2'!K8/'Tariff Tables'!G5,5)</f>
        <v>2.0000000000000002E-5</v>
      </c>
      <c r="U21" s="291">
        <f>ROUND('EOR Cycle 2'!I8/'Tariff Tables'!G5,5)</f>
        <v>1.0000000000000001E-5</v>
      </c>
      <c r="V21" s="290">
        <f>ROUND('OAR Cycle 2'!I8/'Tariff Tables'!G5,5)</f>
        <v>0</v>
      </c>
      <c r="W21" s="259"/>
      <c r="X21" s="290">
        <f>ROUND('PCR Cycle 3'!K5/'Tariff Tables'!G5,5)</f>
        <v>1.15E-3</v>
      </c>
      <c r="Y21" s="346">
        <f>ROUND('TDR Cycle 3'!K5/'Tariff Tables'!G5,5)-0.00001</f>
        <v>-3.0000000000000004E-5</v>
      </c>
      <c r="Z21" s="290">
        <f>ROUND('EOR Cycle 3'!J5/'Tariff Tables'!G5,5)</f>
        <v>6.0000000000000002E-5</v>
      </c>
      <c r="AA21" s="290">
        <f>ROUND('OAR Cycle 3'!I5/'Tariff Tables'!G5,5)</f>
        <v>-1E-4</v>
      </c>
      <c r="AC21" s="291">
        <f>ROUND('PCR Cycle 4'!$K5/'Tariff Tables'!$G5,5)</f>
        <v>0</v>
      </c>
      <c r="AD21" s="290"/>
      <c r="AE21" s="290"/>
      <c r="AF21" s="290"/>
      <c r="AG21" s="46"/>
    </row>
    <row r="22" spans="2:33" s="46" customFormat="1" ht="15" thickBot="1" x14ac:dyDescent="0.4">
      <c r="B22" s="89" t="s">
        <v>106</v>
      </c>
      <c r="C22" s="284">
        <f>+'PCR Cycle 4'!K6+'PCR Cycle 3'!K6+'PCR Cycle 2'!J9</f>
        <v>536378.94999999949</v>
      </c>
      <c r="D22" s="284">
        <f>'TDR Cycle 3'!K6+'TDR Cycle 2'!K9</f>
        <v>74351.910000000033</v>
      </c>
      <c r="E22" s="284">
        <f>+'EOR Cycle 2'!I9+'EOR Cycle 3'!J6</f>
        <v>209421.87000000005</v>
      </c>
      <c r="F22" s="284">
        <f>+'OAR Cycle 2'!I9+'OAR Cycle 3'!I6</f>
        <v>-120989</v>
      </c>
      <c r="G22" s="119"/>
      <c r="O22" s="287">
        <v>0</v>
      </c>
      <c r="P22" s="287">
        <v>0</v>
      </c>
      <c r="Q22" s="287">
        <v>0</v>
      </c>
      <c r="R22" s="219"/>
      <c r="S22" s="291">
        <f>ROUND(+'PCR Cycle 2'!J9/'Tariff Tables'!G6,5)</f>
        <v>0</v>
      </c>
      <c r="T22" s="291">
        <f>ROUND(+'TDR Cycle 2'!K9/'Tariff Tables'!G6,5)</f>
        <v>2.0000000000000002E-5</v>
      </c>
      <c r="U22" s="347">
        <f>ROUND('EOR Cycle 2'!I9/'Tariff Tables'!G6,5)-0.00001</f>
        <v>0</v>
      </c>
      <c r="V22" s="290">
        <f>ROUND('OAR Cycle 2'!I9/'Tariff Tables'!G6,5)</f>
        <v>0</v>
      </c>
      <c r="W22" s="259"/>
      <c r="X22" s="346">
        <f>ROUND('PCR Cycle 3'!K6/'Tariff Tables'!G6,5)+0.00001</f>
        <v>5.2000000000000006E-4</v>
      </c>
      <c r="Y22" s="290">
        <f>ROUND('TDR Cycle 3'!K6/'Tariff Tables'!G6,5)</f>
        <v>5.0000000000000002E-5</v>
      </c>
      <c r="Z22" s="346">
        <f>ROUND('EOR Cycle 3'!J6/'Tariff Tables'!G6,5)+0.00001</f>
        <v>2.0000000000000001E-4</v>
      </c>
      <c r="AA22" s="290">
        <f>ROUND('OAR Cycle 3'!I6/'Tariff Tables'!G6,5)</f>
        <v>-1.2E-4</v>
      </c>
      <c r="AC22" s="291">
        <f>ROUND('PCR Cycle 4'!$K6/'Tariff Tables'!$G6,5)</f>
        <v>1.0000000000000001E-5</v>
      </c>
      <c r="AD22" s="290"/>
      <c r="AE22" s="290"/>
      <c r="AF22" s="290"/>
    </row>
    <row r="23" spans="2:33" s="46" customFormat="1" ht="15" thickBot="1" x14ac:dyDescent="0.4">
      <c r="B23" s="89" t="s">
        <v>107</v>
      </c>
      <c r="C23" s="284">
        <f>+'PCR Cycle 4'!K7+'PCR Cycle 3'!K7+'PCR Cycle 2'!J10</f>
        <v>2092.5900000008469</v>
      </c>
      <c r="D23" s="284">
        <f>'TDR Cycle 3'!K7+'TDR Cycle 2'!K10</f>
        <v>22964.020000000022</v>
      </c>
      <c r="E23" s="284">
        <f>+'EOR Cycle 2'!I10+'EOR Cycle 3'!J7</f>
        <v>123991.70999999995</v>
      </c>
      <c r="F23" s="284">
        <f>+'OAR Cycle 2'!I10+'OAR Cycle 3'!I7</f>
        <v>-89031.530000000013</v>
      </c>
      <c r="G23" s="119"/>
      <c r="O23" s="287">
        <v>0</v>
      </c>
      <c r="P23" s="287">
        <v>0</v>
      </c>
      <c r="Q23" s="287">
        <v>0</v>
      </c>
      <c r="R23" s="219"/>
      <c r="S23" s="291">
        <f>ROUND(+'PCR Cycle 2'!J10/'Tariff Tables'!G7,5)</f>
        <v>0</v>
      </c>
      <c r="T23" s="291">
        <f>ROUND(+'TDR Cycle 2'!K10/'Tariff Tables'!G7,5)</f>
        <v>1.0000000000000001E-5</v>
      </c>
      <c r="U23" s="291">
        <f>ROUND('EOR Cycle 2'!I10/'Tariff Tables'!G7,5)</f>
        <v>1.0000000000000001E-5</v>
      </c>
      <c r="V23" s="290">
        <f>ROUND('OAR Cycle 2'!I10/'Tariff Tables'!G7,5)</f>
        <v>0</v>
      </c>
      <c r="W23" s="259"/>
      <c r="X23" s="346">
        <f>ROUND('PCR Cycle 3'!K7/'Tariff Tables'!G7,5)-0.00001</f>
        <v>-2.0000000000000002E-5</v>
      </c>
      <c r="Y23" s="346">
        <f>ROUND('TDR Cycle 3'!K7/'Tariff Tables'!G7,5)+0.00001</f>
        <v>3.0000000000000004E-5</v>
      </c>
      <c r="Z23" s="346">
        <f>ROUND('EOR Cycle 3'!J7/'Tariff Tables'!G7,5)-0.00001</f>
        <v>1.7000000000000001E-4</v>
      </c>
      <c r="AA23" s="290">
        <f>ROUND('OAR Cycle 3'!I7/'Tariff Tables'!G7,5)</f>
        <v>-1.2999999999999999E-4</v>
      </c>
      <c r="AC23" s="291">
        <f>ROUND('PCR Cycle 4'!$K7/'Tariff Tables'!$G7,5)</f>
        <v>1.0000000000000001E-5</v>
      </c>
      <c r="AD23" s="290"/>
      <c r="AE23" s="290"/>
      <c r="AF23" s="290"/>
    </row>
    <row r="24" spans="2:33" x14ac:dyDescent="0.35">
      <c r="C24" s="119"/>
      <c r="D24" s="119"/>
      <c r="E24" s="119"/>
      <c r="F24" s="119"/>
      <c r="O24" s="46"/>
      <c r="P24" s="46"/>
      <c r="R24" s="46"/>
      <c r="S24" s="259"/>
      <c r="T24" s="259"/>
      <c r="U24" s="259"/>
      <c r="V24" s="259"/>
      <c r="W24" s="259"/>
      <c r="X24" s="259"/>
      <c r="Y24" s="259"/>
      <c r="Z24" s="259"/>
    </row>
    <row r="25" spans="2:33" x14ac:dyDescent="0.35">
      <c r="B25" s="92" t="s">
        <v>38</v>
      </c>
      <c r="R25" t="s">
        <v>147</v>
      </c>
      <c r="S25" s="335">
        <f>+J4-O12-O20-S12-S20-X12-X20-AC12-AC20</f>
        <v>2.541098841762901E-20</v>
      </c>
      <c r="T25" s="335">
        <f t="shared" ref="T25:V25" si="7">+K4-P12-P20-T12-T20-Y12-Y20-AD12-AD20</f>
        <v>0</v>
      </c>
      <c r="U25" s="335">
        <f t="shared" si="7"/>
        <v>2.7105054312137611E-20</v>
      </c>
      <c r="V25" s="335">
        <f t="shared" si="7"/>
        <v>0</v>
      </c>
      <c r="W25" s="259"/>
      <c r="X25" s="259"/>
      <c r="Y25" s="259"/>
      <c r="Z25" s="259"/>
    </row>
    <row r="26" spans="2:33" x14ac:dyDescent="0.35">
      <c r="B26" s="93" t="s">
        <v>39</v>
      </c>
      <c r="R26" t="s">
        <v>148</v>
      </c>
      <c r="S26" s="335">
        <f t="shared" ref="S26:V26" si="8">+J5-O13-O21-S13-S21-X13-X21-AC13-AC21</f>
        <v>0</v>
      </c>
      <c r="T26" s="335">
        <f t="shared" si="8"/>
        <v>5.082197683525802E-21</v>
      </c>
      <c r="U26" s="335">
        <f t="shared" si="8"/>
        <v>-6.7762635780344027E-21</v>
      </c>
      <c r="V26" s="335">
        <f t="shared" si="8"/>
        <v>0</v>
      </c>
      <c r="W26" s="259"/>
      <c r="X26" s="259"/>
      <c r="Y26" s="259"/>
      <c r="Z26" s="259"/>
    </row>
    <row r="27" spans="2:33" x14ac:dyDescent="0.35">
      <c r="B27" s="93" t="s">
        <v>42</v>
      </c>
      <c r="R27" t="s">
        <v>149</v>
      </c>
      <c r="S27" s="336">
        <f t="shared" ref="S27:V27" si="9">+J6-O14-O22-S14-S22-X14-X22-AC14-AC22</f>
        <v>-4.0826988057657276E-19</v>
      </c>
      <c r="T27" s="336">
        <f t="shared" si="9"/>
        <v>-3.5575383784680614E-20</v>
      </c>
      <c r="U27" s="336">
        <f t="shared" si="9"/>
        <v>0</v>
      </c>
      <c r="V27" s="335">
        <f t="shared" si="9"/>
        <v>0</v>
      </c>
    </row>
    <row r="28" spans="2:33" x14ac:dyDescent="0.35">
      <c r="B28" s="93" t="s">
        <v>140</v>
      </c>
      <c r="R28" t="s">
        <v>150</v>
      </c>
      <c r="S28" s="336">
        <f t="shared" ref="S28:V28" si="10">+J7-O15-O23-S15-S23-X15-X23-AC15-AC23</f>
        <v>4.5909185741183078E-19</v>
      </c>
      <c r="T28" s="336">
        <f t="shared" si="10"/>
        <v>-1.6940658945086007E-21</v>
      </c>
      <c r="U28" s="336">
        <f t="shared" si="10"/>
        <v>0</v>
      </c>
      <c r="V28" s="335">
        <f t="shared" si="10"/>
        <v>0</v>
      </c>
    </row>
    <row r="29" spans="2:33" x14ac:dyDescent="0.35">
      <c r="B29" s="93" t="s">
        <v>40</v>
      </c>
      <c r="R29" s="46"/>
      <c r="S29" s="46"/>
      <c r="T29" s="46"/>
    </row>
    <row r="30" spans="2:33" x14ac:dyDescent="0.35">
      <c r="B30" s="93" t="s">
        <v>145</v>
      </c>
      <c r="O30" s="234"/>
      <c r="P30" s="234"/>
      <c r="Q30" s="234"/>
      <c r="R30" s="141"/>
      <c r="S30" s="141"/>
      <c r="T30" s="46"/>
    </row>
    <row r="31" spans="2:33" x14ac:dyDescent="0.35">
      <c r="B31" s="93" t="s">
        <v>139</v>
      </c>
      <c r="O31" s="141"/>
      <c r="P31" s="141"/>
      <c r="Q31" s="235"/>
      <c r="R31" s="141"/>
      <c r="S31" s="141"/>
      <c r="T31" s="46"/>
    </row>
    <row r="32" spans="2:33" x14ac:dyDescent="0.35">
      <c r="B32" s="93" t="s">
        <v>47</v>
      </c>
      <c r="O32" s="236"/>
      <c r="P32" s="141"/>
      <c r="Q32" s="235"/>
      <c r="R32" s="141"/>
      <c r="S32" s="141"/>
      <c r="T32" s="46"/>
    </row>
    <row r="33" spans="2:20" x14ac:dyDescent="0.35">
      <c r="B33" s="93" t="s">
        <v>144</v>
      </c>
      <c r="O33" s="237"/>
      <c r="P33" s="238"/>
      <c r="Q33" s="235"/>
      <c r="R33" s="235"/>
      <c r="S33" s="141"/>
      <c r="T33" s="46"/>
    </row>
    <row r="34" spans="2:20" x14ac:dyDescent="0.35">
      <c r="B34" s="93" t="s">
        <v>141</v>
      </c>
      <c r="O34" s="237"/>
      <c r="P34" s="238"/>
      <c r="Q34" s="235"/>
      <c r="R34" s="235"/>
      <c r="S34" s="141"/>
      <c r="T34" s="46"/>
    </row>
    <row r="35" spans="2:20" x14ac:dyDescent="0.35">
      <c r="B35" s="93" t="s">
        <v>142</v>
      </c>
      <c r="O35" s="237"/>
      <c r="P35" s="238"/>
      <c r="Q35" s="235"/>
      <c r="R35" s="235"/>
      <c r="S35" s="141"/>
      <c r="T35" s="46"/>
    </row>
    <row r="36" spans="2:20" x14ac:dyDescent="0.35">
      <c r="B36" s="93" t="s">
        <v>146</v>
      </c>
      <c r="O36" s="237"/>
      <c r="P36" s="238"/>
      <c r="Q36" s="235"/>
      <c r="R36" s="235"/>
      <c r="S36" s="141"/>
      <c r="T36" s="46"/>
    </row>
    <row r="37" spans="2:20" x14ac:dyDescent="0.35">
      <c r="B37" s="93" t="s">
        <v>41</v>
      </c>
      <c r="O37" s="237"/>
      <c r="P37" s="238"/>
      <c r="Q37" s="235"/>
      <c r="R37" s="235"/>
      <c r="S37" s="141"/>
      <c r="T37" s="46"/>
    </row>
    <row r="38" spans="2:20" x14ac:dyDescent="0.35">
      <c r="B38" s="93" t="s">
        <v>143</v>
      </c>
      <c r="O38" s="237"/>
      <c r="P38" s="238"/>
      <c r="Q38" s="235"/>
      <c r="R38" s="235"/>
      <c r="S38" s="141"/>
      <c r="T38" s="46"/>
    </row>
    <row r="39" spans="2:20" x14ac:dyDescent="0.35">
      <c r="B39" s="93" t="s">
        <v>179</v>
      </c>
      <c r="O39" s="239"/>
      <c r="P39" s="238"/>
      <c r="Q39" s="235"/>
      <c r="R39" s="235"/>
      <c r="S39" s="141"/>
      <c r="T39" s="46"/>
    </row>
    <row r="40" spans="2:20" x14ac:dyDescent="0.35">
      <c r="B40" s="93" t="s">
        <v>180</v>
      </c>
      <c r="O40" s="141"/>
      <c r="P40" s="240"/>
      <c r="Q40" s="235"/>
      <c r="R40" s="235"/>
      <c r="S40" s="141"/>
      <c r="T40" s="46"/>
    </row>
    <row r="41" spans="2:20" x14ac:dyDescent="0.35">
      <c r="O41" s="236"/>
      <c r="P41" s="141"/>
      <c r="Q41" s="235"/>
      <c r="R41" s="235"/>
      <c r="S41" s="141"/>
      <c r="T41" s="46"/>
    </row>
    <row r="42" spans="2:20" x14ac:dyDescent="0.35">
      <c r="O42" s="237"/>
      <c r="P42" s="238"/>
      <c r="Q42" s="235"/>
      <c r="R42" s="235"/>
      <c r="S42" s="141"/>
      <c r="T42" s="46"/>
    </row>
    <row r="43" spans="2:20" x14ac:dyDescent="0.35">
      <c r="O43" s="237"/>
      <c r="P43" s="238"/>
      <c r="Q43" s="235"/>
      <c r="R43" s="235"/>
      <c r="S43" s="141"/>
      <c r="T43" s="46"/>
    </row>
    <row r="44" spans="2:20" x14ac:dyDescent="0.35">
      <c r="O44" s="237"/>
      <c r="P44" s="238"/>
      <c r="Q44" s="235"/>
      <c r="R44" s="235"/>
      <c r="S44" s="141"/>
      <c r="T44" s="46"/>
    </row>
    <row r="45" spans="2:20" x14ac:dyDescent="0.35">
      <c r="O45" s="237"/>
      <c r="P45" s="238"/>
      <c r="Q45" s="235"/>
      <c r="R45" s="235"/>
      <c r="S45" s="141"/>
      <c r="T45" s="46"/>
    </row>
    <row r="46" spans="2:20" x14ac:dyDescent="0.35">
      <c r="O46" s="237"/>
      <c r="P46" s="238"/>
      <c r="Q46" s="235"/>
      <c r="R46" s="235"/>
      <c r="S46" s="141"/>
      <c r="T46" s="46"/>
    </row>
    <row r="47" spans="2:20" x14ac:dyDescent="0.35">
      <c r="O47" s="237"/>
      <c r="P47" s="238"/>
      <c r="Q47" s="235"/>
      <c r="R47" s="235"/>
      <c r="S47" s="141"/>
      <c r="T47" s="46"/>
    </row>
    <row r="48" spans="2:20" x14ac:dyDescent="0.35">
      <c r="O48" s="239"/>
      <c r="P48" s="238"/>
      <c r="Q48" s="235"/>
      <c r="R48" s="235"/>
      <c r="S48" s="141"/>
    </row>
    <row r="49" spans="15:19" x14ac:dyDescent="0.35">
      <c r="O49" s="141"/>
      <c r="P49" s="240"/>
      <c r="Q49" s="235"/>
      <c r="R49" s="235"/>
      <c r="S49" s="141"/>
    </row>
    <row r="50" spans="15:19" x14ac:dyDescent="0.35">
      <c r="O50" s="141"/>
      <c r="P50" s="141"/>
      <c r="Q50" s="235"/>
      <c r="R50" s="235"/>
      <c r="S50" s="141"/>
    </row>
  </sheetData>
  <pageMargins left="0.2" right="0.2" top="0.75" bottom="0.25" header="0.3" footer="0.3"/>
  <pageSetup scale="43" orientation="landscape" r:id="rId1"/>
  <headerFooter>
    <oddHeader>&amp;C&amp;F &amp;A&amp;R&amp;"Arial"&amp;10&amp;K000000CONFIDENTIAL</oddHeader>
    <oddFooter xml:space="preserve">&amp;R_x000D_&amp;1#&amp;"Calibri"&amp;10&amp;KA80000 Restricted – Sensitive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workbookViewId="0">
      <selection activeCell="O30" sqref="O30"/>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6" width="13.453125" style="46" bestFit="1" customWidth="1"/>
    <col min="7" max="16384" width="9.1796875" style="46"/>
  </cols>
  <sheetData>
    <row r="1" spans="1:5" x14ac:dyDescent="0.35">
      <c r="A1" s="63" t="str">
        <f>+'PPC Cycle 3'!A1</f>
        <v>Evergy Missouri West, Inc. - DSIM Rider Update Filed 12/01/2024</v>
      </c>
    </row>
    <row r="2" spans="1:5" x14ac:dyDescent="0.35">
      <c r="A2" s="9" t="str">
        <f>+'PPC Cycle 3'!A2</f>
        <v>Projections for Cycle 3 January 2025 - December 2025 DSIM</v>
      </c>
    </row>
    <row r="3" spans="1:5" ht="45.75" customHeight="1" x14ac:dyDescent="0.35">
      <c r="B3" s="389" t="s">
        <v>166</v>
      </c>
      <c r="C3" s="389"/>
      <c r="D3" s="389"/>
    </row>
    <row r="4" spans="1:5" x14ac:dyDescent="0.35">
      <c r="B4" s="48" t="s">
        <v>17</v>
      </c>
    </row>
    <row r="5" spans="1:5" x14ac:dyDescent="0.35">
      <c r="A5" s="20" t="s">
        <v>167</v>
      </c>
      <c r="B5" s="267">
        <f>+B11</f>
        <v>0</v>
      </c>
    </row>
    <row r="6" spans="1:5" x14ac:dyDescent="0.35">
      <c r="A6" s="20" t="s">
        <v>168</v>
      </c>
      <c r="B6" s="267">
        <f>+C11</f>
        <v>0</v>
      </c>
    </row>
    <row r="7" spans="1:5" x14ac:dyDescent="0.35">
      <c r="A7" s="20" t="s">
        <v>169</v>
      </c>
      <c r="B7" s="267">
        <f>+D11</f>
        <v>0</v>
      </c>
    </row>
    <row r="8" spans="1:5" ht="58" x14ac:dyDescent="0.35">
      <c r="A8" s="20"/>
      <c r="B8" s="245" t="s">
        <v>167</v>
      </c>
      <c r="C8" s="245" t="s">
        <v>168</v>
      </c>
      <c r="D8" s="246" t="s">
        <v>169</v>
      </c>
      <c r="E8" s="246" t="s">
        <v>5</v>
      </c>
    </row>
    <row r="9" spans="1:5" x14ac:dyDescent="0.35">
      <c r="A9" s="20" t="s">
        <v>24</v>
      </c>
      <c r="B9" s="198">
        <v>0</v>
      </c>
      <c r="C9" s="198">
        <v>0</v>
      </c>
      <c r="D9" s="198">
        <v>0</v>
      </c>
      <c r="E9" s="198">
        <f>SUM(B9:D9)</f>
        <v>0</v>
      </c>
    </row>
    <row r="10" spans="1:5" x14ac:dyDescent="0.35">
      <c r="A10" s="20" t="s">
        <v>25</v>
      </c>
      <c r="B10" s="198">
        <v>0</v>
      </c>
      <c r="C10" s="198">
        <v>0</v>
      </c>
      <c r="D10" s="198">
        <v>0</v>
      </c>
      <c r="E10" s="198">
        <f>SUM(B10:D10)</f>
        <v>0</v>
      </c>
    </row>
    <row r="11" spans="1:5" ht="15" thickBot="1" x14ac:dyDescent="0.4">
      <c r="A11" s="20" t="s">
        <v>5</v>
      </c>
      <c r="B11" s="199">
        <f>SUM(B9:B10)</f>
        <v>0</v>
      </c>
      <c r="C11" s="199">
        <f>SUM(C9:C10)</f>
        <v>0</v>
      </c>
      <c r="D11" s="199">
        <f>SUM(D9:D10)</f>
        <v>0</v>
      </c>
      <c r="E11" s="199">
        <f>SUM(E9:E10)</f>
        <v>0</v>
      </c>
    </row>
    <row r="12" spans="1:5" ht="15.5" thickTop="1" thickBot="1" x14ac:dyDescent="0.4">
      <c r="B12" s="200">
        <f>+B11-B5</f>
        <v>0</v>
      </c>
      <c r="C12" s="200">
        <f>+C11-B6</f>
        <v>0</v>
      </c>
      <c r="D12" s="200">
        <f>+D11-B7</f>
        <v>0</v>
      </c>
      <c r="E12" s="200">
        <f>ROUND(B5+B6+B7,2)-E11</f>
        <v>0</v>
      </c>
    </row>
    <row r="13" spans="1:5" ht="15" thickTop="1" x14ac:dyDescent="0.35">
      <c r="B13" s="208"/>
      <c r="C13" s="274" t="s">
        <v>173</v>
      </c>
    </row>
    <row r="14" spans="1:5" x14ac:dyDescent="0.35">
      <c r="A14" s="20" t="s">
        <v>105</v>
      </c>
      <c r="B14" s="198">
        <f>ROUND($E$10*C14,2)</f>
        <v>0</v>
      </c>
      <c r="C14" s="205">
        <f>+'PCR Cycle 2'!K8</f>
        <v>0.39209287804949344</v>
      </c>
    </row>
    <row r="15" spans="1:5" x14ac:dyDescent="0.35">
      <c r="A15" s="20" t="s">
        <v>106</v>
      </c>
      <c r="B15" s="198">
        <f>ROUND($E$10*C15,2)</f>
        <v>0</v>
      </c>
      <c r="C15" s="205">
        <f>+'PCR Cycle 2'!K9</f>
        <v>0.45435908608374953</v>
      </c>
    </row>
    <row r="16" spans="1:5" ht="15" thickBot="1" x14ac:dyDescent="0.4">
      <c r="A16" s="20" t="s">
        <v>107</v>
      </c>
      <c r="B16" s="198">
        <f>ROUND($E$10*C16,2)</f>
        <v>0</v>
      </c>
      <c r="C16" s="205">
        <f>+'PCR Cycle 2'!K10</f>
        <v>0.15354803586675725</v>
      </c>
    </row>
    <row r="17" spans="1:5" ht="15.5" thickTop="1" thickBot="1" x14ac:dyDescent="0.4">
      <c r="A17" s="20" t="s">
        <v>109</v>
      </c>
      <c r="B17" s="32">
        <f>SUM(B14:B16)</f>
        <v>0</v>
      </c>
      <c r="C17" s="206">
        <f>SUM(C14:C16)</f>
        <v>1.0000000000000002</v>
      </c>
    </row>
    <row r="18" spans="1:5" ht="15" thickTop="1" x14ac:dyDescent="0.35"/>
    <row r="19" spans="1:5" x14ac:dyDescent="0.35">
      <c r="A19" s="53" t="s">
        <v>11</v>
      </c>
    </row>
    <row r="20" spans="1:5" s="39" customFormat="1" x14ac:dyDescent="0.35">
      <c r="A20" s="3" t="s">
        <v>215</v>
      </c>
      <c r="B20" s="46"/>
      <c r="C20" s="46"/>
      <c r="D20" s="46"/>
    </row>
    <row r="21" spans="1:5" s="39" customFormat="1" x14ac:dyDescent="0.35">
      <c r="A21" s="3" t="s">
        <v>216</v>
      </c>
      <c r="B21" s="46"/>
      <c r="C21" s="46"/>
      <c r="D21" s="46"/>
    </row>
    <row r="22" spans="1:5" s="39" customFormat="1" x14ac:dyDescent="0.35">
      <c r="A22" s="3" t="s">
        <v>217</v>
      </c>
      <c r="B22" s="46"/>
      <c r="C22" s="46"/>
      <c r="D22" s="46"/>
    </row>
    <row r="23" spans="1:5" s="39" customFormat="1" x14ac:dyDescent="0.35">
      <c r="A23" s="3"/>
      <c r="B23" s="46"/>
      <c r="C23" s="46"/>
      <c r="D23" s="46"/>
    </row>
    <row r="25" spans="1:5" x14ac:dyDescent="0.35">
      <c r="A25" s="3"/>
      <c r="D25" s="174"/>
    </row>
    <row r="26" spans="1:5" x14ac:dyDescent="0.35">
      <c r="D26" s="174"/>
    </row>
    <row r="27" spans="1:5" x14ac:dyDescent="0.35">
      <c r="B27" s="70"/>
      <c r="D27" s="174"/>
    </row>
    <row r="28" spans="1:5" x14ac:dyDescent="0.35">
      <c r="A28" s="195"/>
      <c r="B28" s="196"/>
      <c r="D28" s="174"/>
    </row>
    <row r="29" spans="1:5" x14ac:dyDescent="0.35">
      <c r="A29" s="195"/>
      <c r="B29" s="196"/>
      <c r="D29" s="174"/>
    </row>
    <row r="30" spans="1:5" x14ac:dyDescent="0.35">
      <c r="A30" s="195"/>
      <c r="B30" s="196"/>
      <c r="D30" s="174"/>
    </row>
    <row r="31" spans="1:5" x14ac:dyDescent="0.35">
      <c r="A31" s="195"/>
      <c r="B31" s="196"/>
      <c r="D31" s="174"/>
      <c r="E31" s="244"/>
    </row>
    <row r="32" spans="1:5" x14ac:dyDescent="0.35">
      <c r="A32" s="195"/>
      <c r="B32" s="175"/>
      <c r="D32" s="174"/>
    </row>
    <row r="33" spans="1:4" x14ac:dyDescent="0.35">
      <c r="A33" s="195"/>
      <c r="B33" s="175"/>
      <c r="D33" s="174"/>
    </row>
    <row r="34" spans="1:4" ht="16" x14ac:dyDescent="0.5">
      <c r="A34" s="195"/>
      <c r="B34" s="175"/>
      <c r="D34" s="197"/>
    </row>
    <row r="35" spans="1:4" x14ac:dyDescent="0.35">
      <c r="A35" s="195"/>
      <c r="D35" s="174"/>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zoomScale="85" zoomScaleNormal="85" workbookViewId="0">
      <pane xSplit="2" ySplit="14" topLeftCell="C15" activePane="bottomRight" state="frozen"/>
      <selection activeCell="B5" sqref="B5:C22"/>
      <selection pane="topRight" activeCell="B5" sqref="B5:C22"/>
      <selection pane="bottomLeft" activeCell="B5" sqref="B5:C22"/>
      <selection pane="bottomRight" activeCell="C15" sqref="C15"/>
    </sheetView>
  </sheetViews>
  <sheetFormatPr defaultColWidth="9.1796875" defaultRowHeight="14.5" outlineLevelCol="1" x14ac:dyDescent="0.35"/>
  <cols>
    <col min="1" max="1" width="39.269531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hidden="1" customWidth="1" outlineLevel="1"/>
    <col min="16" max="16" width="15.26953125" style="46" bestFit="1" customWidth="1" collapsed="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12/01/2024</v>
      </c>
      <c r="B1" s="3"/>
      <c r="C1" s="3"/>
    </row>
    <row r="2" spans="1:35" x14ac:dyDescent="0.35">
      <c r="D2" s="3" t="s">
        <v>94</v>
      </c>
    </row>
    <row r="3" spans="1:35" ht="29" x14ac:dyDescent="0.35">
      <c r="D3" s="48" t="s">
        <v>45</v>
      </c>
      <c r="E3" s="70" t="s">
        <v>17</v>
      </c>
      <c r="F3" s="48" t="s">
        <v>3</v>
      </c>
      <c r="G3" s="70" t="s">
        <v>54</v>
      </c>
      <c r="H3" s="48" t="s">
        <v>10</v>
      </c>
      <c r="I3" s="48" t="s">
        <v>18</v>
      </c>
      <c r="S3" s="48"/>
    </row>
    <row r="4" spans="1:35" x14ac:dyDescent="0.35">
      <c r="A4" s="20" t="s">
        <v>24</v>
      </c>
      <c r="B4" s="20"/>
      <c r="C4" s="20"/>
      <c r="D4" s="22">
        <f>SUM(C18:L18)</f>
        <v>-4733.34</v>
      </c>
      <c r="E4" s="22">
        <f>SUM(C22:K22)</f>
        <v>0</v>
      </c>
      <c r="F4" s="22">
        <f>E4-D4</f>
        <v>4733.34</v>
      </c>
      <c r="G4" s="22">
        <f>+B32</f>
        <v>-4650.3999999999605</v>
      </c>
      <c r="H4" s="22">
        <f>SUM(C37:K37)</f>
        <v>-82.940000000000012</v>
      </c>
      <c r="I4" s="198">
        <f>SUM(F4:H4)</f>
        <v>3.9605652091267984E-11</v>
      </c>
      <c r="J4" s="47">
        <f>+I4-L32</f>
        <v>9.3436369752453174E-13</v>
      </c>
      <c r="M4" s="47"/>
    </row>
    <row r="5" spans="1:35" ht="15" thickBot="1" x14ac:dyDescent="0.4">
      <c r="A5" s="20" t="s">
        <v>25</v>
      </c>
      <c r="B5" s="20"/>
      <c r="C5" s="20"/>
      <c r="D5" s="22">
        <f>SUM(C19:L19)</f>
        <v>0</v>
      </c>
      <c r="E5" s="22">
        <f>SUM(C23:K23)</f>
        <v>0</v>
      </c>
      <c r="F5" s="22">
        <f>E5-D5</f>
        <v>0</v>
      </c>
      <c r="G5" s="22">
        <f>+B33</f>
        <v>0</v>
      </c>
      <c r="H5" s="22">
        <f>SUM(C38:K38)</f>
        <v>0</v>
      </c>
      <c r="I5" s="260">
        <f>SUM(F5:H5)</f>
        <v>0</v>
      </c>
      <c r="J5" s="47">
        <f>+I5-L33</f>
        <v>0</v>
      </c>
      <c r="M5" s="47"/>
    </row>
    <row r="6" spans="1:35" ht="15.5" thickTop="1" thickBot="1" x14ac:dyDescent="0.4">
      <c r="D6" s="27">
        <f t="shared" ref="D6" si="0">SUM(D4:D5)</f>
        <v>-4733.34</v>
      </c>
      <c r="E6" s="27">
        <f>SUM(E4:E5)</f>
        <v>0</v>
      </c>
      <c r="F6" s="27">
        <f>SUM(F4:F5)</f>
        <v>4733.34</v>
      </c>
      <c r="G6" s="27">
        <f>SUM(G4:G5)</f>
        <v>-4650.3999999999605</v>
      </c>
      <c r="H6" s="27">
        <f>SUM(H4:H5)</f>
        <v>-82.940000000000012</v>
      </c>
      <c r="I6" s="27">
        <f>SUM(I4:I5)</f>
        <v>3.9605652091267984E-11</v>
      </c>
      <c r="T6" s="5"/>
    </row>
    <row r="7" spans="1:35" ht="44" thickTop="1" x14ac:dyDescent="0.35">
      <c r="I7" s="208"/>
      <c r="J7" s="207" t="s">
        <v>120</v>
      </c>
    </row>
    <row r="8" spans="1:35" x14ac:dyDescent="0.35">
      <c r="A8" s="20" t="s">
        <v>105</v>
      </c>
      <c r="I8" s="25">
        <f>ROUND($I$5*J8,2)</f>
        <v>0</v>
      </c>
      <c r="J8" s="205">
        <f>+'PCR Cycle 2'!K8</f>
        <v>0.39209287804949344</v>
      </c>
      <c r="K8" s="39"/>
    </row>
    <row r="9" spans="1:35" x14ac:dyDescent="0.35">
      <c r="A9" s="20" t="s">
        <v>106</v>
      </c>
      <c r="I9" s="25">
        <f t="shared" ref="I9:I10" si="1">ROUND($I$5*J9,2)</f>
        <v>0</v>
      </c>
      <c r="J9" s="205">
        <f>+'PCR Cycle 2'!K9</f>
        <v>0.45435908608374953</v>
      </c>
      <c r="K9" s="39"/>
    </row>
    <row r="10" spans="1:35" ht="15" thickBot="1" x14ac:dyDescent="0.4">
      <c r="A10" s="20" t="s">
        <v>107</v>
      </c>
      <c r="I10" s="25">
        <f t="shared" si="1"/>
        <v>0</v>
      </c>
      <c r="J10" s="205">
        <f>+'PCR Cycle 2'!K10</f>
        <v>0.15354803586675725</v>
      </c>
      <c r="K10" s="39"/>
    </row>
    <row r="11" spans="1:35" ht="15.5" thickTop="1" thickBot="1" x14ac:dyDescent="0.4">
      <c r="A11" s="20" t="s">
        <v>109</v>
      </c>
      <c r="I11" s="27">
        <f>SUM(I8:I10)</f>
        <v>0</v>
      </c>
      <c r="J11" s="206">
        <f>SUM(J8:J10)</f>
        <v>1.0000000000000002</v>
      </c>
      <c r="V11" s="4"/>
    </row>
    <row r="12" spans="1:35" ht="15.5" thickTop="1" thickBot="1" x14ac:dyDescent="0.4">
      <c r="V12" s="4"/>
      <c r="W12" s="5"/>
    </row>
    <row r="13" spans="1:35" ht="87.5" thickBot="1" x14ac:dyDescent="0.4">
      <c r="B13" s="112" t="str">
        <f>+'PCR Cycle 2'!B13</f>
        <v>Cumulative Over/Under Carryover From 06/01/2024 Filing</v>
      </c>
      <c r="C13" s="143" t="str">
        <f>+'PCR Cycle 2'!C13</f>
        <v>Reverse May 2024 - July 2024 Forecast From 06/01/2024 Filing</v>
      </c>
      <c r="D13" s="395" t="s">
        <v>32</v>
      </c>
      <c r="E13" s="395"/>
      <c r="F13" s="396"/>
      <c r="G13" s="403" t="s">
        <v>32</v>
      </c>
      <c r="H13" s="404"/>
      <c r="I13" s="405"/>
      <c r="J13" s="392" t="s">
        <v>8</v>
      </c>
      <c r="K13" s="393"/>
      <c r="L13" s="394"/>
      <c r="O13" s="276" t="s">
        <v>221</v>
      </c>
    </row>
    <row r="14" spans="1:35" x14ac:dyDescent="0.35">
      <c r="A14" s="46" t="s">
        <v>89</v>
      </c>
      <c r="C14" s="102"/>
      <c r="D14" s="19">
        <f>+'PCR Cycle 2'!D14</f>
        <v>45443</v>
      </c>
      <c r="E14" s="19">
        <f t="shared" ref="E14:L14" si="2">EOMONTH(D14,1)</f>
        <v>45473</v>
      </c>
      <c r="F14" s="19">
        <f t="shared" si="2"/>
        <v>45504</v>
      </c>
      <c r="G14" s="14">
        <f t="shared" si="2"/>
        <v>45535</v>
      </c>
      <c r="H14" s="19">
        <f t="shared" si="2"/>
        <v>45565</v>
      </c>
      <c r="I14" s="15">
        <f t="shared" si="2"/>
        <v>45596</v>
      </c>
      <c r="J14" s="19">
        <f t="shared" si="2"/>
        <v>45626</v>
      </c>
      <c r="K14" s="19">
        <f t="shared" si="2"/>
        <v>45657</v>
      </c>
      <c r="L14" s="15">
        <f t="shared" si="2"/>
        <v>45688</v>
      </c>
      <c r="Z14" s="1"/>
      <c r="AA14" s="1"/>
      <c r="AB14" s="1"/>
      <c r="AC14" s="1"/>
      <c r="AD14" s="1"/>
      <c r="AE14" s="1"/>
      <c r="AF14" s="1"/>
      <c r="AG14" s="1"/>
      <c r="AH14" s="1"/>
      <c r="AI14" s="1"/>
    </row>
    <row r="15" spans="1:35" x14ac:dyDescent="0.35">
      <c r="A15" s="46" t="s">
        <v>5</v>
      </c>
      <c r="C15" s="96">
        <v>0</v>
      </c>
      <c r="D15" s="106">
        <f>SUM(D22:D23)</f>
        <v>0</v>
      </c>
      <c r="E15" s="106">
        <f t="shared" ref="E15:H15" si="3">SUM(E22:E23)</f>
        <v>0</v>
      </c>
      <c r="F15" s="107">
        <f t="shared" si="3"/>
        <v>0</v>
      </c>
      <c r="G15" s="16">
        <f t="shared" si="3"/>
        <v>0</v>
      </c>
      <c r="H15" s="55">
        <f t="shared" si="3"/>
        <v>0</v>
      </c>
      <c r="I15" s="154">
        <f>+I22+I23</f>
        <v>0</v>
      </c>
      <c r="J15" s="147">
        <f t="shared" ref="J15:K15" si="4">+J22+J23</f>
        <v>0</v>
      </c>
      <c r="K15" s="77">
        <f t="shared" si="4"/>
        <v>0</v>
      </c>
      <c r="L15" s="78"/>
      <c r="O15" s="47">
        <f>-SUM(J15:L15)</f>
        <v>0</v>
      </c>
    </row>
    <row r="16" spans="1:35" x14ac:dyDescent="0.35">
      <c r="C16" s="98"/>
      <c r="D16" s="17"/>
      <c r="E16" s="17"/>
      <c r="F16" s="17"/>
      <c r="G16" s="28"/>
      <c r="H16" s="17"/>
      <c r="I16" s="11"/>
      <c r="J16" s="31"/>
      <c r="K16" s="31"/>
      <c r="L16" s="29"/>
    </row>
    <row r="17" spans="1:15" x14ac:dyDescent="0.35">
      <c r="A17" s="46" t="s">
        <v>88</v>
      </c>
      <c r="C17" s="98"/>
      <c r="D17" s="18"/>
      <c r="E17" s="18"/>
      <c r="F17" s="18"/>
      <c r="G17" s="261"/>
      <c r="H17" s="18"/>
      <c r="I17" s="155"/>
      <c r="J17" s="31"/>
      <c r="K17" s="31"/>
      <c r="L17" s="29"/>
      <c r="M17" s="63" t="s">
        <v>49</v>
      </c>
      <c r="N17" s="39"/>
    </row>
    <row r="18" spans="1:15" x14ac:dyDescent="0.35">
      <c r="A18" s="46" t="s">
        <v>24</v>
      </c>
      <c r="C18" s="96">
        <v>8643.07</v>
      </c>
      <c r="D18" s="126">
        <f>ROUND('[5]May 2024'!$G60,2)</f>
        <v>-2114.89</v>
      </c>
      <c r="E18" s="126">
        <f>ROUND('[5]June 2024'!$G60,2)</f>
        <v>-2882.14</v>
      </c>
      <c r="F18" s="126">
        <f>ROUND('[5]July 2024'!$G60,2)</f>
        <v>-3831.16</v>
      </c>
      <c r="G18" s="16">
        <f>ROUND('[5]August 2024'!$G60,2)</f>
        <v>-0.68</v>
      </c>
      <c r="H18" s="55">
        <f>ROUND('[5]September 2024'!$G60,2)</f>
        <v>0.15</v>
      </c>
      <c r="I18" s="154">
        <f>ROUND('[5]October 2024'!$G60,2)-0.01</f>
        <v>-4547.6900000000005</v>
      </c>
      <c r="J18" s="116">
        <f>ROUND('PCR Cycle 2'!J26*$M18,2)</f>
        <v>0</v>
      </c>
      <c r="K18" s="41">
        <f>ROUND('PCR Cycle 2'!K26*$M18,2)</f>
        <v>0</v>
      </c>
      <c r="L18" s="61">
        <f>ROUND('PCR Cycle 2'!L26*$M18,2)</f>
        <v>0</v>
      </c>
      <c r="M18" s="72">
        <v>0</v>
      </c>
      <c r="N18" s="4"/>
      <c r="O18" s="47">
        <f t="shared" ref="O18:O19" si="5">-SUM(J18:L18)</f>
        <v>0</v>
      </c>
    </row>
    <row r="19" spans="1:15" x14ac:dyDescent="0.35">
      <c r="A19" s="46" t="s">
        <v>25</v>
      </c>
      <c r="C19" s="96">
        <v>0</v>
      </c>
      <c r="D19" s="126">
        <f>ROUND('[5]May 2024'!$G64,2)</f>
        <v>0</v>
      </c>
      <c r="E19" s="126">
        <f>ROUND('[5]June 2024'!$G64,2)</f>
        <v>0</v>
      </c>
      <c r="F19" s="126">
        <f>ROUND('[5]July 2024'!$G64,2)</f>
        <v>0</v>
      </c>
      <c r="G19" s="16">
        <f>ROUND('[5]August 2024'!$G64,2)</f>
        <v>0</v>
      </c>
      <c r="H19" s="55">
        <f>ROUND('[5]September 2024'!$G64,2)</f>
        <v>0</v>
      </c>
      <c r="I19" s="154">
        <f>ROUND('[5]October 2024'!$G64,2)</f>
        <v>0</v>
      </c>
      <c r="J19" s="116">
        <f>ROUND(SUM('PCR Cycle 2'!J27:J29)*$M19,2)</f>
        <v>0</v>
      </c>
      <c r="K19" s="41">
        <f>ROUND(SUM('PCR Cycle 2'!K27:K29)*$M19,2)</f>
        <v>0</v>
      </c>
      <c r="L19" s="61">
        <f>ROUND(SUM('PCR Cycle 2'!L27:L29)*$M19,2)</f>
        <v>0</v>
      </c>
      <c r="M19" s="72">
        <v>0</v>
      </c>
      <c r="N19" s="4"/>
      <c r="O19" s="47">
        <f t="shared" si="5"/>
        <v>0</v>
      </c>
    </row>
    <row r="20" spans="1:15" x14ac:dyDescent="0.35">
      <c r="C20" s="67"/>
      <c r="D20" s="68"/>
      <c r="E20" s="68"/>
      <c r="F20" s="68"/>
      <c r="G20" s="97"/>
      <c r="H20" s="68"/>
      <c r="I20" s="156"/>
      <c r="J20" s="56"/>
      <c r="K20" s="56"/>
      <c r="L20" s="13"/>
      <c r="N20" s="4"/>
    </row>
    <row r="21" spans="1:15" x14ac:dyDescent="0.35">
      <c r="A21" s="46" t="s">
        <v>90</v>
      </c>
      <c r="C21" s="36"/>
      <c r="D21" s="37"/>
      <c r="E21" s="37"/>
      <c r="F21" s="37"/>
      <c r="G21" s="36"/>
      <c r="H21" s="37"/>
      <c r="I21" s="158"/>
      <c r="J21" s="52"/>
      <c r="K21" s="52"/>
      <c r="L21" s="38"/>
    </row>
    <row r="22" spans="1:15" x14ac:dyDescent="0.35">
      <c r="A22" s="46" t="s">
        <v>24</v>
      </c>
      <c r="C22" s="96">
        <v>0</v>
      </c>
      <c r="D22" s="106">
        <v>0</v>
      </c>
      <c r="E22" s="106">
        <v>0</v>
      </c>
      <c r="F22" s="107">
        <v>0</v>
      </c>
      <c r="G22" s="16">
        <v>0</v>
      </c>
      <c r="H22" s="55">
        <v>0</v>
      </c>
      <c r="I22" s="154">
        <v>0</v>
      </c>
      <c r="J22" s="149">
        <v>0</v>
      </c>
      <c r="K22" s="133">
        <v>0</v>
      </c>
      <c r="L22" s="78"/>
      <c r="O22" s="47">
        <f t="shared" ref="O22:O25" si="6">-SUM(J22:L22)</f>
        <v>0</v>
      </c>
    </row>
    <row r="23" spans="1:15" x14ac:dyDescent="0.35">
      <c r="A23" s="46" t="s">
        <v>25</v>
      </c>
      <c r="C23" s="96">
        <v>0</v>
      </c>
      <c r="D23" s="106">
        <v>0</v>
      </c>
      <c r="E23" s="106">
        <v>0</v>
      </c>
      <c r="F23" s="107">
        <v>0</v>
      </c>
      <c r="G23" s="16">
        <v>0</v>
      </c>
      <c r="H23" s="55">
        <v>0</v>
      </c>
      <c r="I23" s="154">
        <v>0</v>
      </c>
      <c r="J23" s="149">
        <v>0</v>
      </c>
      <c r="K23" s="133">
        <v>0</v>
      </c>
      <c r="L23" s="78"/>
      <c r="N23" s="47"/>
      <c r="O23" s="47">
        <f t="shared" si="6"/>
        <v>0</v>
      </c>
    </row>
    <row r="24" spans="1:15" x14ac:dyDescent="0.35">
      <c r="C24" s="98"/>
      <c r="D24" s="18"/>
      <c r="E24" s="18"/>
      <c r="F24" s="18"/>
      <c r="G24" s="261"/>
      <c r="H24" s="18"/>
      <c r="I24" s="155"/>
      <c r="J24" s="56"/>
      <c r="K24" s="56"/>
      <c r="L24" s="13"/>
    </row>
    <row r="25" spans="1:15" ht="15" thickBot="1" x14ac:dyDescent="0.4">
      <c r="A25" s="3" t="s">
        <v>14</v>
      </c>
      <c r="B25" s="3"/>
      <c r="C25" s="100">
        <v>118.97999999999999</v>
      </c>
      <c r="D25" s="126">
        <v>-66.12</v>
      </c>
      <c r="E25" s="126">
        <v>-52.94</v>
      </c>
      <c r="F25" s="127">
        <f>-34.89-0.01</f>
        <v>-34.9</v>
      </c>
      <c r="G25" s="26">
        <v>-24.48</v>
      </c>
      <c r="H25" s="115">
        <f>-23.47-0.01</f>
        <v>-23.48</v>
      </c>
      <c r="I25" s="159">
        <v>0</v>
      </c>
      <c r="J25" s="150">
        <f>ROUND((SUM(I32:I33)+SUM(I37:I38)+SUM(J28:J29)/2)*J$35,2)</f>
        <v>0</v>
      </c>
      <c r="K25" s="135">
        <f t="shared" ref="K25" si="7">ROUND((SUM(J32:J33)+SUM(J37:J38)+SUM(K28:K29)/2)*K$35,2)</f>
        <v>0</v>
      </c>
      <c r="L25" s="81"/>
      <c r="O25" s="47">
        <f t="shared" si="6"/>
        <v>0</v>
      </c>
    </row>
    <row r="26" spans="1:15" x14ac:dyDescent="0.35">
      <c r="C26" s="64"/>
      <c r="D26" s="139"/>
      <c r="E26" s="139"/>
      <c r="F26" s="140"/>
      <c r="G26" s="64"/>
      <c r="H26" s="33"/>
      <c r="I26" s="160"/>
      <c r="J26" s="34"/>
      <c r="K26" s="34"/>
      <c r="L26" s="60"/>
    </row>
    <row r="27" spans="1:15" x14ac:dyDescent="0.35">
      <c r="A27" s="46" t="s">
        <v>51</v>
      </c>
      <c r="C27" s="65"/>
      <c r="D27" s="140"/>
      <c r="E27" s="140"/>
      <c r="F27" s="140"/>
      <c r="G27" s="262"/>
      <c r="H27" s="35"/>
      <c r="I27" s="161"/>
      <c r="J27" s="34"/>
      <c r="K27" s="34"/>
      <c r="L27" s="60"/>
    </row>
    <row r="28" spans="1:15" x14ac:dyDescent="0.35">
      <c r="A28" s="46" t="s">
        <v>24</v>
      </c>
      <c r="C28" s="99">
        <f t="shared" ref="C28:L28" si="8">C22-C18</f>
        <v>-8643.07</v>
      </c>
      <c r="D28" s="41">
        <f t="shared" si="8"/>
        <v>2114.89</v>
      </c>
      <c r="E28" s="41">
        <f t="shared" si="8"/>
        <v>2882.14</v>
      </c>
      <c r="F28" s="105">
        <f t="shared" si="8"/>
        <v>3831.16</v>
      </c>
      <c r="G28" s="40">
        <f t="shared" si="8"/>
        <v>0.68</v>
      </c>
      <c r="H28" s="41">
        <f t="shared" si="8"/>
        <v>-0.15</v>
      </c>
      <c r="I28" s="61">
        <f t="shared" si="8"/>
        <v>4547.6900000000005</v>
      </c>
      <c r="J28" s="116">
        <f t="shared" si="8"/>
        <v>0</v>
      </c>
      <c r="K28" s="41">
        <f t="shared" si="8"/>
        <v>0</v>
      </c>
      <c r="L28" s="61">
        <f t="shared" si="8"/>
        <v>0</v>
      </c>
    </row>
    <row r="29" spans="1:15" x14ac:dyDescent="0.35">
      <c r="A29" s="46" t="s">
        <v>25</v>
      </c>
      <c r="C29" s="99">
        <f t="shared" ref="C29:L29" si="9">C23-C19</f>
        <v>0</v>
      </c>
      <c r="D29" s="41">
        <f t="shared" si="9"/>
        <v>0</v>
      </c>
      <c r="E29" s="41">
        <f t="shared" si="9"/>
        <v>0</v>
      </c>
      <c r="F29" s="105">
        <f t="shared" si="9"/>
        <v>0</v>
      </c>
      <c r="G29" s="40">
        <f t="shared" si="9"/>
        <v>0</v>
      </c>
      <c r="H29" s="41">
        <f t="shared" si="9"/>
        <v>0</v>
      </c>
      <c r="I29" s="61">
        <f t="shared" si="9"/>
        <v>0</v>
      </c>
      <c r="J29" s="116">
        <f t="shared" si="9"/>
        <v>0</v>
      </c>
      <c r="K29" s="41">
        <f t="shared" si="9"/>
        <v>0</v>
      </c>
      <c r="L29" s="61">
        <f t="shared" si="9"/>
        <v>0</v>
      </c>
    </row>
    <row r="30" spans="1:15" x14ac:dyDescent="0.35">
      <c r="C30" s="98"/>
      <c r="D30" s="17"/>
      <c r="E30" s="17"/>
      <c r="F30" s="17"/>
      <c r="G30" s="28"/>
      <c r="H30" s="17"/>
      <c r="I30" s="11"/>
      <c r="J30" s="17"/>
      <c r="K30" s="17"/>
      <c r="L30" s="11"/>
    </row>
    <row r="31" spans="1:15" ht="15" thickBot="1" x14ac:dyDescent="0.4">
      <c r="A31" s="46" t="s">
        <v>52</v>
      </c>
      <c r="C31" s="98"/>
      <c r="D31" s="17"/>
      <c r="E31" s="17"/>
      <c r="F31" s="17"/>
      <c r="G31" s="28"/>
      <c r="H31" s="17"/>
      <c r="I31" s="11"/>
      <c r="J31" s="17"/>
      <c r="K31" s="17"/>
      <c r="L31" s="11"/>
    </row>
    <row r="32" spans="1:15" x14ac:dyDescent="0.35">
      <c r="A32" s="46" t="s">
        <v>24</v>
      </c>
      <c r="B32" s="331">
        <v>-4650.3999999999605</v>
      </c>
      <c r="C32" s="99">
        <f>B32+C28+B37</f>
        <v>-13293.469999999961</v>
      </c>
      <c r="D32" s="41">
        <f t="shared" ref="D32:L33" si="10">C32+D28+C37</f>
        <v>-11059.599999999962</v>
      </c>
      <c r="E32" s="41">
        <f t="shared" si="10"/>
        <v>-8243.5799999999635</v>
      </c>
      <c r="F32" s="105">
        <f t="shared" si="10"/>
        <v>-4465.3599999999633</v>
      </c>
      <c r="G32" s="40">
        <f t="shared" si="10"/>
        <v>-4499.5799999999626</v>
      </c>
      <c r="H32" s="41">
        <f t="shared" si="10"/>
        <v>-4524.2099999999618</v>
      </c>
      <c r="I32" s="61">
        <f t="shared" si="10"/>
        <v>3.8671288393743453E-11</v>
      </c>
      <c r="J32" s="116">
        <f t="shared" si="10"/>
        <v>3.8671288393743453E-11</v>
      </c>
      <c r="K32" s="41">
        <f t="shared" si="10"/>
        <v>3.8671288393743453E-11</v>
      </c>
      <c r="L32" s="61">
        <f t="shared" si="10"/>
        <v>3.8671288393743453E-11</v>
      </c>
    </row>
    <row r="33" spans="1:15" ht="15" thickBot="1" x14ac:dyDescent="0.4">
      <c r="A33" s="46" t="s">
        <v>25</v>
      </c>
      <c r="B33" s="333">
        <v>0</v>
      </c>
      <c r="C33" s="99">
        <f>B33+C29+B38</f>
        <v>0</v>
      </c>
      <c r="D33" s="41">
        <f t="shared" si="10"/>
        <v>0</v>
      </c>
      <c r="E33" s="41">
        <f t="shared" si="10"/>
        <v>0</v>
      </c>
      <c r="F33" s="105">
        <f t="shared" si="10"/>
        <v>0</v>
      </c>
      <c r="G33" s="40">
        <f t="shared" si="10"/>
        <v>0</v>
      </c>
      <c r="H33" s="41">
        <f t="shared" si="10"/>
        <v>0</v>
      </c>
      <c r="I33" s="61">
        <f t="shared" si="10"/>
        <v>0</v>
      </c>
      <c r="J33" s="116">
        <f t="shared" si="10"/>
        <v>0</v>
      </c>
      <c r="K33" s="41">
        <f t="shared" si="10"/>
        <v>0</v>
      </c>
      <c r="L33" s="61">
        <f t="shared" si="10"/>
        <v>0</v>
      </c>
    </row>
    <row r="34" spans="1:15" x14ac:dyDescent="0.35">
      <c r="C34" s="98"/>
      <c r="D34" s="17"/>
      <c r="E34" s="17"/>
      <c r="F34" s="17"/>
      <c r="G34" s="10"/>
      <c r="H34" s="17"/>
      <c r="I34" s="11"/>
      <c r="J34" s="17"/>
      <c r="K34" s="17"/>
      <c r="L34" s="11"/>
    </row>
    <row r="35" spans="1:15" x14ac:dyDescent="0.35">
      <c r="A35" s="39" t="s">
        <v>86</v>
      </c>
      <c r="B35" s="39"/>
      <c r="C35" s="101"/>
      <c r="D35" s="309">
        <f>'PCR Cycle 3'!E45</f>
        <v>5.4564799999999997E-3</v>
      </c>
      <c r="E35" s="309">
        <f>'PCR Cycle 3'!F45</f>
        <v>5.4667700000000001E-3</v>
      </c>
      <c r="F35" s="309">
        <f>'PCR Cycle 3'!G45</f>
        <v>5.46883E-3</v>
      </c>
      <c r="G35" s="310">
        <f>'PCR Cycle 3'!H45</f>
        <v>5.4406000000000003E-3</v>
      </c>
      <c r="H35" s="309">
        <f>'PCR Cycle 3'!I45</f>
        <v>5.1888699999999999E-3</v>
      </c>
      <c r="I35" s="314">
        <f>'PCR Cycle 3'!J45*0</f>
        <v>0</v>
      </c>
      <c r="J35" s="382">
        <f>I35</f>
        <v>0</v>
      </c>
      <c r="K35" s="382">
        <f>I35</f>
        <v>0</v>
      </c>
      <c r="L35" s="84"/>
    </row>
    <row r="36" spans="1:15" x14ac:dyDescent="0.35">
      <c r="A36" s="39" t="s">
        <v>36</v>
      </c>
      <c r="B36" s="39"/>
      <c r="C36" s="103"/>
      <c r="D36" s="82"/>
      <c r="E36" s="82"/>
      <c r="F36" s="82"/>
      <c r="G36" s="83"/>
      <c r="H36" s="82"/>
      <c r="I36" s="84"/>
      <c r="J36" s="82"/>
      <c r="K36" s="82"/>
      <c r="L36" s="84"/>
    </row>
    <row r="37" spans="1:15" x14ac:dyDescent="0.35">
      <c r="A37" s="46" t="s">
        <v>24</v>
      </c>
      <c r="C37" s="334">
        <v>118.97999999999999</v>
      </c>
      <c r="D37" s="41">
        <f t="shared" ref="D37:L38" si="11">ROUND((C32+C37+D28/2)*D$35,2)</f>
        <v>-66.12</v>
      </c>
      <c r="E37" s="41">
        <f t="shared" si="11"/>
        <v>-52.94</v>
      </c>
      <c r="F37" s="105">
        <f t="shared" si="11"/>
        <v>-34.9</v>
      </c>
      <c r="G37" s="40">
        <f t="shared" si="11"/>
        <v>-24.48</v>
      </c>
      <c r="H37" s="116">
        <f t="shared" si="11"/>
        <v>-23.48</v>
      </c>
      <c r="I37" s="49">
        <f t="shared" si="11"/>
        <v>0</v>
      </c>
      <c r="J37" s="151">
        <f t="shared" si="11"/>
        <v>0</v>
      </c>
      <c r="K37" s="105">
        <f t="shared" si="11"/>
        <v>0</v>
      </c>
      <c r="L37" s="61">
        <f t="shared" si="11"/>
        <v>0</v>
      </c>
      <c r="O37" s="47">
        <f t="shared" ref="O37:O38" si="12">-SUM(J37:L37)</f>
        <v>0</v>
      </c>
    </row>
    <row r="38" spans="1:15" ht="15" thickBot="1" x14ac:dyDescent="0.4">
      <c r="A38" s="46" t="s">
        <v>25</v>
      </c>
      <c r="C38" s="334">
        <v>0</v>
      </c>
      <c r="D38" s="41">
        <f t="shared" si="11"/>
        <v>0</v>
      </c>
      <c r="E38" s="41">
        <f t="shared" si="11"/>
        <v>0</v>
      </c>
      <c r="F38" s="105">
        <f t="shared" si="11"/>
        <v>0</v>
      </c>
      <c r="G38" s="40">
        <f t="shared" si="11"/>
        <v>0</v>
      </c>
      <c r="H38" s="116">
        <f t="shared" si="11"/>
        <v>0</v>
      </c>
      <c r="I38" s="49">
        <f t="shared" si="11"/>
        <v>0</v>
      </c>
      <c r="J38" s="151">
        <f t="shared" si="11"/>
        <v>0</v>
      </c>
      <c r="K38" s="105">
        <f t="shared" si="11"/>
        <v>0</v>
      </c>
      <c r="L38" s="61">
        <f t="shared" si="11"/>
        <v>0</v>
      </c>
      <c r="O38" s="47">
        <f t="shared" si="12"/>
        <v>0</v>
      </c>
    </row>
    <row r="39" spans="1:15" ht="15.5" thickTop="1" thickBot="1" x14ac:dyDescent="0.4">
      <c r="A39" s="54" t="s">
        <v>22</v>
      </c>
      <c r="B39" s="54"/>
      <c r="C39" s="104">
        <v>0</v>
      </c>
      <c r="D39" s="42">
        <f t="shared" ref="D39:I39" si="13">SUM(D37:D38)+SUM(D32:D33)-D42</f>
        <v>0</v>
      </c>
      <c r="E39" s="42">
        <f t="shared" si="13"/>
        <v>0</v>
      </c>
      <c r="F39" s="50">
        <f t="shared" ref="F39:H39" si="14">SUM(F37:F38)+SUM(F32:F33)-F42</f>
        <v>0</v>
      </c>
      <c r="G39" s="263">
        <f t="shared" si="14"/>
        <v>0</v>
      </c>
      <c r="H39" s="50">
        <f t="shared" si="14"/>
        <v>0</v>
      </c>
      <c r="I39" s="62">
        <f t="shared" si="13"/>
        <v>-1.3464784842653899E-12</v>
      </c>
      <c r="J39" s="152">
        <f t="shared" ref="J39:L39" si="15">SUM(J37:J38)+SUM(J32:J33)-J42</f>
        <v>-1.3464784842653899E-12</v>
      </c>
      <c r="K39" s="50">
        <f t="shared" si="15"/>
        <v>-1.3464784842653899E-12</v>
      </c>
      <c r="L39" s="62">
        <f t="shared" si="15"/>
        <v>-1.3464784842653899E-12</v>
      </c>
    </row>
    <row r="40" spans="1:15" ht="15.5" thickTop="1" thickBot="1" x14ac:dyDescent="0.4">
      <c r="A40" s="54" t="s">
        <v>23</v>
      </c>
      <c r="B40" s="54"/>
      <c r="C40" s="104">
        <v>0</v>
      </c>
      <c r="D40" s="42">
        <f t="shared" ref="D40:I40" si="16">SUM(D37:D38)-D25</f>
        <v>0</v>
      </c>
      <c r="E40" s="42">
        <f t="shared" si="16"/>
        <v>0</v>
      </c>
      <c r="F40" s="50">
        <f t="shared" ref="F40:H40" si="17">SUM(F37:F38)-F25</f>
        <v>0</v>
      </c>
      <c r="G40" s="263">
        <f t="shared" si="17"/>
        <v>0</v>
      </c>
      <c r="H40" s="50">
        <f t="shared" si="17"/>
        <v>0</v>
      </c>
      <c r="I40" s="62">
        <f t="shared" si="16"/>
        <v>0</v>
      </c>
      <c r="J40" s="153">
        <f t="shared" ref="J40:L40" si="18">SUM(J37:J38)-J25</f>
        <v>0</v>
      </c>
      <c r="K40" s="42">
        <f t="shared" si="18"/>
        <v>0</v>
      </c>
      <c r="L40" s="42">
        <f t="shared" si="18"/>
        <v>0</v>
      </c>
    </row>
    <row r="41" spans="1:15" ht="15.5" thickTop="1" thickBot="1" x14ac:dyDescent="0.4">
      <c r="C41" s="98"/>
      <c r="D41" s="17"/>
      <c r="E41" s="17"/>
      <c r="F41" s="17"/>
      <c r="G41" s="10"/>
      <c r="H41" s="17"/>
      <c r="I41" s="11"/>
      <c r="J41" s="17"/>
      <c r="K41" s="17"/>
      <c r="L41" s="11"/>
    </row>
    <row r="42" spans="1:15" ht="15" thickBot="1" x14ac:dyDescent="0.4">
      <c r="A42" s="46" t="s">
        <v>35</v>
      </c>
      <c r="B42" s="113">
        <f>SUM(B32:B33)</f>
        <v>-4650.3999999999605</v>
      </c>
      <c r="C42" s="99">
        <f t="shared" ref="C42:L42" si="19">(C15-SUM(C18:C19))+SUM(C37:C38)+B42</f>
        <v>-13174.489999999962</v>
      </c>
      <c r="D42" s="41">
        <f t="shared" si="19"/>
        <v>-11125.719999999961</v>
      </c>
      <c r="E42" s="41">
        <f t="shared" si="19"/>
        <v>-8296.5199999999604</v>
      </c>
      <c r="F42" s="105">
        <f t="shared" si="19"/>
        <v>-4500.2599999999602</v>
      </c>
      <c r="G42" s="40">
        <f t="shared" si="19"/>
        <v>-4524.0599999999604</v>
      </c>
      <c r="H42" s="41">
        <f t="shared" si="19"/>
        <v>-4547.6899999999605</v>
      </c>
      <c r="I42" s="61">
        <f t="shared" si="19"/>
        <v>4.0017766878008842E-11</v>
      </c>
      <c r="J42" s="151">
        <f t="shared" si="19"/>
        <v>4.0017766878008842E-11</v>
      </c>
      <c r="K42" s="105">
        <f t="shared" si="19"/>
        <v>4.0017766878008842E-11</v>
      </c>
      <c r="L42" s="61">
        <f t="shared" si="19"/>
        <v>4.0017766878008842E-11</v>
      </c>
    </row>
    <row r="43" spans="1:15" x14ac:dyDescent="0.35">
      <c r="A43" s="46" t="s">
        <v>12</v>
      </c>
      <c r="C43" s="114"/>
      <c r="D43" s="17"/>
      <c r="E43" s="17"/>
      <c r="F43" s="17"/>
      <c r="G43" s="10"/>
      <c r="H43" s="17"/>
      <c r="I43" s="11"/>
      <c r="J43" s="17"/>
      <c r="K43" s="17"/>
      <c r="L43" s="11"/>
    </row>
    <row r="44" spans="1:15" ht="15" thickBot="1" x14ac:dyDescent="0.4">
      <c r="A44" s="37"/>
      <c r="B44" s="37"/>
      <c r="C44" s="138"/>
      <c r="D44" s="44"/>
      <c r="E44" s="44"/>
      <c r="F44" s="44"/>
      <c r="G44" s="43"/>
      <c r="H44" s="44"/>
      <c r="I44" s="45"/>
      <c r="J44" s="44"/>
      <c r="K44" s="44"/>
      <c r="L44" s="45"/>
    </row>
    <row r="46" spans="1:15" x14ac:dyDescent="0.35">
      <c r="A46" s="69" t="s">
        <v>11</v>
      </c>
      <c r="B46" s="69"/>
      <c r="C46" s="69"/>
    </row>
    <row r="47" spans="1:15" x14ac:dyDescent="0.35">
      <c r="A47" s="411" t="s">
        <v>164</v>
      </c>
      <c r="B47" s="411"/>
      <c r="C47" s="411"/>
      <c r="D47" s="411"/>
      <c r="E47" s="411"/>
      <c r="F47" s="411"/>
      <c r="G47" s="411"/>
      <c r="H47" s="411"/>
      <c r="I47" s="411"/>
      <c r="J47" s="168"/>
      <c r="K47" s="168"/>
      <c r="L47" s="168"/>
    </row>
    <row r="48" spans="1:15" ht="61.5" customHeight="1" x14ac:dyDescent="0.35">
      <c r="A48" s="390" t="s">
        <v>254</v>
      </c>
      <c r="B48" s="390"/>
      <c r="C48" s="390"/>
      <c r="D48" s="390"/>
      <c r="E48" s="390"/>
      <c r="F48" s="390"/>
      <c r="G48" s="390"/>
      <c r="H48" s="390"/>
      <c r="I48" s="390"/>
      <c r="J48" s="168"/>
      <c r="K48" s="168"/>
    </row>
    <row r="49" spans="1:12" x14ac:dyDescent="0.35">
      <c r="A49" s="390" t="s">
        <v>255</v>
      </c>
      <c r="B49" s="390"/>
      <c r="C49" s="390"/>
      <c r="D49" s="390"/>
      <c r="E49" s="390"/>
      <c r="F49" s="390"/>
      <c r="G49" s="390"/>
      <c r="H49" s="390"/>
      <c r="I49" s="390"/>
      <c r="J49" s="168"/>
      <c r="K49" s="168"/>
      <c r="L49" s="168"/>
    </row>
    <row r="50" spans="1:12" x14ac:dyDescent="0.35">
      <c r="A50" s="63" t="s">
        <v>288</v>
      </c>
      <c r="B50" s="63"/>
      <c r="C50" s="63"/>
      <c r="D50" s="39"/>
      <c r="E50" s="39"/>
      <c r="F50" s="39"/>
      <c r="G50" s="39"/>
      <c r="H50" s="39"/>
      <c r="I50" s="345"/>
    </row>
    <row r="51" spans="1:12" x14ac:dyDescent="0.35">
      <c r="A51" s="3" t="s">
        <v>123</v>
      </c>
      <c r="B51" s="3"/>
      <c r="C51" s="3"/>
      <c r="I51" s="4"/>
    </row>
    <row r="52" spans="1:12" x14ac:dyDescent="0.35">
      <c r="A52" s="3" t="s">
        <v>177</v>
      </c>
      <c r="B52" s="63"/>
      <c r="C52" s="63"/>
      <c r="D52" s="39"/>
      <c r="E52" s="39"/>
      <c r="F52" s="39"/>
      <c r="G52" s="39"/>
      <c r="H52" s="39"/>
      <c r="I52" s="39"/>
    </row>
    <row r="53" spans="1:12" x14ac:dyDescent="0.35">
      <c r="A53" s="3"/>
      <c r="B53" s="3"/>
      <c r="C53" s="3"/>
    </row>
  </sheetData>
  <mergeCells count="6">
    <mergeCell ref="A49:I49"/>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I66"/>
  <sheetViews>
    <sheetView zoomScale="85" zoomScaleNormal="85" workbookViewId="0">
      <selection activeCell="L8" sqref="L8"/>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hidden="1" customWidth="1" outlineLevel="1"/>
    <col min="16" max="16" width="15.26953125" style="46" bestFit="1" customWidth="1" collapsed="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12/01/2024</v>
      </c>
      <c r="B1" s="3"/>
      <c r="C1" s="3"/>
    </row>
    <row r="2" spans="1:35" x14ac:dyDescent="0.35">
      <c r="D2" s="3" t="s">
        <v>170</v>
      </c>
    </row>
    <row r="3" spans="1:35" ht="29" x14ac:dyDescent="0.35">
      <c r="D3" s="48" t="s">
        <v>45</v>
      </c>
      <c r="E3" s="70" t="s">
        <v>17</v>
      </c>
      <c r="F3" s="48" t="s">
        <v>3</v>
      </c>
      <c r="G3" s="70" t="s">
        <v>54</v>
      </c>
      <c r="H3" s="48" t="s">
        <v>10</v>
      </c>
      <c r="I3" s="48" t="s">
        <v>18</v>
      </c>
      <c r="S3" s="48"/>
    </row>
    <row r="4" spans="1:35" x14ac:dyDescent="0.35">
      <c r="A4" s="20" t="s">
        <v>24</v>
      </c>
      <c r="B4" s="20"/>
      <c r="C4" s="20"/>
      <c r="D4" s="22">
        <f>SUM(C20:L20)</f>
        <v>-34791.939999999995</v>
      </c>
      <c r="E4" s="22">
        <f>SUM(C26:K26)</f>
        <v>-373293.08</v>
      </c>
      <c r="F4" s="22">
        <f>E4-D4</f>
        <v>-338501.14</v>
      </c>
      <c r="G4" s="22">
        <f>+B40</f>
        <v>-72367.779999999882</v>
      </c>
      <c r="H4" s="22">
        <f>SUM(C47:K47)</f>
        <v>-12651.2</v>
      </c>
      <c r="I4" s="25">
        <f>SUM(F4:H4)</f>
        <v>-423520.11999999994</v>
      </c>
      <c r="J4" s="306">
        <f>+I4-L40</f>
        <v>0</v>
      </c>
      <c r="M4" s="47"/>
    </row>
    <row r="5" spans="1:35" x14ac:dyDescent="0.35">
      <c r="A5" s="20" t="s">
        <v>105</v>
      </c>
      <c r="B5" s="20"/>
      <c r="C5" s="20"/>
      <c r="D5" s="22">
        <f t="shared" ref="D5:D6" si="0">SUM(C21:L21)</f>
        <v>0</v>
      </c>
      <c r="E5" s="22">
        <f t="shared" ref="E5:E6" si="1">SUM(C27:K27)</f>
        <v>-122543.2</v>
      </c>
      <c r="F5" s="22">
        <f t="shared" ref="F5:F6" si="2">E5-D5</f>
        <v>-122543.2</v>
      </c>
      <c r="G5" s="22">
        <f t="shared" ref="G5:G6" si="3">+B41</f>
        <v>6.4570571112199104E-13</v>
      </c>
      <c r="H5" s="22">
        <f t="shared" ref="H5:H6" si="4">SUM(C48:K48)</f>
        <v>-3515.3799999999997</v>
      </c>
      <c r="I5" s="25">
        <f t="shared" ref="I5:I6" si="5">SUM(F5:H5)</f>
        <v>-126058.58</v>
      </c>
      <c r="J5" s="306"/>
      <c r="M5" s="47"/>
    </row>
    <row r="6" spans="1:35" x14ac:dyDescent="0.35">
      <c r="A6" s="20" t="s">
        <v>106</v>
      </c>
      <c r="B6" s="20"/>
      <c r="C6" s="20"/>
      <c r="D6" s="22">
        <f t="shared" si="0"/>
        <v>0</v>
      </c>
      <c r="E6" s="22">
        <f t="shared" si="1"/>
        <v>-117614.99</v>
      </c>
      <c r="F6" s="22">
        <f t="shared" si="2"/>
        <v>-117614.99</v>
      </c>
      <c r="G6" s="22">
        <f t="shared" si="3"/>
        <v>1.0036416142611415E-13</v>
      </c>
      <c r="H6" s="22">
        <f t="shared" si="4"/>
        <v>-3374.01</v>
      </c>
      <c r="I6" s="25">
        <f t="shared" si="5"/>
        <v>-120989</v>
      </c>
      <c r="J6" s="306"/>
      <c r="M6" s="47"/>
    </row>
    <row r="7" spans="1:35" ht="15" thickBot="1" x14ac:dyDescent="0.4">
      <c r="A7" s="20" t="s">
        <v>107</v>
      </c>
      <c r="B7" s="20"/>
      <c r="C7" s="20"/>
      <c r="D7" s="22">
        <f>SUM(C23:L23)</f>
        <v>0</v>
      </c>
      <c r="E7" s="22">
        <f>SUM(C29:K29)</f>
        <v>-86548.73000000001</v>
      </c>
      <c r="F7" s="22">
        <f>E7-D7</f>
        <v>-86548.73000000001</v>
      </c>
      <c r="G7" s="22">
        <f>+B43</f>
        <v>-6.3504757008558954E-14</v>
      </c>
      <c r="H7" s="22">
        <f>SUM(C50:K50)</f>
        <v>-2482.8000000000002</v>
      </c>
      <c r="I7" s="25">
        <f>SUM(F7:H7)</f>
        <v>-89031.530000000013</v>
      </c>
      <c r="J7" s="306">
        <f>+I7-L43</f>
        <v>0</v>
      </c>
      <c r="M7" s="47"/>
    </row>
    <row r="8" spans="1:35" ht="15.5" thickTop="1" thickBot="1" x14ac:dyDescent="0.4">
      <c r="D8" s="27">
        <f t="shared" ref="D8" si="6">SUM(D4:D7)</f>
        <v>-34791.939999999995</v>
      </c>
      <c r="E8" s="27">
        <f>SUM(E4:E7)</f>
        <v>-700000</v>
      </c>
      <c r="F8" s="27">
        <f>SUM(F4:F7)</f>
        <v>-665208.06000000006</v>
      </c>
      <c r="G8" s="27">
        <f>SUM(G4:G7)</f>
        <v>-72367.779999999882</v>
      </c>
      <c r="H8" s="27">
        <f>SUM(H4:H7)</f>
        <v>-22023.39</v>
      </c>
      <c r="I8" s="27">
        <f>SUM(I4:I7)</f>
        <v>-759599.23</v>
      </c>
      <c r="T8" s="5"/>
    </row>
    <row r="9" spans="1:35" ht="15.75" customHeight="1" thickTop="1" x14ac:dyDescent="0.35"/>
    <row r="10" spans="1:35" x14ac:dyDescent="0.35">
      <c r="K10" s="39"/>
    </row>
    <row r="11" spans="1:35" x14ac:dyDescent="0.35">
      <c r="K11" s="39"/>
    </row>
    <row r="12" spans="1:35" x14ac:dyDescent="0.35">
      <c r="K12" s="39"/>
    </row>
    <row r="13" spans="1:35" x14ac:dyDescent="0.35">
      <c r="V13" s="4"/>
    </row>
    <row r="14" spans="1:35" ht="15" thickBot="1" x14ac:dyDescent="0.4">
      <c r="V14" s="4"/>
      <c r="W14" s="5"/>
    </row>
    <row r="15" spans="1:35" ht="87.5" thickBot="1" x14ac:dyDescent="0.4">
      <c r="B15" s="112" t="str">
        <f>+'PCR Cycle 2'!B13</f>
        <v>Cumulative Over/Under Carryover From 06/01/2024 Filing</v>
      </c>
      <c r="C15" s="143" t="str">
        <f>+'PCR Cycle 2'!C13</f>
        <v>Reverse May 2024 - July 2024 Forecast From 06/01/2024 Filing</v>
      </c>
      <c r="D15" s="395" t="s">
        <v>32</v>
      </c>
      <c r="E15" s="395"/>
      <c r="F15" s="396"/>
      <c r="G15" s="403" t="s">
        <v>32</v>
      </c>
      <c r="H15" s="404"/>
      <c r="I15" s="405"/>
      <c r="J15" s="392" t="s">
        <v>8</v>
      </c>
      <c r="K15" s="393"/>
      <c r="L15" s="394"/>
      <c r="O15" s="276" t="s">
        <v>221</v>
      </c>
    </row>
    <row r="16" spans="1:35" x14ac:dyDescent="0.35">
      <c r="A16" s="46" t="s">
        <v>89</v>
      </c>
      <c r="C16" s="102"/>
      <c r="D16" s="19">
        <f>+'PCR Cycle 2'!D14</f>
        <v>45443</v>
      </c>
      <c r="E16" s="19">
        <f t="shared" ref="E16:L16" si="7">EOMONTH(D16,1)</f>
        <v>45473</v>
      </c>
      <c r="F16" s="19">
        <f t="shared" si="7"/>
        <v>45504</v>
      </c>
      <c r="G16" s="14">
        <f t="shared" si="7"/>
        <v>45535</v>
      </c>
      <c r="H16" s="19">
        <f t="shared" si="7"/>
        <v>45565</v>
      </c>
      <c r="I16" s="15">
        <f t="shared" si="7"/>
        <v>45596</v>
      </c>
      <c r="J16" s="19">
        <f t="shared" si="7"/>
        <v>45626</v>
      </c>
      <c r="K16" s="19">
        <f t="shared" si="7"/>
        <v>45657</v>
      </c>
      <c r="L16" s="15">
        <f t="shared" si="7"/>
        <v>45688</v>
      </c>
      <c r="Z16" s="1"/>
      <c r="AA16" s="1"/>
      <c r="AB16" s="1"/>
      <c r="AC16" s="1"/>
      <c r="AD16" s="1"/>
      <c r="AE16" s="1"/>
      <c r="AF16" s="1"/>
      <c r="AG16" s="1"/>
      <c r="AH16" s="1"/>
      <c r="AI16" s="1"/>
    </row>
    <row r="17" spans="1:15" x14ac:dyDescent="0.35">
      <c r="A17" s="46" t="s">
        <v>5</v>
      </c>
      <c r="C17" s="96">
        <v>0</v>
      </c>
      <c r="D17" s="106">
        <f>SUM(D26:D29)</f>
        <v>0</v>
      </c>
      <c r="E17" s="106">
        <f t="shared" ref="E17:H17" si="8">SUM(E26:E29)</f>
        <v>0</v>
      </c>
      <c r="F17" s="107">
        <f t="shared" si="8"/>
        <v>-700000</v>
      </c>
      <c r="G17" s="16">
        <f t="shared" si="8"/>
        <v>0</v>
      </c>
      <c r="H17" s="55">
        <f t="shared" si="8"/>
        <v>0</v>
      </c>
      <c r="I17" s="154">
        <f>+I26+I29</f>
        <v>0</v>
      </c>
      <c r="J17" s="147">
        <f t="shared" ref="J17:K17" si="9">+J26+J29</f>
        <v>0</v>
      </c>
      <c r="K17" s="77">
        <f t="shared" si="9"/>
        <v>0</v>
      </c>
      <c r="L17" s="78"/>
      <c r="O17" s="47">
        <f>-SUM(J17:L17)</f>
        <v>0</v>
      </c>
    </row>
    <row r="18" spans="1:15" x14ac:dyDescent="0.35">
      <c r="C18" s="98"/>
      <c r="D18" s="17"/>
      <c r="E18" s="17"/>
      <c r="F18" s="17"/>
      <c r="G18" s="28"/>
      <c r="H18" s="17"/>
      <c r="I18" s="11"/>
      <c r="J18" s="31"/>
      <c r="K18" s="31"/>
      <c r="L18" s="29"/>
    </row>
    <row r="19" spans="1:15" x14ac:dyDescent="0.35">
      <c r="A19" s="46" t="s">
        <v>88</v>
      </c>
      <c r="C19" s="98"/>
      <c r="D19" s="18"/>
      <c r="E19" s="18"/>
      <c r="F19" s="18"/>
      <c r="G19" s="261"/>
      <c r="H19" s="18"/>
      <c r="I19" s="155"/>
      <c r="J19" s="31"/>
      <c r="K19" s="31"/>
      <c r="L19" s="29"/>
      <c r="M19" s="63" t="s">
        <v>49</v>
      </c>
      <c r="N19" s="39"/>
    </row>
    <row r="20" spans="1:15" x14ac:dyDescent="0.35">
      <c r="A20" s="46" t="s">
        <v>24</v>
      </c>
      <c r="C20" s="96">
        <v>25929.200000000001</v>
      </c>
      <c r="D20" s="126">
        <f>ROUND('[5]May 2024'!$G97,2)</f>
        <v>-6344.82</v>
      </c>
      <c r="E20" s="126">
        <f>ROUND('[5]June 2024'!$G97,2)</f>
        <v>-8646.77</v>
      </c>
      <c r="F20" s="126">
        <f>ROUND('[5]July 2024'!$G97,2)</f>
        <v>-11494.65</v>
      </c>
      <c r="G20" s="16">
        <f>ROUND('[5]August 2024'!$G97,2)</f>
        <v>-7439.32</v>
      </c>
      <c r="H20" s="55">
        <f>ROUND('[5]September 2024'!$G97,2)</f>
        <v>-6715.55</v>
      </c>
      <c r="I20" s="154">
        <f>ROUND('[5]October 2024'!$G97,2)</f>
        <v>-738.59</v>
      </c>
      <c r="J20" s="116">
        <f>ROUND('PCR Cycle 2'!J26*$M20,2)</f>
        <v>-4832.78</v>
      </c>
      <c r="K20" s="41">
        <f>ROUND('PCR Cycle 2'!K26*$M20,2)</f>
        <v>-6466.78</v>
      </c>
      <c r="L20" s="61">
        <f>ROUND('PCR Cycle 2'!L26*$M20,2)</f>
        <v>-8041.88</v>
      </c>
      <c r="M20" s="72">
        <v>-2.0000000000000002E-5</v>
      </c>
      <c r="N20" s="4"/>
      <c r="O20" s="47">
        <f>-SUM(J20:L20)</f>
        <v>19341.439999999999</v>
      </c>
    </row>
    <row r="21" spans="1:15" x14ac:dyDescent="0.35">
      <c r="A21" s="46" t="s">
        <v>105</v>
      </c>
      <c r="C21" s="96">
        <v>0</v>
      </c>
      <c r="D21" s="126">
        <f>ROUND('[5]May 2024'!$G98,2)</f>
        <v>0</v>
      </c>
      <c r="E21" s="126">
        <f>ROUND('[5]June 2024'!$G98,2)</f>
        <v>0</v>
      </c>
      <c r="F21" s="126">
        <f>ROUND('[5]July 2024'!$G98,2)</f>
        <v>0</v>
      </c>
      <c r="G21" s="16">
        <f>ROUND('[5]August 2024'!$G98,2)</f>
        <v>0</v>
      </c>
      <c r="H21" s="55">
        <f>ROUND('[5]September 2024'!$G98,2)</f>
        <v>0</v>
      </c>
      <c r="I21" s="154">
        <f>ROUND('[5]October 2024'!$G98,2)</f>
        <v>0</v>
      </c>
      <c r="J21" s="116">
        <f>ROUND('PCR Cycle 2'!J27*$M21,2)</f>
        <v>0</v>
      </c>
      <c r="K21" s="41">
        <f>ROUND('PCR Cycle 2'!K27*$M21,2)</f>
        <v>0</v>
      </c>
      <c r="L21" s="61">
        <f>ROUND('PCR Cycle 2'!L27*$M21,2)</f>
        <v>0</v>
      </c>
      <c r="M21" s="72">
        <v>0</v>
      </c>
      <c r="N21" s="4"/>
      <c r="O21" s="47">
        <f t="shared" ref="O21:O23" si="10">-SUM(J21:L21)</f>
        <v>0</v>
      </c>
    </row>
    <row r="22" spans="1:15" x14ac:dyDescent="0.35">
      <c r="A22" s="46" t="s">
        <v>106</v>
      </c>
      <c r="C22" s="96">
        <v>0</v>
      </c>
      <c r="D22" s="126">
        <f>ROUND('[5]May 2024'!$G99,2)</f>
        <v>0</v>
      </c>
      <c r="E22" s="126">
        <f>ROUND('[5]June 2024'!$G99,2)</f>
        <v>0</v>
      </c>
      <c r="F22" s="126">
        <f>ROUND('[5]July 2024'!$G99,2)</f>
        <v>0</v>
      </c>
      <c r="G22" s="16">
        <f>ROUND('[5]August 2024'!$G99,2)</f>
        <v>0</v>
      </c>
      <c r="H22" s="55">
        <f>ROUND('[5]September 2024'!$G99,2)</f>
        <v>0</v>
      </c>
      <c r="I22" s="154">
        <f>ROUND('[5]October 2024'!$G99,2)</f>
        <v>0</v>
      </c>
      <c r="J22" s="116">
        <f>ROUND('PCR Cycle 2'!J28*$M22,2)</f>
        <v>0</v>
      </c>
      <c r="K22" s="41">
        <f>ROUND('PCR Cycle 2'!K28*$M22,2)</f>
        <v>0</v>
      </c>
      <c r="L22" s="61">
        <f>ROUND('PCR Cycle 2'!L28*$M22,2)</f>
        <v>0</v>
      </c>
      <c r="M22" s="72">
        <v>0</v>
      </c>
      <c r="N22" s="4"/>
      <c r="O22" s="47">
        <f t="shared" si="10"/>
        <v>0</v>
      </c>
    </row>
    <row r="23" spans="1:15" x14ac:dyDescent="0.35">
      <c r="A23" s="46" t="s">
        <v>107</v>
      </c>
      <c r="C23" s="96">
        <v>0</v>
      </c>
      <c r="D23" s="126">
        <f>ROUND('[5]May 2024'!$G100,2)</f>
        <v>0</v>
      </c>
      <c r="E23" s="126">
        <f>ROUND('[5]June 2024'!$G100,2)</f>
        <v>0</v>
      </c>
      <c r="F23" s="126">
        <f>ROUND('[5]July 2024'!$G100,2)</f>
        <v>0</v>
      </c>
      <c r="G23" s="16">
        <f>ROUND('[5]August 2024'!$G100,2)</f>
        <v>0</v>
      </c>
      <c r="H23" s="55">
        <f>ROUND('[5]September 2024'!$G100,2)</f>
        <v>0</v>
      </c>
      <c r="I23" s="154">
        <f>ROUND('[5]October 2024'!$G100,2)</f>
        <v>0</v>
      </c>
      <c r="J23" s="116">
        <f>ROUND('PCR Cycle 2'!J29*$M23,2)</f>
        <v>0</v>
      </c>
      <c r="K23" s="41">
        <f>ROUND('PCR Cycle 2'!K29*$M23,2)</f>
        <v>0</v>
      </c>
      <c r="L23" s="61">
        <f>ROUND('PCR Cycle 2'!L29*$M23,2)</f>
        <v>0</v>
      </c>
      <c r="M23" s="72">
        <v>0</v>
      </c>
      <c r="N23" s="4"/>
      <c r="O23" s="47">
        <f t="shared" si="10"/>
        <v>0</v>
      </c>
    </row>
    <row r="24" spans="1:15" x14ac:dyDescent="0.35">
      <c r="C24" s="67"/>
      <c r="D24" s="68"/>
      <c r="E24" s="68"/>
      <c r="F24" s="68"/>
      <c r="G24" s="97"/>
      <c r="H24" s="68"/>
      <c r="I24" s="156"/>
      <c r="J24" s="56"/>
      <c r="K24" s="56"/>
      <c r="L24" s="13"/>
      <c r="N24" s="4"/>
    </row>
    <row r="25" spans="1:15" x14ac:dyDescent="0.35">
      <c r="A25" s="46" t="s">
        <v>90</v>
      </c>
      <c r="C25" s="36"/>
      <c r="D25" s="37"/>
      <c r="E25" s="37"/>
      <c r="F25" s="37"/>
      <c r="G25" s="36"/>
      <c r="H25" s="37"/>
      <c r="I25" s="158"/>
      <c r="J25" s="52"/>
      <c r="K25" s="52"/>
      <c r="L25" s="38"/>
    </row>
    <row r="26" spans="1:15" x14ac:dyDescent="0.35">
      <c r="A26" s="46" t="s">
        <v>24</v>
      </c>
      <c r="C26" s="96">
        <v>0</v>
      </c>
      <c r="D26" s="106">
        <v>0</v>
      </c>
      <c r="E26" s="106">
        <v>0</v>
      </c>
      <c r="F26" s="107">
        <f>-'[23]Pivot - SI Project'!$N$27</f>
        <v>-373293.08</v>
      </c>
      <c r="G26" s="16">
        <v>0</v>
      </c>
      <c r="H26" s="55">
        <v>0</v>
      </c>
      <c r="I26" s="154">
        <v>0</v>
      </c>
      <c r="J26" s="149">
        <v>0</v>
      </c>
      <c r="K26" s="133">
        <v>0</v>
      </c>
      <c r="L26" s="78"/>
      <c r="O26" s="47">
        <f>-SUM(J26:L26)</f>
        <v>0</v>
      </c>
    </row>
    <row r="27" spans="1:15" x14ac:dyDescent="0.35">
      <c r="A27" s="46" t="s">
        <v>105</v>
      </c>
      <c r="C27" s="96">
        <v>0</v>
      </c>
      <c r="D27" s="106">
        <v>0</v>
      </c>
      <c r="E27" s="106">
        <v>0</v>
      </c>
      <c r="F27" s="107">
        <f>-'[23]Pivot - SI Project'!$O$27</f>
        <v>-122543.2</v>
      </c>
      <c r="G27" s="16">
        <v>0</v>
      </c>
      <c r="H27" s="55">
        <v>0</v>
      </c>
      <c r="I27" s="154">
        <v>0</v>
      </c>
      <c r="J27" s="149">
        <v>0</v>
      </c>
      <c r="K27" s="133">
        <v>0</v>
      </c>
      <c r="L27" s="78"/>
      <c r="O27" s="47">
        <f t="shared" ref="O27:O31" si="11">-SUM(J27:L27)</f>
        <v>0</v>
      </c>
    </row>
    <row r="28" spans="1:15" x14ac:dyDescent="0.35">
      <c r="A28" s="46" t="s">
        <v>106</v>
      </c>
      <c r="C28" s="96">
        <v>0</v>
      </c>
      <c r="D28" s="106">
        <v>0</v>
      </c>
      <c r="E28" s="106">
        <v>0</v>
      </c>
      <c r="F28" s="107">
        <f>-'[23]Pivot - SI Project'!$Q$27</f>
        <v>-117614.99</v>
      </c>
      <c r="G28" s="16">
        <v>0</v>
      </c>
      <c r="H28" s="55">
        <v>0</v>
      </c>
      <c r="I28" s="154">
        <v>0</v>
      </c>
      <c r="J28" s="149">
        <v>0</v>
      </c>
      <c r="K28" s="133">
        <v>0</v>
      </c>
      <c r="L28" s="78"/>
      <c r="O28" s="47">
        <f t="shared" si="11"/>
        <v>0</v>
      </c>
    </row>
    <row r="29" spans="1:15" x14ac:dyDescent="0.35">
      <c r="A29" s="46" t="s">
        <v>107</v>
      </c>
      <c r="C29" s="96">
        <v>0</v>
      </c>
      <c r="D29" s="106">
        <v>0</v>
      </c>
      <c r="E29" s="106">
        <v>0</v>
      </c>
      <c r="F29" s="107">
        <f>-'[23]Pivot - SI Project'!$R$27</f>
        <v>-86548.73000000001</v>
      </c>
      <c r="G29" s="16">
        <v>0</v>
      </c>
      <c r="H29" s="55">
        <v>0</v>
      </c>
      <c r="I29" s="154">
        <v>0</v>
      </c>
      <c r="J29" s="149">
        <v>0</v>
      </c>
      <c r="K29" s="133">
        <v>0</v>
      </c>
      <c r="L29" s="78"/>
      <c r="N29" s="47"/>
      <c r="O29" s="47">
        <f t="shared" si="11"/>
        <v>0</v>
      </c>
    </row>
    <row r="30" spans="1:15" x14ac:dyDescent="0.35">
      <c r="C30" s="98"/>
      <c r="D30" s="18"/>
      <c r="E30" s="18"/>
      <c r="F30" s="18"/>
      <c r="G30" s="261"/>
      <c r="H30" s="18"/>
      <c r="I30" s="155"/>
      <c r="J30" s="56"/>
      <c r="K30" s="56"/>
      <c r="L30" s="13"/>
    </row>
    <row r="31" spans="1:15" ht="15" thickBot="1" x14ac:dyDescent="0.4">
      <c r="A31" s="3" t="s">
        <v>14</v>
      </c>
      <c r="B31" s="3"/>
      <c r="C31" s="100">
        <v>988.83999999999992</v>
      </c>
      <c r="D31" s="126">
        <v>-513.65</v>
      </c>
      <c r="E31" s="126">
        <v>-476.45</v>
      </c>
      <c r="F31" s="127">
        <v>-2338.25</v>
      </c>
      <c r="G31" s="26">
        <v>-4191.6000000000004</v>
      </c>
      <c r="H31" s="115">
        <v>-3982.7000000000003</v>
      </c>
      <c r="I31" s="159">
        <v>-3836.04</v>
      </c>
      <c r="J31" s="150">
        <f>ROUND((SUM(I40:I43)+SUM(I47:I50)+SUM(J34:J37)/2)*J$45,2)</f>
        <v>-3841.29</v>
      </c>
      <c r="K31" s="135">
        <f>ROUND((SUM(J40:J43)+SUM(J47:J50)+SUM(K34:K37)/2)*K$45,2)+0.01</f>
        <v>-3832.25</v>
      </c>
      <c r="L31" s="81"/>
      <c r="O31" s="47">
        <f t="shared" si="11"/>
        <v>7673.54</v>
      </c>
    </row>
    <row r="32" spans="1:15" x14ac:dyDescent="0.35">
      <c r="C32" s="64"/>
      <c r="D32" s="139"/>
      <c r="E32" s="139"/>
      <c r="F32" s="140"/>
      <c r="G32" s="64"/>
      <c r="H32" s="33"/>
      <c r="I32" s="160"/>
      <c r="J32" s="34"/>
      <c r="K32" s="34"/>
      <c r="L32" s="60"/>
    </row>
    <row r="33" spans="1:15" x14ac:dyDescent="0.35">
      <c r="A33" s="46" t="s">
        <v>51</v>
      </c>
      <c r="C33" s="65"/>
      <c r="D33" s="140"/>
      <c r="E33" s="140"/>
      <c r="F33" s="140"/>
      <c r="G33" s="262"/>
      <c r="H33" s="35"/>
      <c r="I33" s="161"/>
      <c r="J33" s="34"/>
      <c r="K33" s="34"/>
      <c r="L33" s="60"/>
    </row>
    <row r="34" spans="1:15" x14ac:dyDescent="0.35">
      <c r="A34" s="46" t="s">
        <v>24</v>
      </c>
      <c r="C34" s="99">
        <f>C26-C20</f>
        <v>-25929.200000000001</v>
      </c>
      <c r="D34" s="41">
        <f t="shared" ref="D34:L34" si="12">D26-D20</f>
        <v>6344.82</v>
      </c>
      <c r="E34" s="41">
        <f t="shared" si="12"/>
        <v>8646.77</v>
      </c>
      <c r="F34" s="105">
        <f t="shared" si="12"/>
        <v>-361798.43</v>
      </c>
      <c r="G34" s="40">
        <f t="shared" si="12"/>
        <v>7439.32</v>
      </c>
      <c r="H34" s="41">
        <f t="shared" si="12"/>
        <v>6715.55</v>
      </c>
      <c r="I34" s="61">
        <f t="shared" si="12"/>
        <v>738.59</v>
      </c>
      <c r="J34" s="116">
        <f t="shared" si="12"/>
        <v>4832.78</v>
      </c>
      <c r="K34" s="41">
        <f t="shared" si="12"/>
        <v>6466.78</v>
      </c>
      <c r="L34" s="61">
        <f t="shared" si="12"/>
        <v>8041.88</v>
      </c>
    </row>
    <row r="35" spans="1:15" x14ac:dyDescent="0.35">
      <c r="A35" s="46" t="s">
        <v>105</v>
      </c>
      <c r="C35" s="99">
        <f t="shared" ref="C35:L35" si="13">C27-C21</f>
        <v>0</v>
      </c>
      <c r="D35" s="41">
        <f t="shared" si="13"/>
        <v>0</v>
      </c>
      <c r="E35" s="41">
        <f t="shared" si="13"/>
        <v>0</v>
      </c>
      <c r="F35" s="105">
        <f t="shared" si="13"/>
        <v>-122543.2</v>
      </c>
      <c r="G35" s="40">
        <f t="shared" si="13"/>
        <v>0</v>
      </c>
      <c r="H35" s="41">
        <f t="shared" si="13"/>
        <v>0</v>
      </c>
      <c r="I35" s="61">
        <f t="shared" si="13"/>
        <v>0</v>
      </c>
      <c r="J35" s="116">
        <f t="shared" si="13"/>
        <v>0</v>
      </c>
      <c r="K35" s="41">
        <f t="shared" si="13"/>
        <v>0</v>
      </c>
      <c r="L35" s="61">
        <f t="shared" si="13"/>
        <v>0</v>
      </c>
    </row>
    <row r="36" spans="1:15" x14ac:dyDescent="0.35">
      <c r="A36" s="46" t="s">
        <v>106</v>
      </c>
      <c r="C36" s="99">
        <f t="shared" ref="C36:L36" si="14">C28-C22</f>
        <v>0</v>
      </c>
      <c r="D36" s="41">
        <f t="shared" si="14"/>
        <v>0</v>
      </c>
      <c r="E36" s="41">
        <f t="shared" si="14"/>
        <v>0</v>
      </c>
      <c r="F36" s="105">
        <f t="shared" si="14"/>
        <v>-117614.99</v>
      </c>
      <c r="G36" s="40">
        <f t="shared" si="14"/>
        <v>0</v>
      </c>
      <c r="H36" s="41">
        <f t="shared" si="14"/>
        <v>0</v>
      </c>
      <c r="I36" s="61">
        <f t="shared" si="14"/>
        <v>0</v>
      </c>
      <c r="J36" s="116">
        <f t="shared" si="14"/>
        <v>0</v>
      </c>
      <c r="K36" s="41">
        <f t="shared" si="14"/>
        <v>0</v>
      </c>
      <c r="L36" s="61">
        <f t="shared" si="14"/>
        <v>0</v>
      </c>
    </row>
    <row r="37" spans="1:15" x14ac:dyDescent="0.35">
      <c r="A37" s="46" t="s">
        <v>107</v>
      </c>
      <c r="C37" s="99">
        <f t="shared" ref="C37:L37" si="15">C29-C23</f>
        <v>0</v>
      </c>
      <c r="D37" s="41">
        <f t="shared" si="15"/>
        <v>0</v>
      </c>
      <c r="E37" s="41">
        <f t="shared" si="15"/>
        <v>0</v>
      </c>
      <c r="F37" s="105">
        <f t="shared" si="15"/>
        <v>-86548.73000000001</v>
      </c>
      <c r="G37" s="40">
        <f t="shared" si="15"/>
        <v>0</v>
      </c>
      <c r="H37" s="41">
        <f t="shared" si="15"/>
        <v>0</v>
      </c>
      <c r="I37" s="61">
        <f t="shared" si="15"/>
        <v>0</v>
      </c>
      <c r="J37" s="116">
        <f t="shared" si="15"/>
        <v>0</v>
      </c>
      <c r="K37" s="41">
        <f t="shared" si="15"/>
        <v>0</v>
      </c>
      <c r="L37" s="61">
        <f t="shared" si="15"/>
        <v>0</v>
      </c>
    </row>
    <row r="38" spans="1:15" x14ac:dyDescent="0.35">
      <c r="C38" s="98"/>
      <c r="D38" s="17"/>
      <c r="E38" s="17"/>
      <c r="F38" s="17"/>
      <c r="G38" s="28"/>
      <c r="H38" s="17"/>
      <c r="I38" s="11"/>
      <c r="J38" s="17"/>
      <c r="K38" s="17"/>
      <c r="L38" s="11"/>
    </row>
    <row r="39" spans="1:15" ht="15" thickBot="1" x14ac:dyDescent="0.4">
      <c r="A39" s="46" t="s">
        <v>52</v>
      </c>
      <c r="C39" s="98"/>
      <c r="D39" s="17"/>
      <c r="E39" s="17"/>
      <c r="F39" s="17"/>
      <c r="G39" s="28"/>
      <c r="H39" s="17"/>
      <c r="I39" s="11"/>
      <c r="J39" s="17"/>
      <c r="K39" s="17"/>
      <c r="L39" s="11"/>
    </row>
    <row r="40" spans="1:15" x14ac:dyDescent="0.35">
      <c r="A40" s="46" t="s">
        <v>24</v>
      </c>
      <c r="B40" s="331">
        <v>-72367.779999999882</v>
      </c>
      <c r="C40" s="99">
        <f>B40+C34+B47</f>
        <v>-98296.97999999988</v>
      </c>
      <c r="D40" s="41">
        <f t="shared" ref="D40:L40" si="16">C40+D34+C47</f>
        <v>-90963.319999999891</v>
      </c>
      <c r="E40" s="41">
        <f t="shared" si="16"/>
        <v>-82830.199999999881</v>
      </c>
      <c r="F40" s="105">
        <f t="shared" si="16"/>
        <v>-445105.0799999999</v>
      </c>
      <c r="G40" s="40">
        <f t="shared" si="16"/>
        <v>-439110.65999999992</v>
      </c>
      <c r="H40" s="41">
        <f t="shared" si="16"/>
        <v>-434804.36999999994</v>
      </c>
      <c r="I40" s="61">
        <f t="shared" si="16"/>
        <v>-436339.34999999992</v>
      </c>
      <c r="J40" s="116">
        <f t="shared" si="16"/>
        <v>-433688.42999999988</v>
      </c>
      <c r="K40" s="41">
        <f t="shared" si="16"/>
        <v>-429400.49999999983</v>
      </c>
      <c r="L40" s="61">
        <f t="shared" si="16"/>
        <v>-423520.11999999982</v>
      </c>
    </row>
    <row r="41" spans="1:15" x14ac:dyDescent="0.35">
      <c r="A41" s="46" t="s">
        <v>105</v>
      </c>
      <c r="B41" s="332">
        <v>6.4570571112199104E-13</v>
      </c>
      <c r="C41" s="99">
        <f t="shared" ref="C41:L41" si="17">B41+C35+B48</f>
        <v>6.4570571112199104E-13</v>
      </c>
      <c r="D41" s="41">
        <f t="shared" si="17"/>
        <v>6.4570571112199104E-13</v>
      </c>
      <c r="E41" s="41">
        <f t="shared" si="17"/>
        <v>6.4570571112199104E-13</v>
      </c>
      <c r="F41" s="105">
        <f t="shared" si="17"/>
        <v>-122543.2</v>
      </c>
      <c r="G41" s="40">
        <f t="shared" si="17"/>
        <v>-122878.28</v>
      </c>
      <c r="H41" s="41">
        <f t="shared" si="17"/>
        <v>-123546.81</v>
      </c>
      <c r="I41" s="61">
        <f t="shared" si="17"/>
        <v>-124187.88</v>
      </c>
      <c r="J41" s="116">
        <f t="shared" si="17"/>
        <v>-124808.34000000001</v>
      </c>
      <c r="K41" s="41">
        <f t="shared" si="17"/>
        <v>-125431.90000000001</v>
      </c>
      <c r="L41" s="61">
        <f t="shared" si="17"/>
        <v>-126058.58</v>
      </c>
    </row>
    <row r="42" spans="1:15" x14ac:dyDescent="0.35">
      <c r="A42" s="46" t="s">
        <v>106</v>
      </c>
      <c r="B42" s="332">
        <v>1.0036416142611415E-13</v>
      </c>
      <c r="C42" s="99">
        <f t="shared" ref="C42:L42" si="18">B42+C36+B49</f>
        <v>1.0036416142611415E-13</v>
      </c>
      <c r="D42" s="41">
        <f t="shared" si="18"/>
        <v>1.0036416142611415E-13</v>
      </c>
      <c r="E42" s="41">
        <f t="shared" si="18"/>
        <v>1.0036416142611415E-13</v>
      </c>
      <c r="F42" s="105">
        <f t="shared" si="18"/>
        <v>-117614.99</v>
      </c>
      <c r="G42" s="40">
        <f t="shared" si="18"/>
        <v>-117936.6</v>
      </c>
      <c r="H42" s="41">
        <f t="shared" si="18"/>
        <v>-118578.25</v>
      </c>
      <c r="I42" s="61">
        <f t="shared" si="18"/>
        <v>-119193.54</v>
      </c>
      <c r="J42" s="116">
        <f t="shared" si="18"/>
        <v>-119789.04999999999</v>
      </c>
      <c r="K42" s="41">
        <f t="shared" si="18"/>
        <v>-120387.52999999998</v>
      </c>
      <c r="L42" s="61">
        <f t="shared" si="18"/>
        <v>-120988.99999999999</v>
      </c>
    </row>
    <row r="43" spans="1:15" ht="15" thickBot="1" x14ac:dyDescent="0.4">
      <c r="A43" s="46" t="s">
        <v>107</v>
      </c>
      <c r="B43" s="333">
        <v>-6.3504757008558954E-14</v>
      </c>
      <c r="C43" s="99">
        <f t="shared" ref="C43:L43" si="19">B43+C37+B50</f>
        <v>-6.3504757008558954E-14</v>
      </c>
      <c r="D43" s="41">
        <f t="shared" si="19"/>
        <v>-6.3504757008558954E-14</v>
      </c>
      <c r="E43" s="41">
        <f t="shared" si="19"/>
        <v>-6.3504757008558954E-14</v>
      </c>
      <c r="F43" s="105">
        <f t="shared" si="19"/>
        <v>-86548.73000000001</v>
      </c>
      <c r="G43" s="40">
        <f t="shared" si="19"/>
        <v>-86785.390000000014</v>
      </c>
      <c r="H43" s="41">
        <f t="shared" si="19"/>
        <v>-87257.550000000017</v>
      </c>
      <c r="I43" s="61">
        <f t="shared" si="19"/>
        <v>-87710.320000000022</v>
      </c>
      <c r="J43" s="116">
        <f t="shared" si="19"/>
        <v>-88148.530000000028</v>
      </c>
      <c r="K43" s="41">
        <f t="shared" si="19"/>
        <v>-88588.930000000022</v>
      </c>
      <c r="L43" s="61">
        <f t="shared" si="19"/>
        <v>-89031.530000000028</v>
      </c>
    </row>
    <row r="44" spans="1:15" x14ac:dyDescent="0.35">
      <c r="C44" s="98"/>
      <c r="D44" s="17"/>
      <c r="E44" s="17"/>
      <c r="F44" s="17"/>
      <c r="G44" s="10"/>
      <c r="H44" s="17"/>
      <c r="I44" s="11"/>
      <c r="J44" s="17"/>
      <c r="K44" s="17"/>
      <c r="L44" s="11"/>
    </row>
    <row r="45" spans="1:15" x14ac:dyDescent="0.35">
      <c r="A45" s="39" t="s">
        <v>86</v>
      </c>
      <c r="B45" s="39"/>
      <c r="C45" s="101"/>
      <c r="D45" s="309">
        <f>'PCR Cycle 3'!E45</f>
        <v>5.4564799999999997E-3</v>
      </c>
      <c r="E45" s="309">
        <f>'PCR Cycle 3'!F45</f>
        <v>5.4667700000000001E-3</v>
      </c>
      <c r="F45" s="309">
        <f>'PCR Cycle 3'!G45</f>
        <v>5.46883E-3</v>
      </c>
      <c r="G45" s="310">
        <f>'PCR Cycle 3'!H45</f>
        <v>5.4406000000000003E-3</v>
      </c>
      <c r="H45" s="309">
        <f>'PCR Cycle 3'!I45</f>
        <v>5.1888699999999999E-3</v>
      </c>
      <c r="I45" s="311">
        <f>'PCR Cycle 3'!J45</f>
        <v>4.9961500000000004E-3</v>
      </c>
      <c r="J45" s="381">
        <f>I45</f>
        <v>4.9961500000000004E-3</v>
      </c>
      <c r="K45" s="381">
        <f>I45</f>
        <v>4.9961500000000004E-3</v>
      </c>
      <c r="L45" s="84"/>
    </row>
    <row r="46" spans="1:15" x14ac:dyDescent="0.35">
      <c r="A46" s="39" t="s">
        <v>36</v>
      </c>
      <c r="B46" s="39"/>
      <c r="C46" s="103"/>
      <c r="D46" s="82"/>
      <c r="E46" s="82"/>
      <c r="F46" s="82"/>
      <c r="G46" s="83"/>
      <c r="H46" s="82"/>
      <c r="I46" s="84"/>
      <c r="J46" s="82"/>
      <c r="K46" s="82"/>
      <c r="L46" s="84"/>
    </row>
    <row r="47" spans="1:15" x14ac:dyDescent="0.35">
      <c r="A47" s="46" t="s">
        <v>24</v>
      </c>
      <c r="C47" s="334">
        <v>988.83999999999992</v>
      </c>
      <c r="D47" s="41">
        <f>ROUND((C40+C47+D34/2)*D$45,2)</f>
        <v>-513.65</v>
      </c>
      <c r="E47" s="41">
        <f t="shared" ref="E47:L47" si="20">ROUND((D40+D47+E34/2)*E$45,2)</f>
        <v>-476.45</v>
      </c>
      <c r="F47" s="105">
        <f t="shared" si="20"/>
        <v>-1444.9</v>
      </c>
      <c r="G47" s="40">
        <f t="shared" si="20"/>
        <v>-2409.2600000000002</v>
      </c>
      <c r="H47" s="116">
        <f t="shared" si="20"/>
        <v>-2273.5700000000002</v>
      </c>
      <c r="I47" s="49">
        <f t="shared" si="20"/>
        <v>-2181.86</v>
      </c>
      <c r="J47" s="151">
        <f t="shared" si="20"/>
        <v>-2178.85</v>
      </c>
      <c r="K47" s="105">
        <f t="shared" si="20"/>
        <v>-2161.5</v>
      </c>
      <c r="L47" s="61">
        <f t="shared" si="20"/>
        <v>0</v>
      </c>
      <c r="O47" s="47">
        <f>-SUM(J47:L47)</f>
        <v>4340.3500000000004</v>
      </c>
    </row>
    <row r="48" spans="1:15" x14ac:dyDescent="0.35">
      <c r="A48" s="46" t="s">
        <v>105</v>
      </c>
      <c r="C48" s="334">
        <v>0</v>
      </c>
      <c r="D48" s="41">
        <f t="shared" ref="D48:L48" si="21">ROUND((C41+C48+D35/2)*D$45,2)</f>
        <v>0</v>
      </c>
      <c r="E48" s="41">
        <f t="shared" si="21"/>
        <v>0</v>
      </c>
      <c r="F48" s="105">
        <f t="shared" si="21"/>
        <v>-335.08</v>
      </c>
      <c r="G48" s="40">
        <f t="shared" si="21"/>
        <v>-668.53</v>
      </c>
      <c r="H48" s="116">
        <f t="shared" si="21"/>
        <v>-641.07000000000005</v>
      </c>
      <c r="I48" s="49">
        <f t="shared" si="21"/>
        <v>-620.46</v>
      </c>
      <c r="J48" s="151">
        <f t="shared" si="21"/>
        <v>-623.55999999999995</v>
      </c>
      <c r="K48" s="105">
        <f t="shared" si="21"/>
        <v>-626.67999999999995</v>
      </c>
      <c r="L48" s="61">
        <f t="shared" si="21"/>
        <v>0</v>
      </c>
      <c r="O48" s="47">
        <f t="shared" ref="O48:O50" si="22">-SUM(J48:L48)</f>
        <v>1250.2399999999998</v>
      </c>
    </row>
    <row r="49" spans="1:15" x14ac:dyDescent="0.35">
      <c r="A49" s="46" t="s">
        <v>106</v>
      </c>
      <c r="C49" s="334">
        <v>0</v>
      </c>
      <c r="D49" s="41">
        <f t="shared" ref="D49:L49" si="23">ROUND((C42+C49+D36/2)*D$45,2)</f>
        <v>0</v>
      </c>
      <c r="E49" s="41">
        <f t="shared" si="23"/>
        <v>0</v>
      </c>
      <c r="F49" s="105">
        <f t="shared" si="23"/>
        <v>-321.61</v>
      </c>
      <c r="G49" s="40">
        <f t="shared" si="23"/>
        <v>-641.65</v>
      </c>
      <c r="H49" s="116">
        <f t="shared" si="23"/>
        <v>-615.29</v>
      </c>
      <c r="I49" s="49">
        <f t="shared" si="23"/>
        <v>-595.51</v>
      </c>
      <c r="J49" s="151">
        <f t="shared" si="23"/>
        <v>-598.48</v>
      </c>
      <c r="K49" s="105">
        <f t="shared" si="23"/>
        <v>-601.47</v>
      </c>
      <c r="L49" s="61">
        <f t="shared" si="23"/>
        <v>0</v>
      </c>
      <c r="O49" s="47">
        <f t="shared" si="22"/>
        <v>1199.95</v>
      </c>
    </row>
    <row r="50" spans="1:15" ht="15" thickBot="1" x14ac:dyDescent="0.4">
      <c r="A50" s="46" t="s">
        <v>107</v>
      </c>
      <c r="C50" s="334">
        <v>0</v>
      </c>
      <c r="D50" s="41">
        <f t="shared" ref="D50:L50" si="24">ROUND((C43+C50+D37/2)*D$45,2)</f>
        <v>0</v>
      </c>
      <c r="E50" s="41">
        <f t="shared" si="24"/>
        <v>0</v>
      </c>
      <c r="F50" s="105">
        <f t="shared" si="24"/>
        <v>-236.66</v>
      </c>
      <c r="G50" s="40">
        <f t="shared" si="24"/>
        <v>-472.16</v>
      </c>
      <c r="H50" s="116">
        <f t="shared" si="24"/>
        <v>-452.77</v>
      </c>
      <c r="I50" s="49">
        <f t="shared" si="24"/>
        <v>-438.21</v>
      </c>
      <c r="J50" s="151">
        <f t="shared" si="24"/>
        <v>-440.4</v>
      </c>
      <c r="K50" s="105">
        <f t="shared" si="24"/>
        <v>-442.6</v>
      </c>
      <c r="L50" s="61">
        <f t="shared" si="24"/>
        <v>0</v>
      </c>
      <c r="O50" s="47">
        <f t="shared" si="22"/>
        <v>883</v>
      </c>
    </row>
    <row r="51" spans="1:15" ht="15.5" thickTop="1" thickBot="1" x14ac:dyDescent="0.4">
      <c r="A51" s="54" t="s">
        <v>22</v>
      </c>
      <c r="B51" s="54"/>
      <c r="C51" s="104">
        <v>0</v>
      </c>
      <c r="D51" s="42">
        <f t="shared" ref="D51:I51" si="25">SUM(D47:D50)+SUM(D40:D43)-D54</f>
        <v>0</v>
      </c>
      <c r="E51" s="42">
        <f t="shared" si="25"/>
        <v>0</v>
      </c>
      <c r="F51" s="50">
        <f t="shared" ref="F51:H51" si="26">SUM(F47:F50)+SUM(F40:F43)-F54</f>
        <v>0</v>
      </c>
      <c r="G51" s="263">
        <f t="shared" si="26"/>
        <v>0</v>
      </c>
      <c r="H51" s="50">
        <f t="shared" si="26"/>
        <v>0</v>
      </c>
      <c r="I51" s="62">
        <f t="shared" si="25"/>
        <v>0</v>
      </c>
      <c r="J51" s="152">
        <f t="shared" ref="J51:L51" si="27">SUM(J47:J50)+SUM(J40:J43)-J54</f>
        <v>0</v>
      </c>
      <c r="K51" s="50">
        <f t="shared" si="27"/>
        <v>0</v>
      </c>
      <c r="L51" s="62">
        <f t="shared" si="27"/>
        <v>0</v>
      </c>
    </row>
    <row r="52" spans="1:15" ht="15.5" thickTop="1" thickBot="1" x14ac:dyDescent="0.4">
      <c r="A52" s="54" t="s">
        <v>23</v>
      </c>
      <c r="B52" s="54"/>
      <c r="C52" s="104">
        <v>0</v>
      </c>
      <c r="D52" s="42">
        <f t="shared" ref="D52:I52" si="28">SUM(D47:D50)-D31</f>
        <v>0</v>
      </c>
      <c r="E52" s="42">
        <f t="shared" si="28"/>
        <v>0</v>
      </c>
      <c r="F52" s="50">
        <f t="shared" ref="F52:H52" si="29">SUM(F47:F50)-F31</f>
        <v>0</v>
      </c>
      <c r="G52" s="263">
        <f t="shared" si="29"/>
        <v>0</v>
      </c>
      <c r="H52" s="50">
        <f t="shared" si="29"/>
        <v>0</v>
      </c>
      <c r="I52" s="62">
        <f t="shared" si="28"/>
        <v>0</v>
      </c>
      <c r="J52" s="153">
        <f t="shared" ref="J52:L52" si="30">SUM(J47:J50)-J31</f>
        <v>0</v>
      </c>
      <c r="K52" s="42">
        <f t="shared" si="30"/>
        <v>0</v>
      </c>
      <c r="L52" s="42">
        <f t="shared" si="30"/>
        <v>0</v>
      </c>
    </row>
    <row r="53" spans="1:15" ht="15.5" thickTop="1" thickBot="1" x14ac:dyDescent="0.4">
      <c r="C53" s="98"/>
      <c r="D53" s="17"/>
      <c r="E53" s="17"/>
      <c r="F53" s="17"/>
      <c r="G53" s="10"/>
      <c r="H53" s="17"/>
      <c r="I53" s="11"/>
      <c r="J53" s="17"/>
      <c r="K53" s="17"/>
      <c r="L53" s="11"/>
    </row>
    <row r="54" spans="1:15" ht="15" thickBot="1" x14ac:dyDescent="0.4">
      <c r="A54" s="46" t="s">
        <v>35</v>
      </c>
      <c r="B54" s="113">
        <f>SUM(B40:B43)</f>
        <v>-72367.779999999882</v>
      </c>
      <c r="C54" s="99">
        <f t="shared" ref="C54:L54" si="31">(C17-SUM(C20:C23))+SUM(C47:C50)+B54</f>
        <v>-97308.139999999883</v>
      </c>
      <c r="D54" s="41">
        <f t="shared" si="31"/>
        <v>-91476.969999999885</v>
      </c>
      <c r="E54" s="41">
        <f t="shared" si="31"/>
        <v>-83306.649999999878</v>
      </c>
      <c r="F54" s="105">
        <f t="shared" si="31"/>
        <v>-774150.24999999988</v>
      </c>
      <c r="G54" s="40">
        <f t="shared" si="31"/>
        <v>-770902.52999999991</v>
      </c>
      <c r="H54" s="41">
        <f t="shared" si="31"/>
        <v>-768169.67999999993</v>
      </c>
      <c r="I54" s="61">
        <f t="shared" si="31"/>
        <v>-771267.12999999989</v>
      </c>
      <c r="J54" s="151">
        <f t="shared" si="31"/>
        <v>-770275.6399999999</v>
      </c>
      <c r="K54" s="105">
        <f t="shared" si="31"/>
        <v>-767641.10999999987</v>
      </c>
      <c r="L54" s="61">
        <f t="shared" si="31"/>
        <v>-759599.22999999986</v>
      </c>
    </row>
    <row r="55" spans="1:15" x14ac:dyDescent="0.35">
      <c r="A55" s="46" t="s">
        <v>12</v>
      </c>
      <c r="C55" s="114"/>
      <c r="D55" s="17"/>
      <c r="E55" s="17"/>
      <c r="F55" s="17"/>
      <c r="G55" s="10"/>
      <c r="H55" s="17"/>
      <c r="I55" s="11"/>
      <c r="J55" s="17"/>
      <c r="K55" s="17"/>
      <c r="L55" s="11"/>
    </row>
    <row r="56" spans="1:15" ht="15" thickBot="1" x14ac:dyDescent="0.4">
      <c r="A56" s="37"/>
      <c r="B56" s="37"/>
      <c r="C56" s="138"/>
      <c r="D56" s="44"/>
      <c r="E56" s="44"/>
      <c r="F56" s="44"/>
      <c r="G56" s="43"/>
      <c r="H56" s="44"/>
      <c r="I56" s="45"/>
      <c r="J56" s="44"/>
      <c r="K56" s="44"/>
      <c r="L56" s="45"/>
    </row>
    <row r="58" spans="1:15" x14ac:dyDescent="0.35">
      <c r="A58" s="69" t="s">
        <v>11</v>
      </c>
      <c r="B58" s="69"/>
      <c r="C58" s="69"/>
    </row>
    <row r="59" spans="1:15" x14ac:dyDescent="0.35">
      <c r="A59" s="390" t="s">
        <v>292</v>
      </c>
      <c r="B59" s="390"/>
      <c r="C59" s="390"/>
      <c r="D59" s="390"/>
      <c r="E59" s="390"/>
      <c r="F59" s="390"/>
      <c r="G59" s="390"/>
      <c r="H59" s="390"/>
      <c r="I59" s="390"/>
      <c r="J59" s="271"/>
      <c r="K59" s="271"/>
      <c r="L59" s="271"/>
    </row>
    <row r="60" spans="1:15" ht="58.5" customHeight="1" x14ac:dyDescent="0.35">
      <c r="A60" s="390" t="s">
        <v>254</v>
      </c>
      <c r="B60" s="390"/>
      <c r="C60" s="390"/>
      <c r="D60" s="390"/>
      <c r="E60" s="390"/>
      <c r="F60" s="390"/>
      <c r="G60" s="390"/>
      <c r="H60" s="390"/>
      <c r="I60" s="390"/>
      <c r="J60" s="271"/>
      <c r="K60" s="271"/>
    </row>
    <row r="61" spans="1:15" x14ac:dyDescent="0.35">
      <c r="A61" s="390" t="s">
        <v>321</v>
      </c>
      <c r="B61" s="390"/>
      <c r="C61" s="390"/>
      <c r="D61" s="390"/>
      <c r="E61" s="390"/>
      <c r="F61" s="390"/>
      <c r="G61" s="390"/>
      <c r="H61" s="390"/>
      <c r="I61" s="390"/>
      <c r="J61" s="379"/>
      <c r="K61" s="379"/>
      <c r="L61" s="379"/>
    </row>
    <row r="62" spans="1:15" x14ac:dyDescent="0.35">
      <c r="A62" s="390" t="s">
        <v>255</v>
      </c>
      <c r="B62" s="390"/>
      <c r="C62" s="390"/>
      <c r="D62" s="390"/>
      <c r="E62" s="390"/>
      <c r="F62" s="390"/>
      <c r="G62" s="390"/>
      <c r="H62" s="390"/>
      <c r="I62" s="390"/>
      <c r="J62" s="271"/>
      <c r="K62" s="271"/>
      <c r="L62" s="271"/>
    </row>
    <row r="63" spans="1:15" x14ac:dyDescent="0.35">
      <c r="A63" s="63" t="s">
        <v>288</v>
      </c>
      <c r="B63" s="63"/>
      <c r="C63" s="63"/>
      <c r="D63" s="39"/>
      <c r="E63" s="39"/>
      <c r="F63" s="39"/>
      <c r="G63" s="39"/>
      <c r="H63" s="39"/>
      <c r="I63" s="345"/>
    </row>
    <row r="64" spans="1:15" x14ac:dyDescent="0.35">
      <c r="A64" s="63" t="s">
        <v>123</v>
      </c>
      <c r="B64" s="63"/>
      <c r="C64" s="63"/>
      <c r="D64" s="39"/>
      <c r="E64" s="39"/>
      <c r="F64" s="39"/>
      <c r="G64" s="39"/>
      <c r="H64" s="39"/>
      <c r="I64" s="345"/>
    </row>
    <row r="65" spans="1:9" x14ac:dyDescent="0.35">
      <c r="A65" s="3"/>
      <c r="B65" s="63"/>
      <c r="C65" s="63"/>
      <c r="D65" s="39"/>
      <c r="E65" s="39"/>
      <c r="F65" s="39"/>
      <c r="G65" s="39"/>
      <c r="H65" s="39"/>
      <c r="I65" s="39"/>
    </row>
    <row r="66" spans="1:9" x14ac:dyDescent="0.35">
      <c r="A66" s="3"/>
      <c r="B66" s="3"/>
      <c r="C66" s="3"/>
    </row>
  </sheetData>
  <mergeCells count="7">
    <mergeCell ref="A62:I62"/>
    <mergeCell ref="D15:F15"/>
    <mergeCell ref="G15:I15"/>
    <mergeCell ref="J15:L15"/>
    <mergeCell ref="A59:I59"/>
    <mergeCell ref="A60:I60"/>
    <mergeCell ref="A61:I61"/>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tabColor theme="3"/>
  </sheetPr>
  <dimension ref="A2:S37"/>
  <sheetViews>
    <sheetView workbookViewId="0"/>
  </sheetViews>
  <sheetFormatPr defaultRowHeight="14.5" x14ac:dyDescent="0.35"/>
  <cols>
    <col min="1" max="1" width="27.7265625" customWidth="1"/>
    <col min="2" max="2" width="11.26953125" bestFit="1" customWidth="1"/>
    <col min="3" max="3" width="10.1796875" bestFit="1" customWidth="1"/>
    <col min="4" max="5" width="11.26953125" bestFit="1" customWidth="1"/>
    <col min="6" max="6" width="10.1796875" bestFit="1" customWidth="1"/>
  </cols>
  <sheetData>
    <row r="2" spans="1:6" x14ac:dyDescent="0.35">
      <c r="A2" s="3" t="str">
        <f>+'Tariff Tables'!A1</f>
        <v>Evergy Missouri West, Inc. - DSIM Rider Update Filed 12/01/2024</v>
      </c>
    </row>
    <row r="3" spans="1:6" ht="15" thickBot="1" x14ac:dyDescent="0.4">
      <c r="A3" s="3" t="s">
        <v>124</v>
      </c>
    </row>
    <row r="4" spans="1:6" ht="27.5" thickBot="1" x14ac:dyDescent="0.4">
      <c r="A4" s="86" t="s">
        <v>131</v>
      </c>
      <c r="B4" s="123" t="s">
        <v>130</v>
      </c>
      <c r="C4" s="123" t="s">
        <v>129</v>
      </c>
      <c r="D4" s="123" t="s">
        <v>128</v>
      </c>
      <c r="E4" s="123" t="s">
        <v>127</v>
      </c>
      <c r="F4" s="88" t="s">
        <v>28</v>
      </c>
    </row>
    <row r="5" spans="1:6" ht="15" thickBot="1" x14ac:dyDescent="0.4">
      <c r="A5" s="89" t="s">
        <v>24</v>
      </c>
      <c r="B5" s="294">
        <f>+'Tariff Tables'!S12+'Tariff Tables'!S20</f>
        <v>0</v>
      </c>
      <c r="C5" s="294">
        <f>+'Tariff Tables'!T12+'Tariff Tables'!T20</f>
        <v>2.0000000000000002E-5</v>
      </c>
      <c r="D5" s="294">
        <f>+'Tariff Tables'!U12+'Tariff Tables'!U20</f>
        <v>-1.0000000000000001E-5</v>
      </c>
      <c r="E5" s="294">
        <f>+'Tariff Tables'!V12+'Tariff Tables'!V20</f>
        <v>0</v>
      </c>
      <c r="F5" s="215">
        <f>SUM(B5:E5)</f>
        <v>1.0000000000000001E-5</v>
      </c>
    </row>
    <row r="6" spans="1:6" ht="15" thickBot="1" x14ac:dyDescent="0.4">
      <c r="A6" s="89" t="s">
        <v>105</v>
      </c>
      <c r="B6" s="294">
        <f>+'Tariff Tables'!S13+'Tariff Tables'!S21</f>
        <v>0</v>
      </c>
      <c r="C6" s="294">
        <f>+'Tariff Tables'!T13+'Tariff Tables'!T21</f>
        <v>2.0000000000000002E-5</v>
      </c>
      <c r="D6" s="294">
        <f>+'Tariff Tables'!U13+'Tariff Tables'!U21</f>
        <v>1.0000000000000001E-5</v>
      </c>
      <c r="E6" s="294">
        <f>+'Tariff Tables'!V13+'Tariff Tables'!V21</f>
        <v>0</v>
      </c>
      <c r="F6" s="215">
        <f t="shared" ref="F6:F8" si="0">SUM(B6:E6)</f>
        <v>3.0000000000000004E-5</v>
      </c>
    </row>
    <row r="7" spans="1:6" ht="15" thickBot="1" x14ac:dyDescent="0.4">
      <c r="A7" s="89" t="s">
        <v>106</v>
      </c>
      <c r="B7" s="294">
        <f>+'Tariff Tables'!S14+'Tariff Tables'!S22</f>
        <v>0</v>
      </c>
      <c r="C7" s="294">
        <f>+'Tariff Tables'!T14+'Tariff Tables'!T22</f>
        <v>2.0000000000000002E-5</v>
      </c>
      <c r="D7" s="294">
        <f>+'Tariff Tables'!U14+'Tariff Tables'!U22</f>
        <v>0</v>
      </c>
      <c r="E7" s="294">
        <f>+'Tariff Tables'!V14+'Tariff Tables'!V22</f>
        <v>0</v>
      </c>
      <c r="F7" s="215">
        <f t="shared" si="0"/>
        <v>2.0000000000000002E-5</v>
      </c>
    </row>
    <row r="8" spans="1:6" ht="15" thickBot="1" x14ac:dyDescent="0.4">
      <c r="A8" s="89" t="s">
        <v>107</v>
      </c>
      <c r="B8" s="294">
        <f>+'Tariff Tables'!S15+'Tariff Tables'!S23</f>
        <v>0</v>
      </c>
      <c r="C8" s="294">
        <f>+'Tariff Tables'!T15+'Tariff Tables'!T23</f>
        <v>1.0000000000000001E-5</v>
      </c>
      <c r="D8" s="294">
        <f>+'Tariff Tables'!U15+'Tariff Tables'!U23</f>
        <v>1.0000000000000001E-5</v>
      </c>
      <c r="E8" s="294">
        <f>+'Tariff Tables'!V15+'Tariff Tables'!V23</f>
        <v>0</v>
      </c>
      <c r="F8" s="215">
        <f t="shared" si="0"/>
        <v>2.0000000000000002E-5</v>
      </c>
    </row>
    <row r="11" spans="1:6" ht="15" thickBot="1" x14ac:dyDescent="0.4">
      <c r="A11" s="3" t="s">
        <v>125</v>
      </c>
      <c r="B11" s="46"/>
      <c r="C11" s="46"/>
      <c r="D11" s="46"/>
      <c r="E11" s="46"/>
      <c r="F11" s="46"/>
    </row>
    <row r="12" spans="1:6" ht="27.5" thickBot="1" x14ac:dyDescent="0.4">
      <c r="A12" s="86" t="s">
        <v>131</v>
      </c>
      <c r="B12" s="123" t="s">
        <v>130</v>
      </c>
      <c r="C12" s="123" t="s">
        <v>129</v>
      </c>
      <c r="D12" s="123" t="s">
        <v>128</v>
      </c>
      <c r="E12" s="123" t="s">
        <v>127</v>
      </c>
      <c r="F12" s="88" t="s">
        <v>28</v>
      </c>
    </row>
    <row r="13" spans="1:6" ht="15" thickBot="1" x14ac:dyDescent="0.4">
      <c r="A13" s="89" t="s">
        <v>24</v>
      </c>
      <c r="B13" s="294">
        <f>+'Tariff Tables'!X12+'Tariff Tables'!X20</f>
        <v>6.7999999999999994E-4</v>
      </c>
      <c r="C13" s="294">
        <f>+'Tariff Tables'!Y12+'Tariff Tables'!Y20</f>
        <v>6.0000000000000002E-5</v>
      </c>
      <c r="D13" s="294">
        <f>+'Tariff Tables'!Z12+'Tariff Tables'!Z20</f>
        <v>3.8000000000000002E-4</v>
      </c>
      <c r="E13" s="294">
        <f>+'Tariff Tables'!AA12+'Tariff Tables'!AA20</f>
        <v>-1.1E-4</v>
      </c>
      <c r="F13" s="215">
        <f>SUM(B13:E13)</f>
        <v>1.0099999999999998E-3</v>
      </c>
    </row>
    <row r="14" spans="1:6" ht="15" thickBot="1" x14ac:dyDescent="0.4">
      <c r="A14" s="89" t="s">
        <v>105</v>
      </c>
      <c r="B14" s="294">
        <f>+'Tariff Tables'!X13+'Tariff Tables'!X21</f>
        <v>1.1900000000000001E-3</v>
      </c>
      <c r="C14" s="294">
        <f>+'Tariff Tables'!Y13+'Tariff Tables'!Y21</f>
        <v>2.4000000000000001E-4</v>
      </c>
      <c r="D14" s="294">
        <f>+'Tariff Tables'!Z13+'Tariff Tables'!Z21</f>
        <v>2.3000000000000001E-4</v>
      </c>
      <c r="E14" s="294">
        <f>+'Tariff Tables'!AA13+'Tariff Tables'!AA21</f>
        <v>-1E-4</v>
      </c>
      <c r="F14" s="215">
        <f t="shared" ref="F14:F16" si="1">SUM(B14:E14)</f>
        <v>1.56E-3</v>
      </c>
    </row>
    <row r="15" spans="1:6" ht="15" thickBot="1" x14ac:dyDescent="0.4">
      <c r="A15" s="89" t="s">
        <v>106</v>
      </c>
      <c r="B15" s="294">
        <f>+'Tariff Tables'!X14+'Tariff Tables'!X22</f>
        <v>5.7000000000000009E-4</v>
      </c>
      <c r="C15" s="294">
        <f>+'Tariff Tables'!Y14+'Tariff Tables'!Y22</f>
        <v>2.5000000000000001E-4</v>
      </c>
      <c r="D15" s="294">
        <f>+'Tariff Tables'!Z14+'Tariff Tables'!Z22</f>
        <v>4.4000000000000002E-4</v>
      </c>
      <c r="E15" s="294">
        <f>+'Tariff Tables'!AA14+'Tariff Tables'!AA22</f>
        <v>-1.2E-4</v>
      </c>
      <c r="F15" s="215">
        <f t="shared" si="1"/>
        <v>1.14E-3</v>
      </c>
    </row>
    <row r="16" spans="1:6" ht="15" thickBot="1" x14ac:dyDescent="0.4">
      <c r="A16" s="89" t="s">
        <v>107</v>
      </c>
      <c r="B16" s="294">
        <f>+'Tariff Tables'!X15+'Tariff Tables'!X23</f>
        <v>3.9999999999999996E-5</v>
      </c>
      <c r="C16" s="294">
        <f>+'Tariff Tables'!Y15+'Tariff Tables'!Y23</f>
        <v>8.0000000000000007E-5</v>
      </c>
      <c r="D16" s="294">
        <f>+'Tariff Tables'!Z15+'Tariff Tables'!Z23</f>
        <v>4.4999999999999999E-4</v>
      </c>
      <c r="E16" s="294">
        <f>+'Tariff Tables'!AA15+'Tariff Tables'!AA23</f>
        <v>-1.2999999999999999E-4</v>
      </c>
      <c r="F16" s="215">
        <f t="shared" si="1"/>
        <v>4.3999999999999996E-4</v>
      </c>
    </row>
    <row r="17" spans="1:19" s="46" customFormat="1" x14ac:dyDescent="0.35">
      <c r="I17"/>
      <c r="J17"/>
      <c r="K17"/>
      <c r="L17"/>
      <c r="M17"/>
      <c r="N17"/>
      <c r="O17"/>
      <c r="P17"/>
      <c r="Q17"/>
      <c r="R17"/>
      <c r="S17"/>
    </row>
    <row r="18" spans="1:19" s="46" customFormat="1" x14ac:dyDescent="0.35">
      <c r="I18"/>
      <c r="J18"/>
      <c r="K18"/>
      <c r="L18"/>
      <c r="M18"/>
      <c r="N18"/>
      <c r="O18"/>
      <c r="P18"/>
      <c r="Q18"/>
      <c r="R18"/>
      <c r="S18"/>
    </row>
    <row r="19" spans="1:19" s="46" customFormat="1" ht="15" thickBot="1" x14ac:dyDescent="0.4">
      <c r="A19" s="3" t="s">
        <v>242</v>
      </c>
      <c r="I19"/>
      <c r="J19"/>
      <c r="K19"/>
      <c r="L19"/>
      <c r="M19"/>
      <c r="N19"/>
      <c r="O19"/>
      <c r="P19"/>
      <c r="Q19"/>
      <c r="R19"/>
      <c r="S19"/>
    </row>
    <row r="20" spans="1:19" s="46" customFormat="1" ht="27.5" thickBot="1" x14ac:dyDescent="0.4">
      <c r="A20" s="86" t="s">
        <v>131</v>
      </c>
      <c r="B20" s="123" t="s">
        <v>130</v>
      </c>
      <c r="C20" s="123" t="s">
        <v>129</v>
      </c>
      <c r="D20" s="123" t="s">
        <v>128</v>
      </c>
      <c r="E20" s="123" t="s">
        <v>127</v>
      </c>
      <c r="F20" s="88" t="s">
        <v>28</v>
      </c>
      <c r="I20"/>
      <c r="J20"/>
      <c r="K20"/>
      <c r="L20"/>
      <c r="M20"/>
      <c r="N20"/>
      <c r="O20"/>
      <c r="P20"/>
      <c r="Q20"/>
      <c r="R20"/>
      <c r="S20"/>
    </row>
    <row r="21" spans="1:19" s="46" customFormat="1" ht="15" thickBot="1" x14ac:dyDescent="0.4">
      <c r="A21" s="89" t="s">
        <v>24</v>
      </c>
      <c r="B21" s="294">
        <f>+'Tariff Tables'!AC12+'Tariff Tables'!AC20</f>
        <v>1.5200000000000001E-3</v>
      </c>
      <c r="C21" s="294">
        <f>+'Tariff Tables'!AD12+'Tariff Tables'!AD20</f>
        <v>4.0000000000000003E-5</v>
      </c>
      <c r="D21" s="294">
        <f>+'Tariff Tables'!AE12+'Tariff Tables'!AE20</f>
        <v>0</v>
      </c>
      <c r="E21" s="294">
        <f>+'Tariff Tables'!AF12+'Tariff Tables'!AF20</f>
        <v>0</v>
      </c>
      <c r="F21" s="215">
        <f>SUM(B21:E21)</f>
        <v>1.5600000000000002E-3</v>
      </c>
      <c r="I21"/>
      <c r="J21"/>
      <c r="K21"/>
      <c r="L21"/>
      <c r="M21"/>
      <c r="N21"/>
      <c r="O21"/>
      <c r="P21"/>
      <c r="Q21"/>
      <c r="R21"/>
      <c r="S21"/>
    </row>
    <row r="22" spans="1:19" s="46" customFormat="1" ht="15" thickBot="1" x14ac:dyDescent="0.4">
      <c r="A22" s="89" t="s">
        <v>105</v>
      </c>
      <c r="B22" s="294">
        <f>+'Tariff Tables'!AC13+'Tariff Tables'!AC21</f>
        <v>1E-3</v>
      </c>
      <c r="C22" s="294">
        <f>+'Tariff Tables'!AD13+'Tariff Tables'!AD21</f>
        <v>1.0000000000000001E-5</v>
      </c>
      <c r="D22" s="294">
        <f>+'Tariff Tables'!AE13+'Tariff Tables'!AE21</f>
        <v>0</v>
      </c>
      <c r="E22" s="294">
        <f>+'Tariff Tables'!AF13+'Tariff Tables'!AF21</f>
        <v>0</v>
      </c>
      <c r="F22" s="215">
        <f t="shared" ref="F22:F24" si="2">SUM(B22:E22)</f>
        <v>1.01E-3</v>
      </c>
      <c r="I22"/>
      <c r="J22"/>
      <c r="K22"/>
      <c r="L22"/>
      <c r="M22"/>
      <c r="N22"/>
      <c r="O22"/>
      <c r="P22"/>
      <c r="Q22"/>
      <c r="R22"/>
      <c r="S22"/>
    </row>
    <row r="23" spans="1:19" s="46" customFormat="1" ht="15" thickBot="1" x14ac:dyDescent="0.4">
      <c r="A23" s="89" t="s">
        <v>106</v>
      </c>
      <c r="B23" s="294">
        <f>+'Tariff Tables'!AC14+'Tariff Tables'!AC22</f>
        <v>2.3900000000000002E-3</v>
      </c>
      <c r="C23" s="294">
        <f>+'Tariff Tables'!AD14+'Tariff Tables'!AD22</f>
        <v>1.0000000000000001E-5</v>
      </c>
      <c r="D23" s="294">
        <f>+'Tariff Tables'!AE14+'Tariff Tables'!AE22</f>
        <v>0</v>
      </c>
      <c r="E23" s="294">
        <f>+'Tariff Tables'!AF14+'Tariff Tables'!AF22</f>
        <v>0</v>
      </c>
      <c r="F23" s="215">
        <f t="shared" si="2"/>
        <v>2.4000000000000002E-3</v>
      </c>
      <c r="I23"/>
      <c r="J23"/>
      <c r="K23"/>
      <c r="L23"/>
      <c r="M23"/>
      <c r="N23"/>
      <c r="O23"/>
      <c r="P23"/>
      <c r="Q23"/>
      <c r="R23"/>
      <c r="S23"/>
    </row>
    <row r="24" spans="1:19" s="46" customFormat="1" ht="15" thickBot="1" x14ac:dyDescent="0.4">
      <c r="A24" s="89" t="s">
        <v>107</v>
      </c>
      <c r="B24" s="294">
        <f>+'Tariff Tables'!AC15+'Tariff Tables'!AC23</f>
        <v>4.2099999999999993E-3</v>
      </c>
      <c r="C24" s="294">
        <f>+'Tariff Tables'!AD15+'Tariff Tables'!AD23</f>
        <v>1.0000000000000001E-5</v>
      </c>
      <c r="D24" s="294">
        <f>+'Tariff Tables'!AE15+'Tariff Tables'!AE23</f>
        <v>0</v>
      </c>
      <c r="E24" s="294">
        <f>+'Tariff Tables'!AF15+'Tariff Tables'!AF23</f>
        <v>0</v>
      </c>
      <c r="F24" s="215">
        <f t="shared" si="2"/>
        <v>4.2199999999999989E-3</v>
      </c>
      <c r="I24"/>
      <c r="J24"/>
      <c r="K24"/>
      <c r="L24"/>
      <c r="M24"/>
      <c r="N24"/>
      <c r="O24"/>
      <c r="P24"/>
      <c r="Q24"/>
      <c r="R24"/>
      <c r="S24"/>
    </row>
    <row r="27" spans="1:19" ht="15" thickBot="1" x14ac:dyDescent="0.4">
      <c r="A27" s="3" t="s">
        <v>126</v>
      </c>
      <c r="B27" s="46"/>
      <c r="C27" s="46"/>
      <c r="D27" s="46"/>
      <c r="E27" s="46"/>
      <c r="F27" s="46"/>
    </row>
    <row r="28" spans="1:19" ht="27.5" thickBot="1" x14ac:dyDescent="0.4">
      <c r="A28" s="86" t="s">
        <v>131</v>
      </c>
      <c r="B28" s="123" t="s">
        <v>130</v>
      </c>
      <c r="C28" s="123" t="s">
        <v>129</v>
      </c>
      <c r="D28" s="123" t="s">
        <v>128</v>
      </c>
      <c r="E28" s="123" t="s">
        <v>127</v>
      </c>
      <c r="F28" s="88" t="s">
        <v>28</v>
      </c>
    </row>
    <row r="29" spans="1:19" ht="15" thickBot="1" x14ac:dyDescent="0.4">
      <c r="A29" s="89" t="s">
        <v>24</v>
      </c>
      <c r="B29" s="216">
        <f>SUMIFS(B$2:B$27,$A$2:$A$27,$A29)</f>
        <v>2.2000000000000001E-3</v>
      </c>
      <c r="C29" s="217">
        <f t="shared" ref="C29:E32" si="3">SUMIFS(C$2:C$27,$A$2:$A$27,$A29)</f>
        <v>1.2000000000000002E-4</v>
      </c>
      <c r="D29" s="217">
        <f t="shared" si="3"/>
        <v>3.6999999999999999E-4</v>
      </c>
      <c r="E29" s="217">
        <f t="shared" si="3"/>
        <v>-1.1E-4</v>
      </c>
      <c r="F29" s="215">
        <f>SUM(B29:E29)</f>
        <v>2.5800000000000003E-3</v>
      </c>
      <c r="G29" s="295">
        <f>+F29-'Tariff Tables'!H4</f>
        <v>0</v>
      </c>
    </row>
    <row r="30" spans="1:19" ht="15" thickBot="1" x14ac:dyDescent="0.4">
      <c r="A30" s="89" t="s">
        <v>105</v>
      </c>
      <c r="B30" s="216">
        <f t="shared" ref="B30:B32" si="4">SUMIFS(B$2:B$27,$A$2:$A$27,$A30)</f>
        <v>2.1900000000000001E-3</v>
      </c>
      <c r="C30" s="217">
        <f t="shared" si="3"/>
        <v>2.7000000000000006E-4</v>
      </c>
      <c r="D30" s="217">
        <f t="shared" si="3"/>
        <v>2.4000000000000001E-4</v>
      </c>
      <c r="E30" s="217">
        <f t="shared" si="3"/>
        <v>-1E-4</v>
      </c>
      <c r="F30" s="215">
        <f t="shared" ref="F30:F32" si="5">SUM(B30:E30)</f>
        <v>2.6000000000000007E-3</v>
      </c>
      <c r="G30" s="295">
        <f>+F30-'Tariff Tables'!H5</f>
        <v>0</v>
      </c>
    </row>
    <row r="31" spans="1:19" ht="15" thickBot="1" x14ac:dyDescent="0.4">
      <c r="A31" s="89" t="s">
        <v>106</v>
      </c>
      <c r="B31" s="216">
        <f t="shared" si="4"/>
        <v>2.9600000000000004E-3</v>
      </c>
      <c r="C31" s="217">
        <f t="shared" si="3"/>
        <v>2.8000000000000003E-4</v>
      </c>
      <c r="D31" s="217">
        <f t="shared" si="3"/>
        <v>4.4000000000000002E-4</v>
      </c>
      <c r="E31" s="217">
        <f t="shared" si="3"/>
        <v>-1.2E-4</v>
      </c>
      <c r="F31" s="215">
        <f t="shared" si="5"/>
        <v>3.5600000000000002E-3</v>
      </c>
      <c r="G31" s="295">
        <f>+F31-'Tariff Tables'!H6</f>
        <v>0</v>
      </c>
    </row>
    <row r="32" spans="1:19" ht="15" thickBot="1" x14ac:dyDescent="0.4">
      <c r="A32" s="89" t="s">
        <v>107</v>
      </c>
      <c r="B32" s="216">
        <f t="shared" si="4"/>
        <v>4.2499999999999994E-3</v>
      </c>
      <c r="C32" s="217">
        <f t="shared" si="3"/>
        <v>1E-4</v>
      </c>
      <c r="D32" s="217">
        <f t="shared" si="3"/>
        <v>4.6000000000000001E-4</v>
      </c>
      <c r="E32" s="217">
        <f t="shared" si="3"/>
        <v>-1.2999999999999999E-4</v>
      </c>
      <c r="F32" s="215">
        <f t="shared" si="5"/>
        <v>4.6800000000000001E-3</v>
      </c>
      <c r="G32" s="295">
        <f>+F32-'Tariff Tables'!H7</f>
        <v>0</v>
      </c>
    </row>
    <row r="34" spans="1:6" x14ac:dyDescent="0.35">
      <c r="A34" s="296" t="s">
        <v>220</v>
      </c>
      <c r="B34" s="295">
        <f>+B29-'Tariff Tables'!J4</f>
        <v>0</v>
      </c>
      <c r="C34" s="295">
        <f>+C29-'Tariff Tables'!K4</f>
        <v>0</v>
      </c>
      <c r="D34" s="295">
        <f>+D29-'Tariff Tables'!L4</f>
        <v>0</v>
      </c>
      <c r="E34" s="295">
        <f>+E29-'Tariff Tables'!M4</f>
        <v>0</v>
      </c>
      <c r="F34" s="218"/>
    </row>
    <row r="35" spans="1:6" x14ac:dyDescent="0.35">
      <c r="B35" s="295">
        <f>+B30-'Tariff Tables'!J5</f>
        <v>0</v>
      </c>
      <c r="C35" s="295">
        <f>+C30-'Tariff Tables'!K5</f>
        <v>0</v>
      </c>
      <c r="D35" s="295">
        <f>+D30-'Tariff Tables'!L5</f>
        <v>0</v>
      </c>
      <c r="E35" s="295">
        <f>+E30-'Tariff Tables'!M5</f>
        <v>0</v>
      </c>
      <c r="F35" s="218"/>
    </row>
    <row r="36" spans="1:6" x14ac:dyDescent="0.35">
      <c r="B36" s="295">
        <f>+B31-'Tariff Tables'!J6</f>
        <v>0</v>
      </c>
      <c r="C36" s="295">
        <f>+C31-'Tariff Tables'!K6</f>
        <v>0</v>
      </c>
      <c r="D36" s="295">
        <f>+D31-'Tariff Tables'!L6</f>
        <v>0</v>
      </c>
      <c r="E36" s="295">
        <f>+E31-'Tariff Tables'!M6</f>
        <v>0</v>
      </c>
      <c r="F36" s="218"/>
    </row>
    <row r="37" spans="1:6" x14ac:dyDescent="0.35">
      <c r="B37" s="295">
        <f>+B32-'Tariff Tables'!J7</f>
        <v>0</v>
      </c>
      <c r="C37" s="295">
        <f>+C32-'Tariff Tables'!K7</f>
        <v>0</v>
      </c>
      <c r="D37" s="295">
        <f>+D32-'Tariff Tables'!L7</f>
        <v>0</v>
      </c>
      <c r="E37" s="295">
        <f>+E32-'Tariff Tables'!M7</f>
        <v>0</v>
      </c>
      <c r="F37" s="218"/>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X48"/>
  <sheetViews>
    <sheetView workbookViewId="0"/>
  </sheetViews>
  <sheetFormatPr defaultColWidth="9.1796875" defaultRowHeight="14.5" x14ac:dyDescent="0.35"/>
  <cols>
    <col min="1" max="1" width="20.81640625" style="46" customWidth="1"/>
    <col min="2" max="2" width="22" style="46" customWidth="1"/>
    <col min="3" max="3" width="17.26953125" style="46" customWidth="1"/>
    <col min="4" max="4" width="12.54296875" style="46" bestFit="1" customWidth="1"/>
    <col min="5" max="5" width="15.26953125" style="46" customWidth="1"/>
    <col min="6" max="6" width="12.54296875" style="46" customWidth="1"/>
    <col min="7" max="16384" width="9.1796875" style="46"/>
  </cols>
  <sheetData>
    <row r="1" spans="1:24" x14ac:dyDescent="0.35">
      <c r="A1" s="63" t="s">
        <v>263</v>
      </c>
    </row>
    <row r="2" spans="1:24" x14ac:dyDescent="0.35">
      <c r="A2" s="372" t="s">
        <v>264</v>
      </c>
    </row>
    <row r="3" spans="1:24" ht="35.25" customHeight="1" x14ac:dyDescent="0.35">
      <c r="B3" s="389" t="s">
        <v>110</v>
      </c>
      <c r="C3" s="389"/>
    </row>
    <row r="4" spans="1:24" ht="72.5" x14ac:dyDescent="0.35">
      <c r="B4" s="242" t="s">
        <v>43</v>
      </c>
      <c r="C4" s="213" t="s">
        <v>26</v>
      </c>
      <c r="D4" s="266" t="s">
        <v>308</v>
      </c>
    </row>
    <row r="5" spans="1:24" x14ac:dyDescent="0.35">
      <c r="A5" s="20" t="s">
        <v>24</v>
      </c>
      <c r="B5" s="297">
        <f>SUM('[1]GMO Billed kWh Sales'!$I36:$J36)</f>
        <v>3746590857</v>
      </c>
      <c r="C5" s="211">
        <f>SUM(D5:F5)</f>
        <v>135198.28</v>
      </c>
      <c r="D5" s="211">
        <f>ROUND(SUM('[2]Monthly Program Costs Ext'!$BP301:$CA301),2)</f>
        <v>135198.28</v>
      </c>
      <c r="F5" s="241"/>
      <c r="G5" s="241"/>
    </row>
    <row r="6" spans="1:24" x14ac:dyDescent="0.35">
      <c r="A6" s="20" t="s">
        <v>105</v>
      </c>
      <c r="B6" s="297">
        <f>SUM('[1]GMO Billed kWh Sales'!$I37:$J37)</f>
        <v>1216480640</v>
      </c>
      <c r="C6" s="211">
        <f t="shared" ref="C6:C8" si="0">SUM(D6:F6)</f>
        <v>54119.22</v>
      </c>
      <c r="D6" s="211">
        <f>ROUND(SUM('[2]Monthly Program Costs Ext'!$BP302:$CA302),2)</f>
        <v>54119.22</v>
      </c>
      <c r="F6" s="241"/>
      <c r="G6" s="241"/>
      <c r="H6" s="241"/>
    </row>
    <row r="7" spans="1:24" x14ac:dyDescent="0.35">
      <c r="A7" s="20" t="s">
        <v>106</v>
      </c>
      <c r="B7" s="297">
        <f>SUM('[1]GMO Billed kWh Sales'!$I38:$J38)</f>
        <v>1031903974</v>
      </c>
      <c r="C7" s="211">
        <f t="shared" si="0"/>
        <v>51942.71</v>
      </c>
      <c r="D7" s="211">
        <f>ROUND(SUM('[2]Monthly Program Costs Ext'!$BP304:$CA304),2)</f>
        <v>51942.71</v>
      </c>
      <c r="F7" s="241"/>
      <c r="G7" s="241"/>
      <c r="H7" s="241"/>
    </row>
    <row r="8" spans="1:24" x14ac:dyDescent="0.35">
      <c r="A8" s="20" t="s">
        <v>107</v>
      </c>
      <c r="B8" s="297">
        <f>SUM('[1]GMO Billed kWh Sales'!$I39:$J39)</f>
        <v>681818657</v>
      </c>
      <c r="C8" s="211">
        <f t="shared" si="0"/>
        <v>38222.82</v>
      </c>
      <c r="D8" s="211">
        <f>ROUND(SUM('[2]Monthly Program Costs Ext'!$BP305:$CA305),2)</f>
        <v>38222.82</v>
      </c>
      <c r="F8" s="241"/>
      <c r="G8" s="241"/>
      <c r="H8" s="241"/>
      <c r="O8" s="1"/>
      <c r="P8" s="1"/>
      <c r="Q8" s="1"/>
      <c r="R8" s="1"/>
      <c r="S8" s="1"/>
      <c r="T8" s="1"/>
      <c r="U8" s="1"/>
      <c r="V8" s="1"/>
      <c r="W8" s="1"/>
      <c r="X8" s="1"/>
    </row>
    <row r="9" spans="1:24" x14ac:dyDescent="0.35">
      <c r="A9" s="30" t="s">
        <v>109</v>
      </c>
      <c r="B9" s="243">
        <f>SUM(B5:B8)</f>
        <v>6676794128</v>
      </c>
      <c r="C9" s="212">
        <f>SUM(C5:C8)</f>
        <v>279483.02999999997</v>
      </c>
      <c r="D9" s="212">
        <f t="shared" ref="D9" si="1">SUM(D5:D8)</f>
        <v>279483.02999999997</v>
      </c>
      <c r="O9" s="1"/>
      <c r="P9" s="1"/>
      <c r="Q9" s="1"/>
      <c r="R9" s="1"/>
      <c r="S9" s="1"/>
      <c r="T9" s="1"/>
      <c r="U9" s="1"/>
      <c r="V9" s="1"/>
      <c r="W9" s="1"/>
      <c r="X9" s="1"/>
    </row>
    <row r="11" spans="1:24" x14ac:dyDescent="0.35">
      <c r="A11" s="53" t="s">
        <v>11</v>
      </c>
    </row>
    <row r="12" spans="1:24" ht="29.5" customHeight="1" x14ac:dyDescent="0.35">
      <c r="A12" s="388" t="s">
        <v>311</v>
      </c>
      <c r="B12" s="388"/>
      <c r="C12" s="388"/>
      <c r="D12" s="388"/>
      <c r="E12" s="388"/>
      <c r="F12" s="268"/>
      <c r="G12" s="270"/>
      <c r="H12" s="270"/>
      <c r="I12" s="270"/>
    </row>
    <row r="13" spans="1:24" ht="18.75" customHeight="1" x14ac:dyDescent="0.35">
      <c r="A13" s="388" t="s">
        <v>312</v>
      </c>
      <c r="B13" s="388"/>
      <c r="C13" s="388"/>
      <c r="D13" s="388"/>
      <c r="E13" s="388"/>
    </row>
    <row r="14" spans="1:24" ht="30" customHeight="1" x14ac:dyDescent="0.35">
      <c r="A14" s="388" t="s">
        <v>313</v>
      </c>
      <c r="B14" s="388"/>
      <c r="C14" s="388"/>
      <c r="D14" s="388"/>
      <c r="E14" s="388"/>
    </row>
    <row r="15" spans="1:24" ht="32.5" customHeight="1" x14ac:dyDescent="0.35"/>
    <row r="22" spans="3:3" x14ac:dyDescent="0.35">
      <c r="C22" s="2"/>
    </row>
    <row r="44" spans="2:3" x14ac:dyDescent="0.35">
      <c r="B44" s="8"/>
      <c r="C44" s="8"/>
    </row>
    <row r="48" spans="2:3" x14ac:dyDescent="0.35">
      <c r="B48" s="8"/>
      <c r="C48" s="8"/>
    </row>
  </sheetData>
  <mergeCells count="4">
    <mergeCell ref="A14:E14"/>
    <mergeCell ref="B3:C3"/>
    <mergeCell ref="A12:E12"/>
    <mergeCell ref="A13:E13"/>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CC6D-CEF5-4D7F-9B4F-45C78C8935E8}">
  <sheetPr>
    <pageSetUpPr fitToPage="1"/>
  </sheetPr>
  <dimension ref="A1:X48"/>
  <sheetViews>
    <sheetView workbookViewId="0">
      <selection activeCell="I18" sqref="I18"/>
    </sheetView>
  </sheetViews>
  <sheetFormatPr defaultColWidth="9.1796875" defaultRowHeight="14.5" x14ac:dyDescent="0.35"/>
  <cols>
    <col min="1" max="1" width="20.81640625" style="46" customWidth="1"/>
    <col min="2" max="2" width="22" style="46" customWidth="1"/>
    <col min="3" max="3" width="17.26953125" style="46" customWidth="1"/>
    <col min="4" max="4" width="12.54296875" style="46" bestFit="1" customWidth="1"/>
    <col min="5" max="5" width="15.26953125" style="46" customWidth="1"/>
    <col min="6" max="6" width="12.54296875" style="46" customWidth="1"/>
    <col min="7" max="16384" width="9.1796875" style="46"/>
  </cols>
  <sheetData>
    <row r="1" spans="1:24" x14ac:dyDescent="0.35">
      <c r="A1" s="63" t="s">
        <v>263</v>
      </c>
    </row>
    <row r="2" spans="1:24" x14ac:dyDescent="0.35">
      <c r="A2" s="372" t="str">
        <f>SUBSTITUTE(+'PPC Cycle 3'!A2,"Cycle 3","Cycle 4")</f>
        <v>Projections for Cycle 4 January 2025 - December 2025 DSIM</v>
      </c>
    </row>
    <row r="3" spans="1:24" ht="35.25" customHeight="1" x14ac:dyDescent="0.35">
      <c r="B3" s="389" t="s">
        <v>315</v>
      </c>
      <c r="C3" s="389"/>
    </row>
    <row r="4" spans="1:24" ht="58" x14ac:dyDescent="0.35">
      <c r="B4" s="242" t="s">
        <v>43</v>
      </c>
      <c r="C4" s="213" t="s">
        <v>26</v>
      </c>
      <c r="D4" s="266" t="s">
        <v>314</v>
      </c>
    </row>
    <row r="5" spans="1:24" x14ac:dyDescent="0.35">
      <c r="A5" s="20" t="s">
        <v>24</v>
      </c>
      <c r="B5" s="297">
        <f>+'PPC Cycle 3'!B5</f>
        <v>3746590857</v>
      </c>
      <c r="C5" s="211">
        <f>SUM(D5:F5)</f>
        <v>5654271.8399999999</v>
      </c>
      <c r="D5" s="211">
        <f>SUM('[3]Monthly Program Costs'!$H296:$S296)</f>
        <v>5654271.8399999999</v>
      </c>
      <c r="F5" s="241"/>
      <c r="G5" s="241"/>
    </row>
    <row r="6" spans="1:24" x14ac:dyDescent="0.35">
      <c r="A6" s="20" t="s">
        <v>105</v>
      </c>
      <c r="B6" s="297">
        <f>+'PPC Cycle 3'!B6</f>
        <v>1216480640</v>
      </c>
      <c r="C6" s="211">
        <f t="shared" ref="C6:C8" si="0">SUM(D6:F6)</f>
        <v>1215717.6600000001</v>
      </c>
      <c r="D6" s="211">
        <f>SUM('[3]Monthly Program Costs'!$H297:$S297)</f>
        <v>1215717.6600000001</v>
      </c>
      <c r="F6" s="241"/>
      <c r="G6" s="241"/>
      <c r="H6" s="241"/>
    </row>
    <row r="7" spans="1:24" x14ac:dyDescent="0.35">
      <c r="A7" s="20" t="s">
        <v>106</v>
      </c>
      <c r="B7" s="297">
        <f>+'PPC Cycle 3'!B7</f>
        <v>1031903974</v>
      </c>
      <c r="C7" s="211">
        <f t="shared" si="0"/>
        <v>2453634.1499999994</v>
      </c>
      <c r="D7" s="211">
        <f>SUM('[3]Monthly Program Costs'!$H299:$S299)</f>
        <v>2453634.1499999994</v>
      </c>
      <c r="F7" s="241"/>
      <c r="G7" s="241"/>
      <c r="H7" s="241"/>
    </row>
    <row r="8" spans="1:24" x14ac:dyDescent="0.35">
      <c r="A8" s="20" t="s">
        <v>107</v>
      </c>
      <c r="B8" s="297">
        <f>+'PPC Cycle 3'!B8</f>
        <v>681818657</v>
      </c>
      <c r="C8" s="211">
        <f t="shared" si="0"/>
        <v>2861322.8100000005</v>
      </c>
      <c r="D8" s="211">
        <f>SUM('[3]Monthly Program Costs'!$H300:$S300)</f>
        <v>2861322.8100000005</v>
      </c>
      <c r="F8" s="241"/>
      <c r="G8" s="241"/>
      <c r="H8" s="241"/>
      <c r="O8" s="1"/>
      <c r="P8" s="1"/>
      <c r="Q8" s="1"/>
      <c r="R8" s="1"/>
      <c r="S8" s="1"/>
      <c r="T8" s="1"/>
      <c r="U8" s="1"/>
      <c r="V8" s="1"/>
      <c r="W8" s="1"/>
      <c r="X8" s="1"/>
    </row>
    <row r="9" spans="1:24" x14ac:dyDescent="0.35">
      <c r="A9" s="30" t="s">
        <v>109</v>
      </c>
      <c r="B9" s="243">
        <f>SUM(B5:B8)</f>
        <v>6676794128</v>
      </c>
      <c r="C9" s="212">
        <f>SUM(C5:C8)</f>
        <v>12184946.459999999</v>
      </c>
      <c r="D9" s="212">
        <f t="shared" ref="D9" si="1">SUM(D5:D8)</f>
        <v>12184946.459999999</v>
      </c>
      <c r="O9" s="1"/>
      <c r="P9" s="1"/>
      <c r="Q9" s="1"/>
      <c r="R9" s="1"/>
      <c r="S9" s="1"/>
      <c r="T9" s="1"/>
      <c r="U9" s="1"/>
      <c r="V9" s="1"/>
      <c r="W9" s="1"/>
      <c r="X9" s="1"/>
    </row>
    <row r="11" spans="1:24" x14ac:dyDescent="0.35">
      <c r="A11" s="53" t="s">
        <v>11</v>
      </c>
    </row>
    <row r="12" spans="1:24" ht="29.5" customHeight="1" x14ac:dyDescent="0.35">
      <c r="A12" s="388" t="s">
        <v>311</v>
      </c>
      <c r="B12" s="388"/>
      <c r="C12" s="388"/>
      <c r="D12" s="388"/>
      <c r="E12" s="388"/>
      <c r="F12" s="268"/>
      <c r="G12" s="270"/>
      <c r="H12" s="270"/>
      <c r="I12" s="270"/>
    </row>
    <row r="13" spans="1:24" ht="18.75" customHeight="1" x14ac:dyDescent="0.35">
      <c r="A13" s="388" t="s">
        <v>312</v>
      </c>
      <c r="B13" s="388"/>
      <c r="C13" s="388"/>
      <c r="D13" s="388"/>
      <c r="E13" s="388"/>
    </row>
    <row r="14" spans="1:24" ht="30" customHeight="1" x14ac:dyDescent="0.35">
      <c r="A14" s="388" t="s">
        <v>326</v>
      </c>
      <c r="B14" s="388"/>
      <c r="C14" s="388"/>
      <c r="D14" s="388"/>
      <c r="E14" s="388"/>
    </row>
    <row r="15" spans="1:24" ht="32.5" customHeight="1" x14ac:dyDescent="0.35"/>
    <row r="22" spans="3:3" x14ac:dyDescent="0.35">
      <c r="C22" s="2"/>
    </row>
    <row r="44" spans="2:3" x14ac:dyDescent="0.35">
      <c r="B44" s="8"/>
      <c r="C44" s="8"/>
    </row>
    <row r="48" spans="2:3" x14ac:dyDescent="0.35">
      <c r="B48" s="8"/>
      <c r="C48" s="8"/>
    </row>
  </sheetData>
  <mergeCells count="4">
    <mergeCell ref="B3:C3"/>
    <mergeCell ref="A12:E12"/>
    <mergeCell ref="A13:E13"/>
    <mergeCell ref="A14:E14"/>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4"/>
  <sheetViews>
    <sheetView zoomScale="85" zoomScaleNormal="85" workbookViewId="0">
      <pane xSplit="2" ySplit="14" topLeftCell="C15" activePane="bottomRight" state="frozen"/>
      <selection activeCell="B5" sqref="B5:C22"/>
      <selection pane="topRight" activeCell="B5" sqref="B5:C22"/>
      <selection pane="bottomLeft" activeCell="B5" sqref="B5:C22"/>
      <selection pane="bottomRight" activeCell="C15" sqref="C15"/>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26953125" style="46" customWidth="1"/>
    <col min="5" max="5" width="15.81640625" style="46" customWidth="1"/>
    <col min="6" max="6" width="17.54296875" style="46" customWidth="1"/>
    <col min="7" max="8" width="13.26953125" style="46" customWidth="1"/>
    <col min="9" max="9" width="15.7265625" style="46" customWidth="1"/>
    <col min="10" max="11" width="12.54296875" style="46" bestFit="1" customWidth="1"/>
    <col min="12" max="12" width="14.453125" style="46" customWidth="1"/>
    <col min="13" max="13" width="15" style="46" bestFit="1" customWidth="1"/>
    <col min="14" max="14" width="16.26953125" style="46" bestFit="1" customWidth="1"/>
    <col min="15" max="15" width="16.26953125" style="46" hidden="1" customWidth="1" outlineLevel="1"/>
    <col min="16" max="16" width="16.1796875" style="46" customWidth="1" collapsed="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Missouri West, Inc. - DSIM Rider Update Filed 12/01/2024</v>
      </c>
      <c r="B1" s="3"/>
      <c r="C1" s="3"/>
    </row>
    <row r="2" spans="1:35" x14ac:dyDescent="0.35">
      <c r="D2" s="3" t="s">
        <v>59</v>
      </c>
    </row>
    <row r="3" spans="1:35" ht="29" x14ac:dyDescent="0.35">
      <c r="D3" s="48" t="s">
        <v>45</v>
      </c>
      <c r="E3" s="48" t="s">
        <v>44</v>
      </c>
      <c r="F3" s="70" t="s">
        <v>2</v>
      </c>
      <c r="G3" s="48" t="s">
        <v>3</v>
      </c>
      <c r="H3" s="70" t="s">
        <v>54</v>
      </c>
      <c r="I3" s="48" t="s">
        <v>10</v>
      </c>
      <c r="J3" s="48" t="s">
        <v>4</v>
      </c>
    </row>
    <row r="4" spans="1:35" x14ac:dyDescent="0.35">
      <c r="A4" s="20" t="s">
        <v>24</v>
      </c>
      <c r="D4" s="22">
        <f>SUM(C32:L32)</f>
        <v>0</v>
      </c>
      <c r="E4" s="128">
        <f>SUM(C26:L26)</f>
        <v>1957670420.0789502</v>
      </c>
      <c r="F4" s="22">
        <f>SUM(C22:K22)</f>
        <v>0</v>
      </c>
      <c r="G4" s="22">
        <f>F4-D4</f>
        <v>0</v>
      </c>
      <c r="H4" s="22">
        <f>+B44</f>
        <v>-0.23768000013951607</v>
      </c>
      <c r="I4" s="22">
        <f>SUM(C49:K49)</f>
        <v>0</v>
      </c>
      <c r="J4" s="25">
        <f>SUM(G4:I4)</f>
        <v>-0.23768000013951607</v>
      </c>
      <c r="K4" s="47">
        <f>+J4-L44</f>
        <v>0</v>
      </c>
    </row>
    <row r="5" spans="1:35" ht="15" thickBot="1" x14ac:dyDescent="0.4">
      <c r="A5" s="20" t="s">
        <v>25</v>
      </c>
      <c r="D5" s="22">
        <f>SUM(C33:L35)</f>
        <v>-12754.746640000241</v>
      </c>
      <c r="E5" s="128">
        <f>SUM(C27:L29)</f>
        <v>1681568918.4800997</v>
      </c>
      <c r="F5" s="22">
        <f>SUM(C23:K23)</f>
        <v>0</v>
      </c>
      <c r="G5" s="22">
        <f>F5-D5</f>
        <v>12754.746640000241</v>
      </c>
      <c r="H5" s="22">
        <f>+B45</f>
        <v>-12538.878960000104</v>
      </c>
      <c r="I5" s="22">
        <f>SUM(C50:K50)</f>
        <v>-215.63</v>
      </c>
      <c r="J5" s="25">
        <f>SUM(G5:I5)</f>
        <v>0.23768000013762958</v>
      </c>
      <c r="K5" s="47">
        <f>+J5-L45</f>
        <v>-5.4569682106375694E-12</v>
      </c>
    </row>
    <row r="6" spans="1:35" ht="15.5" thickTop="1" thickBot="1" x14ac:dyDescent="0.4">
      <c r="D6" s="27">
        <f>SUM(D4:D5)</f>
        <v>-12754.746640000241</v>
      </c>
      <c r="E6" s="27">
        <f t="shared" ref="E6:H6" si="0">SUM(E4:E5)</f>
        <v>3639239338.5590496</v>
      </c>
      <c r="F6" s="27">
        <f t="shared" si="0"/>
        <v>0</v>
      </c>
      <c r="G6" s="27">
        <f t="shared" si="0"/>
        <v>12754.746640000241</v>
      </c>
      <c r="H6" s="27">
        <f t="shared" si="0"/>
        <v>-12539.116640000244</v>
      </c>
      <c r="I6" s="27">
        <f>SUM(I4:I5)</f>
        <v>-215.63</v>
      </c>
      <c r="J6" s="27">
        <f>SUM(J4:J5)</f>
        <v>-1.886490963443066E-12</v>
      </c>
    </row>
    <row r="7" spans="1:35" ht="44" thickTop="1" x14ac:dyDescent="0.35">
      <c r="D7" s="209"/>
      <c r="E7" s="210"/>
      <c r="F7" s="209"/>
      <c r="G7" s="209"/>
      <c r="H7" s="209"/>
      <c r="I7" s="208"/>
      <c r="J7" s="208"/>
      <c r="K7" s="207" t="s">
        <v>120</v>
      </c>
    </row>
    <row r="8" spans="1:35" x14ac:dyDescent="0.35">
      <c r="A8" s="20" t="s">
        <v>105</v>
      </c>
      <c r="D8" s="209"/>
      <c r="E8" s="210"/>
      <c r="F8" s="209"/>
      <c r="G8" s="209"/>
      <c r="H8" s="209"/>
      <c r="I8" s="208"/>
      <c r="J8" s="25">
        <f>ROUND($J$5*K8,2)</f>
        <v>0.09</v>
      </c>
      <c r="K8" s="319">
        <f>'[4]Monthly TD Calc'!$CZ$44</f>
        <v>0.39209287804949344</v>
      </c>
      <c r="L8" s="39"/>
    </row>
    <row r="9" spans="1:35" x14ac:dyDescent="0.35">
      <c r="A9" s="20" t="s">
        <v>106</v>
      </c>
      <c r="D9" s="209"/>
      <c r="E9" s="210"/>
      <c r="F9" s="209"/>
      <c r="G9" s="209"/>
      <c r="H9" s="209"/>
      <c r="I9" s="208"/>
      <c r="J9" s="25">
        <f t="shared" ref="J9:J10" si="1">ROUND($J$5*K9,2)</f>
        <v>0.11</v>
      </c>
      <c r="K9" s="319">
        <f>'[4]Monthly TD Calc'!$DB$44</f>
        <v>0.45435908608374953</v>
      </c>
      <c r="L9" s="39"/>
    </row>
    <row r="10" spans="1:35" ht="15" thickBot="1" x14ac:dyDescent="0.4">
      <c r="A10" s="20" t="s">
        <v>107</v>
      </c>
      <c r="D10" s="209"/>
      <c r="E10" s="210"/>
      <c r="F10" s="209"/>
      <c r="G10" s="209"/>
      <c r="H10" s="209"/>
      <c r="I10" s="208"/>
      <c r="J10" s="25">
        <f t="shared" si="1"/>
        <v>0.04</v>
      </c>
      <c r="K10" s="319">
        <f>'[4]Monthly TD Calc'!$DC$44</f>
        <v>0.15354803586675725</v>
      </c>
      <c r="L10" s="39"/>
    </row>
    <row r="11" spans="1:35" ht="15.5" thickTop="1" thickBot="1" x14ac:dyDescent="0.4">
      <c r="A11" s="20" t="s">
        <v>109</v>
      </c>
      <c r="D11" s="209"/>
      <c r="E11" s="210"/>
      <c r="F11" s="209"/>
      <c r="G11" s="209"/>
      <c r="H11" s="209">
        <v>1.1533599997565001</v>
      </c>
      <c r="I11" s="208"/>
      <c r="J11" s="27">
        <f>SUM(J8:J10)</f>
        <v>0.24000000000000002</v>
      </c>
      <c r="K11" s="206">
        <f>SUM(K8:K10)</f>
        <v>1.0000000000000002</v>
      </c>
    </row>
    <row r="12" spans="1:35" ht="15.5" thickTop="1" thickBot="1" x14ac:dyDescent="0.4"/>
    <row r="13" spans="1:35" ht="73" thickBot="1" x14ac:dyDescent="0.4">
      <c r="B13" s="112" t="s">
        <v>290</v>
      </c>
      <c r="C13" s="143" t="s">
        <v>291</v>
      </c>
      <c r="D13" s="395" t="s">
        <v>32</v>
      </c>
      <c r="E13" s="395"/>
      <c r="F13" s="396"/>
      <c r="G13" s="397" t="s">
        <v>32</v>
      </c>
      <c r="H13" s="398"/>
      <c r="I13" s="399"/>
      <c r="J13" s="392" t="s">
        <v>8</v>
      </c>
      <c r="K13" s="393"/>
      <c r="L13" s="394"/>
      <c r="O13" s="276" t="s">
        <v>221</v>
      </c>
    </row>
    <row r="14" spans="1:35" x14ac:dyDescent="0.35">
      <c r="A14" s="46" t="s">
        <v>31</v>
      </c>
      <c r="C14" s="14"/>
      <c r="D14" s="305">
        <v>45443</v>
      </c>
      <c r="E14" s="19">
        <f>EOMONTH(D14,1)</f>
        <v>45473</v>
      </c>
      <c r="F14" s="19">
        <f t="shared" ref="F14:L14" si="2">EOMONTH(E14,1)</f>
        <v>45504</v>
      </c>
      <c r="G14" s="14">
        <f t="shared" si="2"/>
        <v>45535</v>
      </c>
      <c r="H14" s="19">
        <f t="shared" si="2"/>
        <v>45565</v>
      </c>
      <c r="I14" s="15">
        <f t="shared" si="2"/>
        <v>45596</v>
      </c>
      <c r="J14" s="19">
        <f t="shared" si="2"/>
        <v>45626</v>
      </c>
      <c r="K14" s="19">
        <f t="shared" si="2"/>
        <v>45657</v>
      </c>
      <c r="L14" s="94">
        <f t="shared" si="2"/>
        <v>45688</v>
      </c>
      <c r="O14" s="276"/>
      <c r="Z14" s="1"/>
      <c r="AA14" s="1"/>
      <c r="AB14" s="1"/>
      <c r="AC14" s="1"/>
      <c r="AD14" s="1"/>
      <c r="AE14" s="1"/>
      <c r="AF14" s="1"/>
      <c r="AG14" s="1"/>
      <c r="AH14" s="1"/>
      <c r="AI14" s="1"/>
    </row>
    <row r="15" spans="1:35" x14ac:dyDescent="0.35">
      <c r="A15" s="46" t="s">
        <v>24</v>
      </c>
      <c r="C15" s="373">
        <v>0</v>
      </c>
      <c r="D15" s="106">
        <v>0</v>
      </c>
      <c r="E15" s="106">
        <v>0</v>
      </c>
      <c r="F15" s="107">
        <v>0</v>
      </c>
      <c r="G15" s="16">
        <v>0</v>
      </c>
      <c r="H15" s="55">
        <v>0</v>
      </c>
      <c r="I15" s="154">
        <v>0</v>
      </c>
      <c r="J15" s="162">
        <v>0</v>
      </c>
      <c r="K15" s="130">
        <v>0</v>
      </c>
      <c r="L15" s="75"/>
      <c r="O15" s="47">
        <f>-SUM(J15:L15)</f>
        <v>0</v>
      </c>
    </row>
    <row r="16" spans="1:35" x14ac:dyDescent="0.35">
      <c r="A16" s="46" t="s">
        <v>25</v>
      </c>
      <c r="C16" s="373">
        <v>0</v>
      </c>
      <c r="D16" s="106">
        <v>0</v>
      </c>
      <c r="E16" s="106">
        <v>0</v>
      </c>
      <c r="F16" s="107">
        <v>0</v>
      </c>
      <c r="G16" s="16">
        <v>0</v>
      </c>
      <c r="H16" s="55">
        <v>0</v>
      </c>
      <c r="I16" s="154">
        <v>0</v>
      </c>
      <c r="J16" s="162">
        <v>0</v>
      </c>
      <c r="K16" s="130">
        <v>0</v>
      </c>
      <c r="L16" s="75"/>
      <c r="M16" s="63" t="s">
        <v>27</v>
      </c>
      <c r="O16" s="47">
        <f t="shared" ref="O16:O18" si="3">-SUM(J16:L16)</f>
        <v>0</v>
      </c>
    </row>
    <row r="17" spans="1:15" x14ac:dyDescent="0.35">
      <c r="A17" s="46" t="s">
        <v>0</v>
      </c>
      <c r="C17" s="373">
        <v>0</v>
      </c>
      <c r="D17" s="106">
        <v>0</v>
      </c>
      <c r="E17" s="106">
        <v>0</v>
      </c>
      <c r="F17" s="107">
        <v>0</v>
      </c>
      <c r="G17" s="16">
        <v>0</v>
      </c>
      <c r="H17" s="55">
        <v>0</v>
      </c>
      <c r="I17" s="154">
        <v>0</v>
      </c>
      <c r="J17" s="162">
        <v>0</v>
      </c>
      <c r="K17" s="130">
        <v>0</v>
      </c>
      <c r="L17" s="75"/>
      <c r="M17" s="304">
        <v>0.5</v>
      </c>
      <c r="O17" s="47">
        <f t="shared" si="3"/>
        <v>0</v>
      </c>
    </row>
    <row r="18" spans="1:15" x14ac:dyDescent="0.35">
      <c r="A18" s="46" t="s">
        <v>1</v>
      </c>
      <c r="C18" s="373">
        <v>0</v>
      </c>
      <c r="D18" s="106">
        <v>0</v>
      </c>
      <c r="E18" s="106">
        <v>0</v>
      </c>
      <c r="F18" s="107">
        <v>0</v>
      </c>
      <c r="G18" s="16">
        <v>0</v>
      </c>
      <c r="H18" s="55">
        <v>0</v>
      </c>
      <c r="I18" s="154">
        <v>0</v>
      </c>
      <c r="J18" s="162">
        <v>0</v>
      </c>
      <c r="K18" s="130">
        <v>0</v>
      </c>
      <c r="L18" s="75"/>
      <c r="M18" s="63"/>
      <c r="O18" s="47">
        <f t="shared" si="3"/>
        <v>0</v>
      </c>
    </row>
    <row r="19" spans="1:15" x14ac:dyDescent="0.35">
      <c r="C19" s="298"/>
      <c r="D19" s="31"/>
      <c r="E19" s="31"/>
      <c r="F19" s="31"/>
      <c r="G19" s="28"/>
      <c r="H19" s="31"/>
      <c r="I19" s="11"/>
      <c r="J19" s="31"/>
      <c r="K19" s="31"/>
      <c r="L19" s="29"/>
      <c r="O19" s="47"/>
    </row>
    <row r="20" spans="1:15" x14ac:dyDescent="0.35">
      <c r="C20" s="298"/>
      <c r="D20" s="31"/>
      <c r="E20" s="31"/>
      <c r="F20" s="31"/>
      <c r="G20" s="28"/>
      <c r="H20" s="31"/>
      <c r="I20" s="11"/>
      <c r="J20" s="31"/>
      <c r="K20" s="31"/>
      <c r="L20" s="29"/>
      <c r="O20" s="47"/>
    </row>
    <row r="21" spans="1:15" x14ac:dyDescent="0.35">
      <c r="A21" s="46" t="s">
        <v>34</v>
      </c>
      <c r="C21" s="299"/>
      <c r="D21" s="31"/>
      <c r="E21" s="31"/>
      <c r="F21" s="31"/>
      <c r="G21" s="28"/>
      <c r="H21" s="31"/>
      <c r="I21" s="155"/>
      <c r="J21" s="17"/>
      <c r="K21" s="17"/>
      <c r="L21" s="11"/>
      <c r="O21" s="47"/>
    </row>
    <row r="22" spans="1:15" x14ac:dyDescent="0.35">
      <c r="A22" s="46" t="s">
        <v>24</v>
      </c>
      <c r="C22" s="315"/>
      <c r="D22" s="41">
        <f>D15+($M$17*D$17)+($M$17*D$18)</f>
        <v>0</v>
      </c>
      <c r="E22" s="41">
        <f t="shared" ref="E22:K22" si="4">E15+($M$17*E$17)+($M$17*E$18)</f>
        <v>0</v>
      </c>
      <c r="F22" s="105">
        <f t="shared" si="4"/>
        <v>0</v>
      </c>
      <c r="G22" s="40">
        <f t="shared" si="4"/>
        <v>0</v>
      </c>
      <c r="H22" s="41">
        <f t="shared" si="4"/>
        <v>0</v>
      </c>
      <c r="I22" s="61">
        <f t="shared" si="4"/>
        <v>0</v>
      </c>
      <c r="J22" s="116">
        <f t="shared" si="4"/>
        <v>0</v>
      </c>
      <c r="K22" s="41">
        <f t="shared" si="4"/>
        <v>0</v>
      </c>
      <c r="L22" s="61">
        <f t="shared" ref="L22" si="5">L15+($M$17*L$17)+($M$17*L$18)+L$19*(1-$M$19)</f>
        <v>0</v>
      </c>
      <c r="O22" s="47"/>
    </row>
    <row r="23" spans="1:15" x14ac:dyDescent="0.35">
      <c r="A23" s="46" t="s">
        <v>25</v>
      </c>
      <c r="C23" s="315"/>
      <c r="D23" s="41">
        <f>(D$16+$M$17*D$17)+D$18*$M$17</f>
        <v>0</v>
      </c>
      <c r="E23" s="41">
        <f t="shared" ref="E23:K23" si="6">(E$16+$M$17*E$17)+E$18*$M$17</f>
        <v>0</v>
      </c>
      <c r="F23" s="105">
        <f t="shared" si="6"/>
        <v>0</v>
      </c>
      <c r="G23" s="40">
        <f t="shared" si="6"/>
        <v>0</v>
      </c>
      <c r="H23" s="41">
        <f t="shared" si="6"/>
        <v>0</v>
      </c>
      <c r="I23" s="61">
        <f t="shared" si="6"/>
        <v>0</v>
      </c>
      <c r="J23" s="116">
        <f t="shared" si="6"/>
        <v>0</v>
      </c>
      <c r="K23" s="41">
        <f t="shared" si="6"/>
        <v>0</v>
      </c>
      <c r="L23" s="61">
        <f t="shared" ref="L23" si="7">(L$16+$M$17*L$17+L$19*$M$19)+L$18*$M$17</f>
        <v>0</v>
      </c>
      <c r="O23" s="47"/>
    </row>
    <row r="24" spans="1:15" x14ac:dyDescent="0.35">
      <c r="C24" s="299"/>
      <c r="D24" s="31"/>
      <c r="E24" s="31"/>
      <c r="F24" s="31"/>
      <c r="G24" s="28"/>
      <c r="H24" s="31"/>
      <c r="I24" s="11"/>
      <c r="J24" s="17"/>
      <c r="K24" s="17"/>
      <c r="L24" s="11"/>
      <c r="O24" s="47"/>
    </row>
    <row r="25" spans="1:15" x14ac:dyDescent="0.35">
      <c r="A25" s="39" t="s">
        <v>46</v>
      </c>
      <c r="B25" s="39"/>
      <c r="C25" s="300"/>
      <c r="D25" s="31"/>
      <c r="E25" s="31"/>
      <c r="F25" s="31"/>
      <c r="G25" s="97"/>
      <c r="H25" s="247"/>
      <c r="I25" s="318"/>
      <c r="J25" s="17"/>
      <c r="K25" s="17"/>
      <c r="L25" s="11"/>
      <c r="O25" s="47"/>
    </row>
    <row r="26" spans="1:15" x14ac:dyDescent="0.35">
      <c r="A26" s="46" t="s">
        <v>24</v>
      </c>
      <c r="C26" s="374">
        <v>-864306803</v>
      </c>
      <c r="D26" s="108">
        <f>+'PCR Cycle 3'!E20</f>
        <v>211477562.01692507</v>
      </c>
      <c r="E26" s="108">
        <f>+'PCR Cycle 3'!F20</f>
        <v>288232653.1303001</v>
      </c>
      <c r="F26" s="108">
        <f>+'PCR Cycle 3'!G20</f>
        <v>383211763.58247501</v>
      </c>
      <c r="G26" s="171">
        <f>+'PCR Cycle 3'!H20</f>
        <v>371910329.86815</v>
      </c>
      <c r="H26" s="173">
        <f>+'PCR Cycle 3'!I20</f>
        <v>335752179.32269996</v>
      </c>
      <c r="I26" s="167">
        <f>+'PCR Cycle 3'!J20</f>
        <v>264320965.15840003</v>
      </c>
      <c r="J26" s="163">
        <f>+'PCR Cycle 3'!K20</f>
        <v>241638800</v>
      </c>
      <c r="K26" s="131">
        <f>+'PCR Cycle 3'!L20</f>
        <v>323339074</v>
      </c>
      <c r="L26" s="76">
        <f>+'PCR Cycle 3'!M20</f>
        <v>402093896</v>
      </c>
      <c r="O26" s="47">
        <f>-SUM(J26:L26)</f>
        <v>-967071770</v>
      </c>
    </row>
    <row r="27" spans="1:15" x14ac:dyDescent="0.35">
      <c r="A27" s="46" t="s">
        <v>105</v>
      </c>
      <c r="C27" s="374">
        <v>-339768465</v>
      </c>
      <c r="D27" s="108">
        <f>+'PCR Cycle 3'!E21</f>
        <v>99150773.365199938</v>
      </c>
      <c r="E27" s="108">
        <f>+'PCR Cycle 3'!F21</f>
        <v>113045394.94219996</v>
      </c>
      <c r="F27" s="108">
        <f>+'PCR Cycle 3'!G21</f>
        <v>135913276.50970003</v>
      </c>
      <c r="G27" s="171">
        <f>+'PCR Cycle 3'!H21</f>
        <v>127995629.06739999</v>
      </c>
      <c r="H27" s="173">
        <f>+'PCR Cycle 3'!I21</f>
        <v>127882782.21389998</v>
      </c>
      <c r="I27" s="167">
        <f>+'PCR Cycle 3'!J21</f>
        <v>116660964.78370003</v>
      </c>
      <c r="J27" s="163">
        <f>+'PCR Cycle 3'!K21</f>
        <v>106139286</v>
      </c>
      <c r="K27" s="131">
        <f>+'PCR Cycle 3'!L21</f>
        <v>110439427</v>
      </c>
      <c r="L27" s="76">
        <f>+'PCR Cycle 3'!M21</f>
        <v>108642292</v>
      </c>
      <c r="O27" s="47">
        <f t="shared" ref="O27:O29" si="8">-SUM(J27:L27)</f>
        <v>-325221005</v>
      </c>
    </row>
    <row r="28" spans="1:15" x14ac:dyDescent="0.35">
      <c r="A28" s="46" t="s">
        <v>106</v>
      </c>
      <c r="C28" s="374">
        <v>-292722150</v>
      </c>
      <c r="D28" s="108">
        <f>+'PCR Cycle 3'!E22</f>
        <v>88731587.764900014</v>
      </c>
      <c r="E28" s="108">
        <f>+'PCR Cycle 3'!F22</f>
        <v>94166529.327799991</v>
      </c>
      <c r="F28" s="108">
        <f>+'PCR Cycle 3'!G22</f>
        <v>105348229.404</v>
      </c>
      <c r="G28" s="171">
        <f>+'PCR Cycle 3'!H22</f>
        <v>100412051.37710001</v>
      </c>
      <c r="H28" s="173">
        <f>+'PCR Cycle 3'!I22</f>
        <v>104282563.54089998</v>
      </c>
      <c r="I28" s="167">
        <f>+'PCR Cycle 3'!J22</f>
        <v>95864081.57069999</v>
      </c>
      <c r="J28" s="163">
        <f>+'PCR Cycle 3'!K22</f>
        <v>90034767</v>
      </c>
      <c r="K28" s="131">
        <f>+'PCR Cycle 3'!L22</f>
        <v>93682448</v>
      </c>
      <c r="L28" s="76">
        <f>+'PCR Cycle 3'!M22</f>
        <v>92157992</v>
      </c>
      <c r="O28" s="47">
        <f t="shared" si="8"/>
        <v>-275875207</v>
      </c>
    </row>
    <row r="29" spans="1:15" x14ac:dyDescent="0.35">
      <c r="A29" s="46" t="s">
        <v>107</v>
      </c>
      <c r="C29" s="374">
        <v>-197376147</v>
      </c>
      <c r="D29" s="108">
        <f>+'PCR Cycle 3'!E23</f>
        <v>64571647.037599988</v>
      </c>
      <c r="E29" s="108">
        <f>+'PCR Cycle 3'!F23</f>
        <v>61253333.957100011</v>
      </c>
      <c r="F29" s="108">
        <f>+'PCR Cycle 3'!G23</f>
        <v>75151776.621100008</v>
      </c>
      <c r="G29" s="171">
        <f>+'PCR Cycle 3'!H23</f>
        <v>70225098.40170002</v>
      </c>
      <c r="H29" s="173">
        <f>+'PCR Cycle 3'!I23</f>
        <v>77092321.546499982</v>
      </c>
      <c r="I29" s="167">
        <f>+'PCR Cycle 3'!J23</f>
        <v>70310064.048600003</v>
      </c>
      <c r="J29" s="163">
        <f>+'PCR Cycle 3'!K23</f>
        <v>59489434</v>
      </c>
      <c r="K29" s="131">
        <f>+'PCR Cycle 3'!L23</f>
        <v>61899598</v>
      </c>
      <c r="L29" s="76">
        <f>+'PCR Cycle 3'!M23</f>
        <v>60892331</v>
      </c>
      <c r="O29" s="47">
        <f t="shared" si="8"/>
        <v>-182281363</v>
      </c>
    </row>
    <row r="30" spans="1:15" x14ac:dyDescent="0.35">
      <c r="C30" s="299"/>
      <c r="D30" s="31"/>
      <c r="E30" s="31"/>
      <c r="F30" s="31"/>
      <c r="G30" s="28"/>
      <c r="H30" s="31"/>
      <c r="I30" s="11"/>
      <c r="J30" s="17"/>
      <c r="K30" s="17"/>
      <c r="L30" s="11"/>
      <c r="O30" s="47"/>
    </row>
    <row r="31" spans="1:15" x14ac:dyDescent="0.35">
      <c r="A31" s="46" t="s">
        <v>33</v>
      </c>
      <c r="C31" s="299"/>
      <c r="D31" s="18"/>
      <c r="E31" s="18"/>
      <c r="F31" s="18"/>
      <c r="G31" s="317"/>
      <c r="H31" s="249"/>
      <c r="I31" s="318"/>
      <c r="J31" s="57"/>
      <c r="K31" s="57"/>
      <c r="L31" s="58"/>
      <c r="M31" s="63" t="s">
        <v>49</v>
      </c>
      <c r="N31" s="39"/>
      <c r="O31" s="47"/>
    </row>
    <row r="32" spans="1:15" x14ac:dyDescent="0.35">
      <c r="A32" s="46" t="s">
        <v>24</v>
      </c>
      <c r="C32" s="373">
        <v>0</v>
      </c>
      <c r="D32" s="106">
        <f>ROUND('[5]May 2024'!$G36+'[5]May 2024'!$G44,2)</f>
        <v>0</v>
      </c>
      <c r="E32" s="106">
        <f>ROUND('[5]June 2024'!$G36+'[5]June 2024'!$G44,2)</f>
        <v>0</v>
      </c>
      <c r="F32" s="108">
        <f>ROUND('[5]July 2024'!$G36+'[5]July 2024'!$G44,2)</f>
        <v>0</v>
      </c>
      <c r="G32" s="172">
        <f>ROUND('[5]August 2024'!$G36+'[5]August 2024'!$G44,2)</f>
        <v>0</v>
      </c>
      <c r="H32" s="55">
        <f>ROUND('[5]September 2024'!$G36+'[5]September 2024'!$G44,2)</f>
        <v>0</v>
      </c>
      <c r="I32" s="165">
        <f>ROUND('[5]October 2024'!$G36+'[5]October 2024'!$G44,2)</f>
        <v>0</v>
      </c>
      <c r="J32" s="116">
        <f>ROUND(J26*$M32,2)</f>
        <v>0</v>
      </c>
      <c r="K32" s="41">
        <f>ROUND(K26*$M32,2)</f>
        <v>0</v>
      </c>
      <c r="L32" s="61">
        <f t="shared" ref="J32:L35" si="9">ROUND(L26*$M32,2)</f>
        <v>0</v>
      </c>
      <c r="M32" s="320">
        <v>0</v>
      </c>
      <c r="O32" s="47">
        <f>-SUM(J32:L32)</f>
        <v>0</v>
      </c>
    </row>
    <row r="33" spans="1:15" x14ac:dyDescent="0.35">
      <c r="A33" s="46" t="s">
        <v>105</v>
      </c>
      <c r="C33" s="373">
        <v>3397.6800000000003</v>
      </c>
      <c r="D33" s="106">
        <f>ROUND('[5]May 2024'!$G37+'[5]May 2024'!$G45,2)</f>
        <v>-757.14</v>
      </c>
      <c r="E33" s="106">
        <f>ROUND('[5]June 2024'!$G37+'[5]June 2024'!$G45,2)</f>
        <v>-1087.79</v>
      </c>
      <c r="F33" s="108">
        <f>ROUND('[5]July 2024'!$G37+'[5]July 2024'!$G45,2)</f>
        <v>-1312.7</v>
      </c>
      <c r="G33" s="172">
        <f>ROUND('[5]August 2024'!$G37+'[5]August 2024'!$G45,2)</f>
        <v>36.590000000000003</v>
      </c>
      <c r="H33" s="55">
        <f>ROUND('[5]September 2024'!$G37+'[5]September 2024'!$G45,2)</f>
        <v>53.32</v>
      </c>
      <c r="I33" s="165">
        <f>ROUND('[5]October 2024'!$G37+'[5]October 2024'!$G45,2)+1.1533599997565/3</f>
        <v>-5457.5955466667474</v>
      </c>
      <c r="J33" s="116">
        <f t="shared" si="9"/>
        <v>0</v>
      </c>
      <c r="K33" s="41">
        <f t="shared" si="9"/>
        <v>0</v>
      </c>
      <c r="L33" s="61">
        <f t="shared" si="9"/>
        <v>0</v>
      </c>
      <c r="M33" s="320">
        <v>0</v>
      </c>
      <c r="O33" s="47">
        <f t="shared" ref="O33:O37" si="10">-SUM(J33:L33)</f>
        <v>0</v>
      </c>
    </row>
    <row r="34" spans="1:15" x14ac:dyDescent="0.35">
      <c r="A34" s="46" t="s">
        <v>106</v>
      </c>
      <c r="C34" s="373">
        <v>2927.2200000000003</v>
      </c>
      <c r="D34" s="106">
        <f>ROUND('[5]May 2024'!$G38+'[5]May 2024'!$G46,2)</f>
        <v>-976.82</v>
      </c>
      <c r="E34" s="106">
        <f>ROUND('[5]June 2024'!$G38+'[5]June 2024'!$G46,2)</f>
        <v>-897.77</v>
      </c>
      <c r="F34" s="108">
        <f>ROUND('[5]July 2024'!$G38+'[5]July 2024'!$G46,2)</f>
        <v>-1025.8900000000001</v>
      </c>
      <c r="G34" s="172">
        <f>ROUND('[5]August 2024'!$G38+'[5]August 2024'!$G46,2)</f>
        <v>46.56</v>
      </c>
      <c r="H34" s="55">
        <f>ROUND('[5]September 2024'!$G38+'[5]September 2024'!$G46,2)</f>
        <v>54.21</v>
      </c>
      <c r="I34" s="165">
        <f>ROUND('[5]October 2024'!$G38+'[5]October 2024'!$G46,2)+1.1533599997565/3</f>
        <v>-5680.3155466667477</v>
      </c>
      <c r="J34" s="116">
        <f t="shared" si="9"/>
        <v>0</v>
      </c>
      <c r="K34" s="41">
        <f t="shared" si="9"/>
        <v>0</v>
      </c>
      <c r="L34" s="61">
        <f t="shared" si="9"/>
        <v>0</v>
      </c>
      <c r="M34" s="320">
        <v>0</v>
      </c>
      <c r="O34" s="47">
        <f t="shared" si="10"/>
        <v>0</v>
      </c>
    </row>
    <row r="35" spans="1:15" x14ac:dyDescent="0.35">
      <c r="A35" s="46" t="s">
        <v>107</v>
      </c>
      <c r="C35" s="373">
        <v>0</v>
      </c>
      <c r="D35" s="106">
        <f>ROUND('[5]May 2024'!$G39+'[5]May 2024'!$G47,2)</f>
        <v>-58.94</v>
      </c>
      <c r="E35" s="106">
        <f>ROUND('[5]June 2024'!$G39+'[5]June 2024'!$G47,2)</f>
        <v>15.57</v>
      </c>
      <c r="F35" s="108">
        <f>ROUND('[5]July 2024'!$G39+'[5]July 2024'!$G47,2)</f>
        <v>5.45</v>
      </c>
      <c r="G35" s="172">
        <f>ROUND('[5]August 2024'!$G39+'[5]August 2024'!$G47,2)</f>
        <v>18.37</v>
      </c>
      <c r="H35" s="55">
        <f>ROUND('[5]September 2024'!$G39+'[5]September 2024'!$G47,2)</f>
        <v>24.03</v>
      </c>
      <c r="I35" s="165">
        <f>ROUND('[5]October 2024'!$G39+'[5]October 2024'!$G47,2)+1.1533599997565/3</f>
        <v>-2078.7855466667479</v>
      </c>
      <c r="J35" s="116">
        <f t="shared" si="9"/>
        <v>0</v>
      </c>
      <c r="K35" s="41">
        <f t="shared" si="9"/>
        <v>0</v>
      </c>
      <c r="L35" s="61">
        <f t="shared" si="9"/>
        <v>0</v>
      </c>
      <c r="M35" s="320">
        <v>0</v>
      </c>
      <c r="O35" s="47">
        <f t="shared" si="10"/>
        <v>0</v>
      </c>
    </row>
    <row r="36" spans="1:15" x14ac:dyDescent="0.35">
      <c r="C36" s="301"/>
      <c r="D36" s="18"/>
      <c r="E36" s="18"/>
      <c r="F36" s="18"/>
      <c r="G36" s="317"/>
      <c r="H36" s="249"/>
      <c r="I36" s="318"/>
      <c r="J36" s="68"/>
      <c r="K36" s="68"/>
      <c r="L36" s="13"/>
      <c r="M36" s="4"/>
      <c r="O36" s="47"/>
    </row>
    <row r="37" spans="1:15" ht="15" thickBot="1" x14ac:dyDescent="0.4">
      <c r="A37" s="46" t="s">
        <v>14</v>
      </c>
      <c r="C37" s="375">
        <v>183.14</v>
      </c>
      <c r="D37" s="109">
        <f>-97.05+0.01</f>
        <v>-97.039999999999992</v>
      </c>
      <c r="E37" s="109">
        <f>-87.48+0.01</f>
        <v>-87.47</v>
      </c>
      <c r="F37" s="110">
        <f>-76.22+0.01</f>
        <v>-76.209999999999994</v>
      </c>
      <c r="G37" s="26">
        <f>-70.17+0.01</f>
        <v>-70.16</v>
      </c>
      <c r="H37" s="115">
        <f>-67.89+0.01</f>
        <v>-67.88</v>
      </c>
      <c r="I37" s="166">
        <v>0</v>
      </c>
      <c r="J37" s="164">
        <f>ROUND((SUM(I44:I45)+SUM(I49:I50)+SUM(J40:J41)/2)*J$47,2)</f>
        <v>0</v>
      </c>
      <c r="K37" s="132">
        <f>ROUND((SUM(J44:J45)+SUM(J49:J50)+SUM(K40:K41)/2)*K$47,2)</f>
        <v>0</v>
      </c>
      <c r="L37" s="80"/>
      <c r="O37" s="47">
        <f t="shared" si="10"/>
        <v>0</v>
      </c>
    </row>
    <row r="38" spans="1:15" x14ac:dyDescent="0.35">
      <c r="C38" s="98"/>
      <c r="D38" s="31"/>
      <c r="E38" s="31"/>
      <c r="F38" s="31"/>
      <c r="G38" s="28"/>
      <c r="H38" s="31"/>
      <c r="I38" s="11"/>
      <c r="J38" s="17"/>
      <c r="K38" s="17"/>
      <c r="L38" s="11"/>
      <c r="O38" s="47"/>
    </row>
    <row r="39" spans="1:15" x14ac:dyDescent="0.35">
      <c r="A39" s="46" t="s">
        <v>51</v>
      </c>
      <c r="C39" s="98"/>
      <c r="D39" s="31"/>
      <c r="E39" s="31"/>
      <c r="F39" s="31"/>
      <c r="G39" s="28"/>
      <c r="H39" s="31"/>
      <c r="I39" s="11"/>
      <c r="J39" s="17"/>
      <c r="K39" s="17"/>
      <c r="L39" s="11"/>
      <c r="O39" s="47"/>
    </row>
    <row r="40" spans="1:15" x14ac:dyDescent="0.35">
      <c r="A40" s="46" t="s">
        <v>24</v>
      </c>
      <c r="C40" s="40">
        <f>C22-C32</f>
        <v>0</v>
      </c>
      <c r="D40" s="41">
        <f t="shared" ref="D40:L40" si="11">D22-D32</f>
        <v>0</v>
      </c>
      <c r="E40" s="41">
        <f t="shared" si="11"/>
        <v>0</v>
      </c>
      <c r="F40" s="105">
        <f t="shared" si="11"/>
        <v>0</v>
      </c>
      <c r="G40" s="40">
        <f t="shared" si="11"/>
        <v>0</v>
      </c>
      <c r="H40" s="41">
        <f t="shared" si="11"/>
        <v>0</v>
      </c>
      <c r="I40" s="61">
        <f t="shared" si="11"/>
        <v>0</v>
      </c>
      <c r="J40" s="116">
        <f t="shared" si="11"/>
        <v>0</v>
      </c>
      <c r="K40" s="41">
        <f t="shared" si="11"/>
        <v>0</v>
      </c>
      <c r="L40" s="49">
        <f t="shared" si="11"/>
        <v>0</v>
      </c>
      <c r="O40" s="47"/>
    </row>
    <row r="41" spans="1:15" x14ac:dyDescent="0.35">
      <c r="A41" s="46" t="s">
        <v>25</v>
      </c>
      <c r="C41" s="41">
        <f>C23-SUM(C33:C35)</f>
        <v>-6324.9000000000005</v>
      </c>
      <c r="D41" s="41">
        <f>D23-SUM(D33:D35)</f>
        <v>1792.9</v>
      </c>
      <c r="E41" s="41">
        <f t="shared" ref="E41:L41" si="12">E23-SUM(E33:E35)</f>
        <v>1969.99</v>
      </c>
      <c r="F41" s="105">
        <f t="shared" si="12"/>
        <v>2333.1400000000003</v>
      </c>
      <c r="G41" s="40">
        <f t="shared" si="12"/>
        <v>-101.52000000000001</v>
      </c>
      <c r="H41" s="41">
        <f t="shared" si="12"/>
        <v>-131.56</v>
      </c>
      <c r="I41" s="61">
        <f t="shared" si="12"/>
        <v>13216.696640000244</v>
      </c>
      <c r="J41" s="116">
        <f t="shared" si="12"/>
        <v>0</v>
      </c>
      <c r="K41" s="41">
        <f t="shared" si="12"/>
        <v>0</v>
      </c>
      <c r="L41" s="49">
        <f t="shared" si="12"/>
        <v>0</v>
      </c>
      <c r="O41" s="47"/>
    </row>
    <row r="42" spans="1:15" x14ac:dyDescent="0.35">
      <c r="C42" s="98"/>
      <c r="D42" s="31"/>
      <c r="E42" s="31"/>
      <c r="F42" s="31"/>
      <c r="G42" s="28"/>
      <c r="H42" s="31"/>
      <c r="I42" s="11"/>
      <c r="J42" s="17"/>
      <c r="K42" s="17"/>
      <c r="L42" s="11"/>
      <c r="O42" s="47"/>
    </row>
    <row r="43" spans="1:15" ht="15" thickBot="1" x14ac:dyDescent="0.4">
      <c r="A43" s="46" t="s">
        <v>52</v>
      </c>
      <c r="C43" s="101"/>
      <c r="D43" s="31"/>
      <c r="E43" s="31"/>
      <c r="F43" s="31"/>
      <c r="G43" s="28"/>
      <c r="H43" s="31"/>
      <c r="I43" s="11"/>
      <c r="J43" s="17"/>
      <c r="K43" s="17"/>
      <c r="L43" s="11"/>
      <c r="O43" s="47"/>
    </row>
    <row r="44" spans="1:15" x14ac:dyDescent="0.35">
      <c r="A44" s="46" t="s">
        <v>24</v>
      </c>
      <c r="B44" s="302">
        <v>-0.23768000013951607</v>
      </c>
      <c r="C44" s="41">
        <f>B44+C40+B49</f>
        <v>-0.23768000013951607</v>
      </c>
      <c r="D44" s="41">
        <f>C44+D40+C49</f>
        <v>-0.23768000013951607</v>
      </c>
      <c r="E44" s="41">
        <f t="shared" ref="E44:L44" si="13">D44+E40+D49</f>
        <v>-0.23768000013951607</v>
      </c>
      <c r="F44" s="105">
        <f t="shared" si="13"/>
        <v>-0.23768000013951607</v>
      </c>
      <c r="G44" s="40">
        <f t="shared" si="13"/>
        <v>-0.23768000013951607</v>
      </c>
      <c r="H44" s="41">
        <f t="shared" si="13"/>
        <v>-0.23768000013951607</v>
      </c>
      <c r="I44" s="61">
        <f t="shared" si="13"/>
        <v>-0.23768000013951607</v>
      </c>
      <c r="J44" s="116">
        <f t="shared" si="13"/>
        <v>-0.23768000013951607</v>
      </c>
      <c r="K44" s="41">
        <f t="shared" si="13"/>
        <v>-0.23768000013951607</v>
      </c>
      <c r="L44" s="49">
        <f t="shared" si="13"/>
        <v>-0.23768000013951607</v>
      </c>
      <c r="O44" s="47"/>
    </row>
    <row r="45" spans="1:15" ht="15" thickBot="1" x14ac:dyDescent="0.4">
      <c r="A45" s="46" t="s">
        <v>25</v>
      </c>
      <c r="B45" s="303">
        <v>-12538.878960000104</v>
      </c>
      <c r="C45" s="41">
        <f>B45+C41+B50</f>
        <v>-18863.778960000105</v>
      </c>
      <c r="D45" s="41">
        <f>C45+D41+C50</f>
        <v>-16887.748960000103</v>
      </c>
      <c r="E45" s="41">
        <f t="shared" ref="E45:L45" si="14">D45+E41+D50</f>
        <v>-15014.798960000104</v>
      </c>
      <c r="F45" s="105">
        <f t="shared" si="14"/>
        <v>-12769.128960000102</v>
      </c>
      <c r="G45" s="40">
        <f t="shared" si="14"/>
        <v>-12946.858960000101</v>
      </c>
      <c r="H45" s="41">
        <f t="shared" si="14"/>
        <v>-13148.578960000101</v>
      </c>
      <c r="I45" s="61">
        <f t="shared" si="14"/>
        <v>0.23768000014308654</v>
      </c>
      <c r="J45" s="116">
        <f t="shared" si="14"/>
        <v>0.23768000014308654</v>
      </c>
      <c r="K45" s="41">
        <f t="shared" si="14"/>
        <v>0.23768000014308654</v>
      </c>
      <c r="L45" s="49">
        <f t="shared" si="14"/>
        <v>0.23768000014308654</v>
      </c>
      <c r="O45" s="47"/>
    </row>
    <row r="46" spans="1:15" x14ac:dyDescent="0.35">
      <c r="C46" s="98"/>
      <c r="D46" s="31"/>
      <c r="E46" s="31"/>
      <c r="F46" s="31"/>
      <c r="G46" s="28"/>
      <c r="H46" s="31"/>
      <c r="I46" s="11"/>
      <c r="J46" s="17"/>
      <c r="K46" s="17"/>
      <c r="L46" s="11"/>
      <c r="O46" s="47"/>
    </row>
    <row r="47" spans="1:15" x14ac:dyDescent="0.35">
      <c r="A47" s="39" t="s">
        <v>48</v>
      </c>
      <c r="B47" s="39"/>
      <c r="C47" s="101"/>
      <c r="D47" s="312">
        <f>+'PCR Cycle 3'!E45</f>
        <v>5.4564799999999997E-3</v>
      </c>
      <c r="E47" s="312">
        <f>+'PCR Cycle 3'!F45</f>
        <v>5.4667700000000001E-3</v>
      </c>
      <c r="F47" s="312">
        <f>+'PCR Cycle 3'!G45</f>
        <v>5.46883E-3</v>
      </c>
      <c r="G47" s="313">
        <f>+'PCR Cycle 3'!H45</f>
        <v>5.4406000000000003E-3</v>
      </c>
      <c r="H47" s="312">
        <f>+'PCR Cycle 3'!I45</f>
        <v>5.1888699999999999E-3</v>
      </c>
      <c r="I47" s="314">
        <f>+'PCR Cycle 3'!J45*0</f>
        <v>0</v>
      </c>
      <c r="J47" s="382">
        <f>+I47</f>
        <v>0</v>
      </c>
      <c r="K47" s="382">
        <f>I47</f>
        <v>0</v>
      </c>
      <c r="L47" s="91"/>
      <c r="O47" s="47"/>
    </row>
    <row r="48" spans="1:15" x14ac:dyDescent="0.35">
      <c r="A48" s="39" t="s">
        <v>36</v>
      </c>
      <c r="B48" s="39"/>
      <c r="C48" s="98"/>
      <c r="D48" s="31"/>
      <c r="E48" s="31"/>
      <c r="F48" s="31"/>
      <c r="G48" s="28"/>
      <c r="H48" s="31"/>
      <c r="I48" s="11"/>
      <c r="J48" s="17"/>
      <c r="K48" s="17"/>
      <c r="L48" s="11"/>
      <c r="M48" s="71"/>
      <c r="O48" s="47"/>
    </row>
    <row r="49" spans="1:15" x14ac:dyDescent="0.35">
      <c r="A49" s="46" t="s">
        <v>24</v>
      </c>
      <c r="C49" s="315">
        <v>0</v>
      </c>
      <c r="D49" s="41">
        <f t="shared" ref="D49" si="15">ROUND((C44+C49+D40/2)*D$47,2)</f>
        <v>0</v>
      </c>
      <c r="E49" s="41">
        <f t="shared" ref="E49:E50" si="16">ROUND((D44+D49+E40/2)*E$47,2)</f>
        <v>0</v>
      </c>
      <c r="F49" s="105">
        <f t="shared" ref="F49:F50" si="17">ROUND((E44+E49+F40/2)*F$47,2)</f>
        <v>0</v>
      </c>
      <c r="G49" s="40">
        <f>ROUND((F44+F49+G40/2)*G$47,2)*0</f>
        <v>0</v>
      </c>
      <c r="H49" s="116">
        <f t="shared" ref="H49:I50" si="18">ROUND((G44+G49+H40/2)*H$47,2)</f>
        <v>0</v>
      </c>
      <c r="I49" s="61">
        <f t="shared" si="18"/>
        <v>0</v>
      </c>
      <c r="J49" s="116">
        <f t="shared" ref="J49:J50" si="19">ROUND((I44+I49+J40/2)*J$47,2)</f>
        <v>0</v>
      </c>
      <c r="K49" s="116">
        <f t="shared" ref="K49:K50" si="20">ROUND((J44+J49+K40/2)*K$47,2)</f>
        <v>0</v>
      </c>
      <c r="L49" s="49"/>
      <c r="O49" s="47">
        <f t="shared" ref="O49:O50" si="21">-SUM(J49:L49)</f>
        <v>0</v>
      </c>
    </row>
    <row r="50" spans="1:15" ht="15" thickBot="1" x14ac:dyDescent="0.4">
      <c r="A50" s="46" t="s">
        <v>25</v>
      </c>
      <c r="C50" s="376">
        <v>183.13</v>
      </c>
      <c r="D50" s="41">
        <f>ROUND((C45+C50+D41/2)*D$47,2)</f>
        <v>-97.04</v>
      </c>
      <c r="E50" s="41">
        <f t="shared" si="16"/>
        <v>-87.47</v>
      </c>
      <c r="F50" s="105">
        <f t="shared" si="17"/>
        <v>-76.209999999999994</v>
      </c>
      <c r="G50" s="40">
        <f t="shared" ref="G50" si="22">ROUND((F45+F50+G41/2)*G$47,2)</f>
        <v>-70.16</v>
      </c>
      <c r="H50" s="116">
        <f t="shared" si="18"/>
        <v>-67.88</v>
      </c>
      <c r="I50" s="61">
        <f>ROUND((H45+H50+I41/2)*I$47,2)</f>
        <v>0</v>
      </c>
      <c r="J50" s="116">
        <f t="shared" si="19"/>
        <v>0</v>
      </c>
      <c r="K50" s="116">
        <f t="shared" si="20"/>
        <v>0</v>
      </c>
      <c r="L50" s="49"/>
      <c r="O50" s="47">
        <f t="shared" si="21"/>
        <v>0</v>
      </c>
    </row>
    <row r="51" spans="1:15" ht="15.5" thickTop="1" thickBot="1" x14ac:dyDescent="0.4">
      <c r="A51" s="54" t="s">
        <v>22</v>
      </c>
      <c r="B51" s="54"/>
      <c r="C51" s="111">
        <v>0</v>
      </c>
      <c r="D51" s="32">
        <f t="shared" ref="D51:L51" si="23">SUM(D49:D50)+SUM(D44:D45)-D54</f>
        <v>0</v>
      </c>
      <c r="E51" s="32">
        <f t="shared" si="23"/>
        <v>0</v>
      </c>
      <c r="F51" s="50">
        <f t="shared" si="23"/>
        <v>0</v>
      </c>
      <c r="G51" s="117">
        <f t="shared" si="23"/>
        <v>0</v>
      </c>
      <c r="H51" s="32">
        <f t="shared" si="23"/>
        <v>0</v>
      </c>
      <c r="I51" s="62">
        <f t="shared" si="23"/>
        <v>3.5704772471945034E-12</v>
      </c>
      <c r="J51" s="153">
        <f t="shared" si="23"/>
        <v>3.5704772471945034E-12</v>
      </c>
      <c r="K51" s="32">
        <f t="shared" si="23"/>
        <v>3.5704772471945034E-12</v>
      </c>
      <c r="L51" s="95">
        <f t="shared" si="23"/>
        <v>3.5704772471945034E-12</v>
      </c>
      <c r="O51" s="47"/>
    </row>
    <row r="52" spans="1:15" ht="15.5" thickTop="1" thickBot="1" x14ac:dyDescent="0.4">
      <c r="A52" s="54" t="s">
        <v>23</v>
      </c>
      <c r="B52" s="54"/>
      <c r="C52" s="104">
        <v>0</v>
      </c>
      <c r="D52" s="32">
        <f>SUM(D49:D50)-D37</f>
        <v>0</v>
      </c>
      <c r="E52" s="32">
        <f t="shared" ref="E52:L52" si="24">SUM(E49:E50)-E37</f>
        <v>0</v>
      </c>
      <c r="F52" s="50">
        <f t="shared" si="24"/>
        <v>0</v>
      </c>
      <c r="G52" s="51">
        <f t="shared" si="24"/>
        <v>0</v>
      </c>
      <c r="H52" s="32">
        <f t="shared" si="24"/>
        <v>0</v>
      </c>
      <c r="I52" s="62">
        <f t="shared" si="24"/>
        <v>0</v>
      </c>
      <c r="J52" s="153">
        <f t="shared" si="24"/>
        <v>0</v>
      </c>
      <c r="K52" s="32">
        <f t="shared" si="24"/>
        <v>0</v>
      </c>
      <c r="L52" s="95">
        <f t="shared" si="24"/>
        <v>0</v>
      </c>
      <c r="O52" s="47"/>
    </row>
    <row r="53" spans="1:15" ht="15.5" thickTop="1" thickBot="1" x14ac:dyDescent="0.4">
      <c r="C53" s="98"/>
      <c r="D53" s="17"/>
      <c r="E53" s="17"/>
      <c r="F53" s="17"/>
      <c r="G53" s="10"/>
      <c r="H53" s="17"/>
      <c r="I53" s="11"/>
      <c r="J53" s="17"/>
      <c r="K53" s="17"/>
      <c r="L53" s="11"/>
      <c r="O53" s="47"/>
    </row>
    <row r="54" spans="1:15" ht="15" thickBot="1" x14ac:dyDescent="0.4">
      <c r="A54" s="46" t="s">
        <v>35</v>
      </c>
      <c r="B54" s="113">
        <f>+B44+B45</f>
        <v>-12539.116640000244</v>
      </c>
      <c r="C54" s="40">
        <f>(SUM(C15:C19)-SUM(C32:C35))+SUM(C49:C50)+B54</f>
        <v>-18680.886640000244</v>
      </c>
      <c r="D54" s="41">
        <f t="shared" ref="D54:L54" si="25">(SUM(D15:D19)-SUM(D32:D35))+SUM(D49:D50)+C54</f>
        <v>-16985.026640000244</v>
      </c>
      <c r="E54" s="41">
        <f t="shared" si="25"/>
        <v>-15102.506640000243</v>
      </c>
      <c r="F54" s="105">
        <f t="shared" si="25"/>
        <v>-12845.576640000243</v>
      </c>
      <c r="G54" s="40">
        <f t="shared" si="25"/>
        <v>-13017.256640000243</v>
      </c>
      <c r="H54" s="41">
        <f t="shared" si="25"/>
        <v>-13216.696640000244</v>
      </c>
      <c r="I54" s="61">
        <f t="shared" si="25"/>
        <v>0</v>
      </c>
      <c r="J54" s="116">
        <f t="shared" si="25"/>
        <v>0</v>
      </c>
      <c r="K54" s="41">
        <f t="shared" si="25"/>
        <v>0</v>
      </c>
      <c r="L54" s="61">
        <f t="shared" si="25"/>
        <v>0</v>
      </c>
    </row>
    <row r="55" spans="1:15" x14ac:dyDescent="0.35">
      <c r="A55" s="46" t="s">
        <v>12</v>
      </c>
      <c r="C55" s="114"/>
      <c r="D55" s="56"/>
      <c r="E55" s="56"/>
      <c r="F55" s="56"/>
      <c r="G55" s="12"/>
      <c r="H55" s="56"/>
      <c r="I55" s="11"/>
      <c r="J55" s="17"/>
      <c r="K55" s="17"/>
      <c r="L55" s="11"/>
    </row>
    <row r="56" spans="1:15" ht="15" thickBot="1" x14ac:dyDescent="0.4">
      <c r="B56" s="17"/>
      <c r="C56" s="43"/>
      <c r="D56" s="44"/>
      <c r="E56" s="44"/>
      <c r="F56" s="44"/>
      <c r="G56" s="43"/>
      <c r="H56" s="44"/>
      <c r="I56" s="45"/>
      <c r="J56" s="44"/>
      <c r="K56" s="44"/>
      <c r="L56" s="45"/>
    </row>
    <row r="57" spans="1:15" x14ac:dyDescent="0.35">
      <c r="A57" s="39"/>
    </row>
    <row r="58" spans="1:15" x14ac:dyDescent="0.35">
      <c r="A58" s="69" t="s">
        <v>11</v>
      </c>
      <c r="B58" s="69"/>
      <c r="C58" s="69"/>
    </row>
    <row r="59" spans="1:15" ht="42.75" customHeight="1" x14ac:dyDescent="0.35">
      <c r="A59" s="390" t="s">
        <v>218</v>
      </c>
      <c r="B59" s="390"/>
      <c r="C59" s="390"/>
      <c r="D59" s="390"/>
      <c r="E59" s="390"/>
      <c r="F59" s="390"/>
      <c r="G59" s="390"/>
      <c r="H59" s="390"/>
      <c r="I59" s="390"/>
      <c r="J59" s="136"/>
      <c r="K59" s="136"/>
      <c r="L59" s="136"/>
    </row>
    <row r="60" spans="1:15" ht="56.25" customHeight="1" x14ac:dyDescent="0.35">
      <c r="A60" s="390" t="s">
        <v>316</v>
      </c>
      <c r="B60" s="391"/>
      <c r="C60" s="391"/>
      <c r="D60" s="391"/>
      <c r="E60" s="391"/>
      <c r="F60" s="391"/>
      <c r="G60" s="391"/>
      <c r="H60" s="391"/>
      <c r="I60" s="391"/>
      <c r="J60" s="136"/>
      <c r="K60" s="136"/>
      <c r="L60" s="136"/>
    </row>
    <row r="61" spans="1:15" ht="55.5" customHeight="1" x14ac:dyDescent="0.35">
      <c r="A61" s="390" t="s">
        <v>249</v>
      </c>
      <c r="B61" s="391"/>
      <c r="C61" s="391"/>
      <c r="D61" s="391"/>
      <c r="E61" s="391"/>
      <c r="F61" s="391"/>
      <c r="G61" s="391"/>
      <c r="H61" s="391"/>
      <c r="I61" s="391"/>
      <c r="J61" s="136"/>
      <c r="K61" s="136"/>
      <c r="L61" s="136"/>
    </row>
    <row r="62" spans="1:15" x14ac:dyDescent="0.35">
      <c r="A62" s="390" t="s">
        <v>255</v>
      </c>
      <c r="B62" s="391"/>
      <c r="C62" s="391"/>
      <c r="D62" s="391"/>
      <c r="E62" s="391"/>
      <c r="F62" s="391"/>
      <c r="G62" s="391"/>
      <c r="H62" s="391"/>
      <c r="I62" s="391"/>
    </row>
    <row r="63" spans="1:15" x14ac:dyDescent="0.35">
      <c r="A63" s="63" t="s">
        <v>288</v>
      </c>
      <c r="B63" s="3"/>
      <c r="C63" s="3"/>
      <c r="I63" s="4"/>
    </row>
    <row r="64" spans="1:15" x14ac:dyDescent="0.35">
      <c r="A64" s="63" t="s">
        <v>50</v>
      </c>
      <c r="B64" s="3"/>
      <c r="C64" s="3"/>
      <c r="I64" s="4"/>
    </row>
    <row r="65" spans="1:13" x14ac:dyDescent="0.35">
      <c r="A65" s="63" t="s">
        <v>177</v>
      </c>
    </row>
    <row r="74" spans="1:13" x14ac:dyDescent="0.35">
      <c r="M74" s="8"/>
    </row>
  </sheetData>
  <mergeCells count="7">
    <mergeCell ref="A62:I62"/>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74"/>
  <sheetViews>
    <sheetView zoomScale="85" zoomScaleNormal="85" workbookViewId="0">
      <pane xSplit="2" ySplit="11" topLeftCell="C12" activePane="bottomRight" state="frozen"/>
      <selection activeCell="B5" sqref="B5:C22"/>
      <selection pane="topRight" activeCell="B5" sqref="B5:C22"/>
      <selection pane="bottomLeft" activeCell="B5" sqref="B5:C22"/>
      <selection pane="bottomRight" activeCell="A15" sqref="A15"/>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hidden="1" customWidth="1" outlineLevel="1"/>
    <col min="17" max="17" width="16.1796875" style="46" customWidth="1" collapsed="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24" width="11.26953125" style="46" bestFit="1" customWidth="1"/>
    <col min="25" max="16384" width="9.1796875" style="46"/>
  </cols>
  <sheetData>
    <row r="1" spans="1:36" x14ac:dyDescent="0.35">
      <c r="A1" s="3" t="str">
        <f>+'PPC Cycle 3'!A1</f>
        <v>Evergy Missouri West, Inc. - DSIM Rider Update Filed 12/01/2024</v>
      </c>
      <c r="B1" s="3"/>
      <c r="C1" s="3"/>
      <c r="D1" s="3"/>
    </row>
    <row r="2" spans="1:36" x14ac:dyDescent="0.35">
      <c r="E2" s="3" t="s">
        <v>135</v>
      </c>
    </row>
    <row r="3" spans="1:36" ht="29" x14ac:dyDescent="0.35">
      <c r="E3" s="48" t="s">
        <v>45</v>
      </c>
      <c r="F3" s="48" t="s">
        <v>44</v>
      </c>
      <c r="G3" s="70" t="s">
        <v>2</v>
      </c>
      <c r="H3" s="48" t="s">
        <v>3</v>
      </c>
      <c r="I3" s="70" t="s">
        <v>54</v>
      </c>
      <c r="J3" s="48" t="s">
        <v>10</v>
      </c>
      <c r="K3" s="48" t="s">
        <v>4</v>
      </c>
    </row>
    <row r="4" spans="1:36" x14ac:dyDescent="0.35">
      <c r="A4" s="20" t="s">
        <v>24</v>
      </c>
      <c r="E4" s="22">
        <f>SUM(C26:M26)</f>
        <v>2081502.8700000003</v>
      </c>
      <c r="F4" s="128">
        <f>SUM(C20:M20)</f>
        <v>1957670420.0789502</v>
      </c>
      <c r="G4" s="22">
        <f>SUM(C14:L14)</f>
        <v>4722445.0599999996</v>
      </c>
      <c r="H4" s="22">
        <f>G4-E4</f>
        <v>2640942.1899999995</v>
      </c>
      <c r="I4" s="22">
        <f>+B40</f>
        <v>-270122.42</v>
      </c>
      <c r="J4" s="22">
        <f>SUM(C47:L47)</f>
        <v>53626.520000000004</v>
      </c>
      <c r="K4" s="25">
        <f>SUM(H4:J4)</f>
        <v>2424446.2899999996</v>
      </c>
      <c r="L4" s="306">
        <f>+K4-M40</f>
        <v>0</v>
      </c>
    </row>
    <row r="5" spans="1:36" x14ac:dyDescent="0.35">
      <c r="A5" s="20" t="s">
        <v>105</v>
      </c>
      <c r="E5" s="22">
        <f>SUM(C27:M27)</f>
        <v>563295.43000000005</v>
      </c>
      <c r="F5" s="128">
        <f>SUM(C21:M21)</f>
        <v>706101360.88209987</v>
      </c>
      <c r="G5" s="22">
        <f>SUM(C15:L15)</f>
        <v>1805088.0699999998</v>
      </c>
      <c r="H5" s="22">
        <f>G5-E5</f>
        <v>1241792.6399999997</v>
      </c>
      <c r="I5" s="22">
        <f>+B41</f>
        <v>136643.97999999989</v>
      </c>
      <c r="J5" s="22">
        <f>SUM(C48:L48)</f>
        <v>23236.089999999997</v>
      </c>
      <c r="K5" s="25">
        <f>SUM(H5:J5)</f>
        <v>1401672.7099999997</v>
      </c>
      <c r="L5" s="306">
        <f t="shared" ref="L5:L6" si="0">+K5-M41</f>
        <v>0</v>
      </c>
    </row>
    <row r="6" spans="1:36" x14ac:dyDescent="0.35">
      <c r="A6" s="20" t="s">
        <v>106</v>
      </c>
      <c r="E6" s="22">
        <f>SUM(C28:M28)</f>
        <v>185706.1100000001</v>
      </c>
      <c r="F6" s="128">
        <f>SUM(C22:M22)</f>
        <v>571958099.98539996</v>
      </c>
      <c r="G6" s="22">
        <f>SUM(C16:L16)</f>
        <v>1313594.7999999998</v>
      </c>
      <c r="H6" s="22">
        <f>G6-E6</f>
        <v>1127888.6899999997</v>
      </c>
      <c r="I6" s="22">
        <f>+B42</f>
        <v>-589874.7200000002</v>
      </c>
      <c r="J6" s="22">
        <f>SUM(C49:L49)</f>
        <v>-7605.58</v>
      </c>
      <c r="K6" s="25">
        <f>SUM(H6:J6)</f>
        <v>530408.38999999955</v>
      </c>
      <c r="L6" s="306">
        <f t="shared" si="0"/>
        <v>0</v>
      </c>
    </row>
    <row r="7" spans="1:36" ht="15" thickBot="1" x14ac:dyDescent="0.4">
      <c r="A7" s="20" t="s">
        <v>107</v>
      </c>
      <c r="E7" s="22">
        <f>SUM(C29:M29)</f>
        <v>-105166.95999999999</v>
      </c>
      <c r="F7" s="128">
        <f>SUM(C23:M23)</f>
        <v>403509457.61260003</v>
      </c>
      <c r="G7" s="22">
        <f>SUM(C17:L17)</f>
        <v>1061059.49</v>
      </c>
      <c r="H7" s="22">
        <f>G7-E7</f>
        <v>1166226.45</v>
      </c>
      <c r="I7" s="22">
        <f>+B43</f>
        <v>-1144204.7899999991</v>
      </c>
      <c r="J7" s="22">
        <f>SUM(C50:L50)</f>
        <v>-26247.99</v>
      </c>
      <c r="K7" s="25">
        <f>SUM(H7:J7)</f>
        <v>-4226.3299999991541</v>
      </c>
      <c r="L7" s="306">
        <f>+K7-M43</f>
        <v>-1.8280843505635858E-10</v>
      </c>
    </row>
    <row r="8" spans="1:36" ht="15.5" thickTop="1" thickBot="1" x14ac:dyDescent="0.4">
      <c r="E8" s="27">
        <f t="shared" ref="E8:K8" si="1">SUM(E4:E7)</f>
        <v>2725337.45</v>
      </c>
      <c r="F8" s="27">
        <f t="shared" si="1"/>
        <v>3639239338.5590501</v>
      </c>
      <c r="G8" s="27">
        <f t="shared" si="1"/>
        <v>8902187.4199999981</v>
      </c>
      <c r="H8" s="27">
        <f t="shared" si="1"/>
        <v>6176849.9699999988</v>
      </c>
      <c r="I8" s="27">
        <f t="shared" si="1"/>
        <v>-1867557.9499999993</v>
      </c>
      <c r="J8" s="27">
        <f t="shared" si="1"/>
        <v>43009.039999999994</v>
      </c>
      <c r="K8" s="27">
        <f t="shared" si="1"/>
        <v>4352301.0599999996</v>
      </c>
    </row>
    <row r="9" spans="1:36" ht="15.5" thickTop="1" thickBot="1" x14ac:dyDescent="0.4"/>
    <row r="10" spans="1:36" ht="73" thickBot="1" x14ac:dyDescent="0.4">
      <c r="B10" s="112" t="str">
        <f>+'PCR Cycle 2'!B13</f>
        <v>Cumulative Over/Under Carryover From 06/01/2024 Filing</v>
      </c>
      <c r="C10" s="143" t="str">
        <f>+'PCR Cycle 2'!C13</f>
        <v>Reverse May 2024 - July 2024 Forecast From 06/01/2024 Filing</v>
      </c>
      <c r="D10" s="256"/>
      <c r="E10" s="395" t="s">
        <v>32</v>
      </c>
      <c r="F10" s="395"/>
      <c r="G10" s="396"/>
      <c r="H10" s="397" t="s">
        <v>32</v>
      </c>
      <c r="I10" s="398"/>
      <c r="J10" s="399"/>
      <c r="K10" s="392" t="s">
        <v>8</v>
      </c>
      <c r="L10" s="393"/>
      <c r="M10" s="394"/>
      <c r="P10" s="276" t="s">
        <v>221</v>
      </c>
    </row>
    <row r="11" spans="1:36" x14ac:dyDescent="0.35">
      <c r="C11" s="14"/>
      <c r="D11" s="19"/>
      <c r="E11" s="19">
        <f>+'PCR Cycle 2'!D14</f>
        <v>45443</v>
      </c>
      <c r="F11" s="19">
        <f>+'PCR Cycle 2'!E14</f>
        <v>45473</v>
      </c>
      <c r="G11" s="19">
        <f>+'PCR Cycle 2'!F14</f>
        <v>45504</v>
      </c>
      <c r="H11" s="14">
        <f>+'PCR Cycle 2'!G14</f>
        <v>45535</v>
      </c>
      <c r="I11" s="19">
        <f>+'PCR Cycle 2'!H14</f>
        <v>45565</v>
      </c>
      <c r="J11" s="15">
        <f>+'PCR Cycle 2'!I14</f>
        <v>45596</v>
      </c>
      <c r="K11" s="19">
        <f>+'PCR Cycle 2'!J14</f>
        <v>45626</v>
      </c>
      <c r="L11" s="19">
        <f>+'PCR Cycle 2'!K14</f>
        <v>45657</v>
      </c>
      <c r="M11" s="94">
        <f>+'PCR Cycle 2'!L14</f>
        <v>45688</v>
      </c>
      <c r="AA11" s="1"/>
      <c r="AB11" s="1"/>
      <c r="AC11" s="1"/>
      <c r="AD11" s="1"/>
      <c r="AE11" s="1"/>
      <c r="AF11" s="1"/>
      <c r="AG11" s="1"/>
      <c r="AH11" s="1"/>
      <c r="AI11" s="1"/>
      <c r="AJ11" s="1"/>
    </row>
    <row r="12" spans="1:36" x14ac:dyDescent="0.35">
      <c r="C12" s="97"/>
      <c r="D12" s="247"/>
      <c r="E12" s="31"/>
      <c r="F12" s="31"/>
      <c r="G12" s="31"/>
      <c r="H12" s="28"/>
      <c r="I12" s="31"/>
      <c r="J12" s="11"/>
      <c r="K12" s="31"/>
      <c r="L12" s="31"/>
      <c r="M12" s="29"/>
      <c r="P12" s="47"/>
    </row>
    <row r="13" spans="1:36" x14ac:dyDescent="0.35">
      <c r="A13" s="46" t="s">
        <v>136</v>
      </c>
      <c r="C13" s="98"/>
      <c r="D13" s="141"/>
      <c r="E13" s="31"/>
      <c r="F13" s="31"/>
      <c r="G13" s="31"/>
      <c r="H13" s="97"/>
      <c r="I13" s="247"/>
      <c r="J13" s="321"/>
      <c r="K13" s="141"/>
      <c r="L13" s="141"/>
      <c r="M13" s="11"/>
      <c r="P13" s="47"/>
    </row>
    <row r="14" spans="1:36" x14ac:dyDescent="0.35">
      <c r="A14" s="46" t="s">
        <v>24</v>
      </c>
      <c r="C14" s="373">
        <v>-1275723.02</v>
      </c>
      <c r="D14" s="248"/>
      <c r="E14" s="106">
        <f>ROUND('[6]Pivot - SI Project'!$N$34,2)</f>
        <v>630816.72</v>
      </c>
      <c r="F14" s="106">
        <f>ROUND('[7]Pivot - SI Project'!$N$34,2)</f>
        <v>683864.26</v>
      </c>
      <c r="G14" s="107">
        <f>ROUND('[8]Pivot - SI Project'!$N$34,2)</f>
        <v>1436346.53</v>
      </c>
      <c r="H14" s="16">
        <f>ROUND('[9]Pivot - SI Project'!$N$34,2)</f>
        <v>771794.21</v>
      </c>
      <c r="I14" s="55">
        <f>ROUND('[10]Pivot - SI Project'!$N$34,2)</f>
        <v>445465.26</v>
      </c>
      <c r="J14" s="154">
        <f>ROUND('[11]Pivot - SI Project'!$N$34,2)</f>
        <v>603292.76</v>
      </c>
      <c r="K14" s="162">
        <f>ROUND(SUM('[2]Monthly Program Costs Ext'!BN301),2)</f>
        <v>587534.87</v>
      </c>
      <c r="L14" s="162">
        <f>ROUND(SUM('[2]Monthly Program Costs Ext'!BO301),2)</f>
        <v>839053.47</v>
      </c>
      <c r="M14" s="75"/>
      <c r="P14" s="47">
        <f>-SUM(K14:M14)</f>
        <v>-1426588.3399999999</v>
      </c>
    </row>
    <row r="15" spans="1:36" x14ac:dyDescent="0.35">
      <c r="A15" s="46" t="s">
        <v>105</v>
      </c>
      <c r="C15" s="373">
        <v>-297925</v>
      </c>
      <c r="D15" s="248"/>
      <c r="E15" s="106">
        <f>ROUND('[6]Pivot - SI Project'!$O$34,2)</f>
        <v>130594.88</v>
      </c>
      <c r="F15" s="106">
        <f>ROUND('[7]Pivot - SI Project'!$O$34,2)</f>
        <v>154393.46</v>
      </c>
      <c r="G15" s="107">
        <f>ROUND('[8]Pivot - SI Project'!$O$34,2)</f>
        <v>481731.2</v>
      </c>
      <c r="H15" s="16">
        <f>ROUND('[9]Pivot - SI Project'!$O$34,2)</f>
        <v>194758.25</v>
      </c>
      <c r="I15" s="55">
        <f>ROUND('[10]Pivot - SI Project'!$O$34,2)</f>
        <v>136477.03</v>
      </c>
      <c r="J15" s="154">
        <f>ROUND('[11]Pivot - SI Project'!$O$34,2)</f>
        <v>91986.09</v>
      </c>
      <c r="K15" s="162">
        <f>ROUND(SUM('[2]Monthly Program Costs Ext'!BN302),2)</f>
        <v>261676.08</v>
      </c>
      <c r="L15" s="162">
        <f>ROUND(SUM('[2]Monthly Program Costs Ext'!BO302),2)</f>
        <v>651396.07999999996</v>
      </c>
      <c r="M15" s="75"/>
      <c r="P15" s="47">
        <f t="shared" ref="P15:P17" si="2">-SUM(K15:M15)</f>
        <v>-913072.15999999992</v>
      </c>
    </row>
    <row r="16" spans="1:36" x14ac:dyDescent="0.35">
      <c r="A16" s="46" t="s">
        <v>106</v>
      </c>
      <c r="C16" s="373">
        <v>-355398.71</v>
      </c>
      <c r="D16" s="248"/>
      <c r="E16" s="106">
        <f>ROUND('[6]Pivot - SI Project'!$Q$34,2)</f>
        <v>171743</v>
      </c>
      <c r="F16" s="106">
        <f>ROUND('[7]Pivot - SI Project'!$Q$34,2)</f>
        <v>-28242.06</v>
      </c>
      <c r="G16" s="107">
        <f>ROUND('[8]Pivot - SI Project'!$Q$34,2)</f>
        <v>403668.95</v>
      </c>
      <c r="H16" s="16">
        <f>ROUND('[9]Pivot - SI Project'!$Q$34,2)</f>
        <v>37544.79</v>
      </c>
      <c r="I16" s="55">
        <f>ROUND('[10]Pivot - SI Project'!$Q$34,2)</f>
        <v>115513.21</v>
      </c>
      <c r="J16" s="154">
        <f>ROUND('[11]Pivot - SI Project'!$Q$34,2)</f>
        <v>92413.65</v>
      </c>
      <c r="K16" s="162">
        <f>ROUND(SUM('[2]Monthly Program Costs Ext'!BN304),2)</f>
        <v>251152.5</v>
      </c>
      <c r="L16" s="162">
        <f>ROUND(SUM('[2]Monthly Program Costs Ext'!BO304),2)</f>
        <v>625199.47</v>
      </c>
      <c r="M16" s="75"/>
      <c r="P16" s="47">
        <f t="shared" si="2"/>
        <v>-876351.97</v>
      </c>
    </row>
    <row r="17" spans="1:24" x14ac:dyDescent="0.35">
      <c r="A17" s="46" t="s">
        <v>107</v>
      </c>
      <c r="C17" s="373">
        <v>-390630.26</v>
      </c>
      <c r="D17" s="248"/>
      <c r="E17" s="106">
        <f>ROUND('[6]Pivot - SI Project'!$R$34,2)</f>
        <v>135615.12</v>
      </c>
      <c r="F17" s="106">
        <f>ROUND('[7]Pivot - SI Project'!$R$34,2)</f>
        <v>30700.54</v>
      </c>
      <c r="G17" s="107">
        <f>ROUND('[8]Pivot - SI Project'!$R$34,2)</f>
        <v>350776.4</v>
      </c>
      <c r="H17" s="16">
        <f>ROUND('[9]Pivot - SI Project'!$R$34,2)</f>
        <v>20469.810000000001</v>
      </c>
      <c r="I17" s="55">
        <f>ROUND('[10]Pivot - SI Project'!$R$34,2)</f>
        <v>72388.39</v>
      </c>
      <c r="J17" s="154">
        <f>ROUND('[11]Pivot - SI Project'!$R$34,2)</f>
        <v>196862.99</v>
      </c>
      <c r="K17" s="162">
        <f>ROUND(SUM('[2]Monthly Program Costs Ext'!BN305),2)</f>
        <v>184814.26</v>
      </c>
      <c r="L17" s="162">
        <f>ROUND(SUM('[2]Monthly Program Costs Ext'!BO305),2)</f>
        <v>460062.24</v>
      </c>
      <c r="M17" s="75"/>
      <c r="P17" s="47">
        <f t="shared" si="2"/>
        <v>-644876.5</v>
      </c>
    </row>
    <row r="18" spans="1:24" x14ac:dyDescent="0.35">
      <c r="C18" s="299"/>
      <c r="D18" s="141"/>
      <c r="E18" s="31"/>
      <c r="F18" s="31"/>
      <c r="G18" s="31"/>
      <c r="H18" s="28"/>
      <c r="I18" s="31"/>
      <c r="J18" s="11"/>
      <c r="K18" s="17"/>
      <c r="L18" s="17"/>
      <c r="M18" s="11"/>
      <c r="P18" s="47"/>
    </row>
    <row r="19" spans="1:24" x14ac:dyDescent="0.35">
      <c r="A19" s="39" t="s">
        <v>46</v>
      </c>
      <c r="B19" s="39"/>
      <c r="C19" s="300"/>
      <c r="D19" s="249"/>
      <c r="E19" s="31"/>
      <c r="F19" s="31"/>
      <c r="G19" s="31"/>
      <c r="H19" s="97"/>
      <c r="I19" s="247"/>
      <c r="J19" s="318"/>
      <c r="K19" s="17"/>
      <c r="L19" s="17"/>
      <c r="M19" s="11"/>
      <c r="P19" s="47"/>
    </row>
    <row r="20" spans="1:24" x14ac:dyDescent="0.35">
      <c r="A20" s="46" t="s">
        <v>24</v>
      </c>
      <c r="C20" s="374">
        <v>-864306803</v>
      </c>
      <c r="D20" s="250"/>
      <c r="E20" s="108">
        <f>'[5]May 2024'!$G127</f>
        <v>211477562.01692507</v>
      </c>
      <c r="F20" s="108">
        <f>'[5]June 2024'!$G127</f>
        <v>288232653.1303001</v>
      </c>
      <c r="G20" s="108">
        <f>'[5]July 2024'!$G162</f>
        <v>383211763.58247501</v>
      </c>
      <c r="H20" s="171">
        <f>'[5]August 2024'!$G162</f>
        <v>371910329.86815</v>
      </c>
      <c r="I20" s="173">
        <f>'[5]September 2024'!$G162</f>
        <v>335752179.32269996</v>
      </c>
      <c r="J20" s="167">
        <f>'[5]October 2024'!$G162</f>
        <v>264320965.15840003</v>
      </c>
      <c r="K20" s="163">
        <f>'[1]GMO Billed kWh Sales'!X27</f>
        <v>241638800</v>
      </c>
      <c r="L20" s="131">
        <f>'[1]GMO Billed kWh Sales'!Y27</f>
        <v>323339074</v>
      </c>
      <c r="M20" s="76">
        <f>'[1]GMO Billed kWh Sales'!Z27</f>
        <v>402093896</v>
      </c>
      <c r="P20" s="47">
        <f>-SUM(K20:M20)</f>
        <v>-967071770</v>
      </c>
      <c r="X20" s="341"/>
    </row>
    <row r="21" spans="1:24" x14ac:dyDescent="0.35">
      <c r="A21" s="46" t="s">
        <v>105</v>
      </c>
      <c r="C21" s="374">
        <v>-339768465</v>
      </c>
      <c r="D21" s="250"/>
      <c r="E21" s="108">
        <f>'[5]May 2024'!$G128</f>
        <v>99150773.365199938</v>
      </c>
      <c r="F21" s="108">
        <f>'[5]June 2024'!$G128</f>
        <v>113045394.94219996</v>
      </c>
      <c r="G21" s="108">
        <f>'[5]July 2024'!$G163</f>
        <v>135913276.50970003</v>
      </c>
      <c r="H21" s="171">
        <f>'[5]August 2024'!$G163</f>
        <v>127995629.06739999</v>
      </c>
      <c r="I21" s="173">
        <f>'[5]September 2024'!$G163</f>
        <v>127882782.21389998</v>
      </c>
      <c r="J21" s="167">
        <f>'[5]October 2024'!$G163</f>
        <v>116660964.78370003</v>
      </c>
      <c r="K21" s="163">
        <f>'[1]GMO Billed kWh Sales'!X28</f>
        <v>106139286</v>
      </c>
      <c r="L21" s="131">
        <f>'[1]GMO Billed kWh Sales'!Y28</f>
        <v>110439427</v>
      </c>
      <c r="M21" s="76">
        <f>'[1]GMO Billed kWh Sales'!Z28</f>
        <v>108642292</v>
      </c>
      <c r="P21" s="47">
        <f t="shared" ref="P21:P23" si="3">-SUM(K21:M21)</f>
        <v>-325221005</v>
      </c>
    </row>
    <row r="22" spans="1:24" x14ac:dyDescent="0.35">
      <c r="A22" s="46" t="s">
        <v>106</v>
      </c>
      <c r="C22" s="374">
        <v>-292722150</v>
      </c>
      <c r="D22" s="250"/>
      <c r="E22" s="108">
        <f>'[5]May 2024'!$G129</f>
        <v>88731587.764900014</v>
      </c>
      <c r="F22" s="108">
        <f>'[5]June 2024'!$G129</f>
        <v>94166529.327799991</v>
      </c>
      <c r="G22" s="108">
        <f>'[5]July 2024'!$G164</f>
        <v>105348229.404</v>
      </c>
      <c r="H22" s="171">
        <f>'[5]August 2024'!$G164</f>
        <v>100412051.37710001</v>
      </c>
      <c r="I22" s="173">
        <f>'[5]September 2024'!$G164</f>
        <v>104282563.54089998</v>
      </c>
      <c r="J22" s="167">
        <f>'[5]October 2024'!$G164</f>
        <v>95864081.57069999</v>
      </c>
      <c r="K22" s="163">
        <f>'[1]GMO Billed kWh Sales'!X29</f>
        <v>90034767</v>
      </c>
      <c r="L22" s="131">
        <f>'[1]GMO Billed kWh Sales'!Y29</f>
        <v>93682448</v>
      </c>
      <c r="M22" s="76">
        <f>'[1]GMO Billed kWh Sales'!Z29</f>
        <v>92157992</v>
      </c>
      <c r="P22" s="47">
        <f t="shared" si="3"/>
        <v>-275875207</v>
      </c>
    </row>
    <row r="23" spans="1:24" x14ac:dyDescent="0.35">
      <c r="A23" s="46" t="s">
        <v>107</v>
      </c>
      <c r="C23" s="374">
        <v>-197376147</v>
      </c>
      <c r="D23" s="250"/>
      <c r="E23" s="108">
        <f>'[5]May 2024'!$G130</f>
        <v>64571647.037599988</v>
      </c>
      <c r="F23" s="108">
        <f>'[5]June 2024'!$G130</f>
        <v>61253333.957100011</v>
      </c>
      <c r="G23" s="108">
        <f>'[5]July 2024'!$G165</f>
        <v>75151776.621100008</v>
      </c>
      <c r="H23" s="171">
        <f>'[5]August 2024'!$G165</f>
        <v>70225098.40170002</v>
      </c>
      <c r="I23" s="173">
        <f>'[5]September 2024'!$G165</f>
        <v>77092321.546499982</v>
      </c>
      <c r="J23" s="167">
        <f>'[5]October 2024'!$G165</f>
        <v>70310064.048600003</v>
      </c>
      <c r="K23" s="163">
        <f>'[1]GMO Billed kWh Sales'!X30</f>
        <v>59489434</v>
      </c>
      <c r="L23" s="131">
        <f>'[1]GMO Billed kWh Sales'!Y30</f>
        <v>61899598</v>
      </c>
      <c r="M23" s="76">
        <f>'[1]GMO Billed kWh Sales'!Z30</f>
        <v>60892331</v>
      </c>
      <c r="P23" s="47">
        <f t="shared" si="3"/>
        <v>-182281363</v>
      </c>
    </row>
    <row r="24" spans="1:24" x14ac:dyDescent="0.35">
      <c r="C24" s="299"/>
      <c r="D24" s="141"/>
      <c r="E24" s="31"/>
      <c r="F24" s="31"/>
      <c r="G24" s="31"/>
      <c r="H24" s="28"/>
      <c r="I24" s="31"/>
      <c r="J24" s="11"/>
      <c r="K24" s="17"/>
      <c r="L24" s="17"/>
      <c r="M24" s="11"/>
      <c r="P24" s="47"/>
    </row>
    <row r="25" spans="1:24" x14ac:dyDescent="0.35">
      <c r="A25" s="46" t="s">
        <v>33</v>
      </c>
      <c r="C25" s="299"/>
      <c r="D25" s="141"/>
      <c r="E25" s="18"/>
      <c r="F25" s="18"/>
      <c r="G25" s="18"/>
      <c r="H25" s="90"/>
      <c r="I25" s="18"/>
      <c r="J25" s="11"/>
      <c r="K25" s="57"/>
      <c r="L25" s="57"/>
      <c r="M25" s="58"/>
      <c r="N25" s="63" t="s">
        <v>49</v>
      </c>
      <c r="O25" s="39"/>
      <c r="P25" s="47"/>
    </row>
    <row r="26" spans="1:24" x14ac:dyDescent="0.35">
      <c r="A26" s="46" t="s">
        <v>24</v>
      </c>
      <c r="C26" s="373">
        <v>-2117551.6799999997</v>
      </c>
      <c r="D26" s="248"/>
      <c r="E26" s="106">
        <f>ROUND('[5]May 2024'!$G76+'[5]May 2024'!$G83,2)</f>
        <v>518101.19</v>
      </c>
      <c r="F26" s="106">
        <f>ROUND('[5]June 2024'!$G76+'[5]June 2024'!$G83,2)</f>
        <v>706175.92</v>
      </c>
      <c r="G26" s="106">
        <f>ROUND('[5]July 2024'!$G76+'[5]July 2024'!$G83,2)</f>
        <v>938698.02</v>
      </c>
      <c r="H26" s="171">
        <f>ROUND('[5]August 2024'!$G76+'[5]August 2024'!$G83,2)</f>
        <v>390565.02</v>
      </c>
      <c r="I26" s="173">
        <f>ROUND('[5]September 2024'!$G76+'[5]September 2024'!$G83,2)</f>
        <v>352563.93</v>
      </c>
      <c r="J26" s="167">
        <f>ROUND('[5]October 2024'!$G76+'[5]October 2024'!$G83,2)</f>
        <v>277525.11</v>
      </c>
      <c r="K26" s="116">
        <f>ROUND(K20*$N26,2)</f>
        <v>253720.74</v>
      </c>
      <c r="L26" s="41">
        <f t="shared" ref="K26:M29" si="4">ROUND(L20*$N26,2)</f>
        <v>339506.03</v>
      </c>
      <c r="M26" s="61">
        <f t="shared" si="4"/>
        <v>422198.59</v>
      </c>
      <c r="N26" s="72">
        <v>1.0499999999999999E-3</v>
      </c>
      <c r="P26" s="47">
        <f>-SUM(K26:M26)</f>
        <v>-1015425.3600000001</v>
      </c>
    </row>
    <row r="27" spans="1:24" x14ac:dyDescent="0.35">
      <c r="A27" s="46" t="s">
        <v>105</v>
      </c>
      <c r="C27" s="373">
        <v>-584401.76</v>
      </c>
      <c r="D27" s="248"/>
      <c r="E27" s="106">
        <f>ROUND('[5]May 2024'!$G77+'[5]May 2024'!$G84,2)</f>
        <v>170941.92</v>
      </c>
      <c r="F27" s="106">
        <f>ROUND('[5]June 2024'!$G77+'[5]June 2024'!$G84,2)</f>
        <v>194438.33</v>
      </c>
      <c r="G27" s="106">
        <f>ROUND('[5]July 2024'!$G77+'[5]July 2024'!$G84,2)</f>
        <v>231694.12</v>
      </c>
      <c r="H27" s="171">
        <f>ROUND('[5]August 2024'!$G77+'[5]August 2024'!$G84,2)</f>
        <v>100263.56</v>
      </c>
      <c r="I27" s="173">
        <f>ROUND('[5]September 2024'!$G77+'[5]September 2024'!$G84,2)</f>
        <v>99774.95</v>
      </c>
      <c r="J27" s="167">
        <f>ROUND('[5]October 2024'!$G77+'[5]October 2024'!$G84,2)</f>
        <v>96911.93</v>
      </c>
      <c r="K27" s="116">
        <f t="shared" si="4"/>
        <v>82788.639999999999</v>
      </c>
      <c r="L27" s="41">
        <f t="shared" si="4"/>
        <v>86142.75</v>
      </c>
      <c r="M27" s="61">
        <f t="shared" si="4"/>
        <v>84740.99</v>
      </c>
      <c r="N27" s="72">
        <v>7.7999999999999999E-4</v>
      </c>
      <c r="P27" s="47">
        <f t="shared" ref="P27:P31" si="5">-SUM(K27:M27)</f>
        <v>-253672.38</v>
      </c>
    </row>
    <row r="28" spans="1:24" x14ac:dyDescent="0.35">
      <c r="A28" s="46" t="s">
        <v>106</v>
      </c>
      <c r="C28" s="373">
        <v>-1018673.08</v>
      </c>
      <c r="D28" s="248"/>
      <c r="E28" s="106">
        <f>ROUND('[5]May 2024'!$G78+'[5]May 2024'!$G85,2)</f>
        <v>309063.43</v>
      </c>
      <c r="F28" s="106">
        <f>ROUND('[5]June 2024'!$G78+'[5]June 2024'!$G85,2)</f>
        <v>327699.52</v>
      </c>
      <c r="G28" s="106">
        <f>ROUND('[5]July 2024'!$G78+'[5]July 2024'!$G85,2)</f>
        <v>362427.33</v>
      </c>
      <c r="H28" s="171">
        <f>ROUND('[5]August 2024'!$G78+'[5]August 2024'!$G85,2)</f>
        <v>33021.56</v>
      </c>
      <c r="I28" s="173">
        <f>ROUND('[5]September 2024'!$G78+'[5]September 2024'!$G85,2)</f>
        <v>36498.89</v>
      </c>
      <c r="J28" s="167">
        <f>ROUND('[5]October 2024'!$G78+'[5]October 2024'!$G85,2)</f>
        <v>39112.129999999997</v>
      </c>
      <c r="K28" s="116">
        <f t="shared" si="4"/>
        <v>31512.17</v>
      </c>
      <c r="L28" s="41">
        <f t="shared" si="4"/>
        <v>32788.86</v>
      </c>
      <c r="M28" s="61">
        <f t="shared" si="4"/>
        <v>32255.3</v>
      </c>
      <c r="N28" s="72">
        <v>3.4999999999999994E-4</v>
      </c>
      <c r="P28" s="47">
        <f t="shared" si="5"/>
        <v>-96556.33</v>
      </c>
    </row>
    <row r="29" spans="1:24" x14ac:dyDescent="0.35">
      <c r="A29" s="46" t="s">
        <v>107</v>
      </c>
      <c r="C29" s="373">
        <v>-343434.5</v>
      </c>
      <c r="D29" s="248"/>
      <c r="E29" s="106">
        <f>ROUND('[5]May 2024'!$G79+'[5]May 2024'!$G86,2)</f>
        <v>112354.66</v>
      </c>
      <c r="F29" s="106">
        <f>ROUND('[5]June 2024'!$G79+'[5]June 2024'!$G86,2)</f>
        <v>106580.8</v>
      </c>
      <c r="G29" s="106">
        <f>ROUND('[5]July 2024'!$G79+'[5]July 2024'!$G86,2)</f>
        <v>124184.63</v>
      </c>
      <c r="H29" s="171">
        <f>ROUND('[5]August 2024'!$G79+'[5]August 2024'!$G86,2)</f>
        <v>-7973.45</v>
      </c>
      <c r="I29" s="173">
        <f>ROUND('[5]September 2024'!$G79+'[5]September 2024'!$G86,2)</f>
        <v>-23127.69</v>
      </c>
      <c r="J29" s="167">
        <f>ROUND('[5]October 2024'!$G79+'[5]October 2024'!$G86,2)</f>
        <v>-19067</v>
      </c>
      <c r="K29" s="116">
        <f t="shared" si="4"/>
        <v>-17846.830000000002</v>
      </c>
      <c r="L29" s="41">
        <f t="shared" si="4"/>
        <v>-18569.88</v>
      </c>
      <c r="M29" s="61">
        <f t="shared" si="4"/>
        <v>-18267.7</v>
      </c>
      <c r="N29" s="72">
        <v>-2.9999999999999992E-4</v>
      </c>
      <c r="P29" s="47">
        <f t="shared" si="5"/>
        <v>54684.41</v>
      </c>
    </row>
    <row r="30" spans="1:24" x14ac:dyDescent="0.35">
      <c r="C30" s="301"/>
      <c r="D30" s="68"/>
      <c r="E30" s="18"/>
      <c r="F30" s="18"/>
      <c r="G30" s="18"/>
      <c r="H30" s="90"/>
      <c r="I30" s="18"/>
      <c r="J30" s="11"/>
      <c r="K30" s="56"/>
      <c r="L30" s="56"/>
      <c r="M30" s="13"/>
      <c r="N30" s="4"/>
      <c r="P30" s="47"/>
    </row>
    <row r="31" spans="1:24" ht="15" thickBot="1" x14ac:dyDescent="0.4">
      <c r="A31" s="46" t="s">
        <v>14</v>
      </c>
      <c r="C31" s="375">
        <v>843.42000000000007</v>
      </c>
      <c r="D31" s="251">
        <v>0</v>
      </c>
      <c r="E31" s="109">
        <f>-781.23-0.01</f>
        <v>-781.24</v>
      </c>
      <c r="F31" s="109">
        <v>-2251.7199999999989</v>
      </c>
      <c r="G31" s="110">
        <v>-839.32000000000062</v>
      </c>
      <c r="H31" s="26">
        <f>3306.76-0.01</f>
        <v>3306.75</v>
      </c>
      <c r="I31" s="115">
        <v>5279.7300000000014</v>
      </c>
      <c r="J31" s="166">
        <f>7343.8+0.01</f>
        <v>7343.81</v>
      </c>
      <c r="K31" s="164">
        <f>ROUND((SUM(J40:J43)+SUM(J47:J50)+SUM(K34:K37)/2)*K$45,2)</f>
        <v>11190.25</v>
      </c>
      <c r="L31" s="132">
        <f>ROUND((SUM(K40:K43)+SUM(K47:K50)+SUM(L34:L37)/2)*L$45,2)</f>
        <v>18917.37</v>
      </c>
      <c r="M31" s="80"/>
      <c r="P31" s="47">
        <f t="shared" si="5"/>
        <v>-30107.62</v>
      </c>
    </row>
    <row r="32" spans="1:24" x14ac:dyDescent="0.35">
      <c r="C32" s="98"/>
      <c r="D32" s="141"/>
      <c r="E32" s="31"/>
      <c r="F32" s="31"/>
      <c r="G32" s="31"/>
      <c r="H32" s="28"/>
      <c r="I32" s="31"/>
      <c r="J32" s="11"/>
      <c r="K32" s="17"/>
      <c r="L32" s="17"/>
      <c r="M32" s="11"/>
      <c r="P32" s="47"/>
    </row>
    <row r="33" spans="1:16" x14ac:dyDescent="0.35">
      <c r="A33" s="46" t="s">
        <v>51</v>
      </c>
      <c r="C33" s="98"/>
      <c r="D33" s="141"/>
      <c r="E33" s="31"/>
      <c r="F33" s="31"/>
      <c r="G33" s="31"/>
      <c r="H33" s="28"/>
      <c r="I33" s="31"/>
      <c r="J33" s="11"/>
      <c r="K33" s="17"/>
      <c r="L33" s="17"/>
      <c r="M33" s="11"/>
      <c r="P33" s="47"/>
    </row>
    <row r="34" spans="1:16" x14ac:dyDescent="0.35">
      <c r="A34" s="46" t="s">
        <v>24</v>
      </c>
      <c r="C34" s="40">
        <f t="shared" ref="C34:M34" si="6">C14-C26</f>
        <v>841828.65999999968</v>
      </c>
      <c r="D34" s="116">
        <f t="shared" ref="D34" si="7">D14-D26</f>
        <v>0</v>
      </c>
      <c r="E34" s="41">
        <f>E14-E26</f>
        <v>112715.52999999997</v>
      </c>
      <c r="F34" s="41">
        <f t="shared" si="6"/>
        <v>-22311.660000000033</v>
      </c>
      <c r="G34" s="105">
        <f t="shared" si="6"/>
        <v>497648.51</v>
      </c>
      <c r="H34" s="40">
        <f t="shared" si="6"/>
        <v>381229.18999999994</v>
      </c>
      <c r="I34" s="41">
        <f t="shared" si="6"/>
        <v>92901.330000000016</v>
      </c>
      <c r="J34" s="61">
        <f t="shared" si="6"/>
        <v>325767.65000000002</v>
      </c>
      <c r="K34" s="116">
        <f t="shared" si="6"/>
        <v>333814.13</v>
      </c>
      <c r="L34" s="41">
        <f t="shared" si="6"/>
        <v>499547.43999999994</v>
      </c>
      <c r="M34" s="49">
        <f t="shared" si="6"/>
        <v>-422198.59</v>
      </c>
      <c r="P34" s="47"/>
    </row>
    <row r="35" spans="1:16" x14ac:dyDescent="0.35">
      <c r="A35" s="46" t="s">
        <v>105</v>
      </c>
      <c r="C35" s="40">
        <f t="shared" ref="C35:M35" si="8">C15-C27</f>
        <v>286476.76</v>
      </c>
      <c r="D35" s="116">
        <f t="shared" ref="D35" si="9">D15-D27</f>
        <v>0</v>
      </c>
      <c r="E35" s="41">
        <f t="shared" si="8"/>
        <v>-40347.040000000008</v>
      </c>
      <c r="F35" s="41">
        <f t="shared" si="8"/>
        <v>-40044.869999999995</v>
      </c>
      <c r="G35" s="105">
        <f t="shared" si="8"/>
        <v>250037.08000000002</v>
      </c>
      <c r="H35" s="40">
        <f t="shared" si="8"/>
        <v>94494.69</v>
      </c>
      <c r="I35" s="41">
        <f t="shared" si="8"/>
        <v>36702.080000000002</v>
      </c>
      <c r="J35" s="61">
        <f t="shared" si="8"/>
        <v>-4925.8399999999965</v>
      </c>
      <c r="K35" s="116">
        <f t="shared" si="8"/>
        <v>178887.44</v>
      </c>
      <c r="L35" s="41">
        <f t="shared" si="8"/>
        <v>565253.32999999996</v>
      </c>
      <c r="M35" s="49">
        <f t="shared" si="8"/>
        <v>-84740.99</v>
      </c>
      <c r="P35" s="47"/>
    </row>
    <row r="36" spans="1:16" x14ac:dyDescent="0.35">
      <c r="A36" s="46" t="s">
        <v>106</v>
      </c>
      <c r="C36" s="40">
        <f t="shared" ref="C36:M36" si="10">C16-C28</f>
        <v>663274.36999999988</v>
      </c>
      <c r="D36" s="116">
        <f t="shared" ref="D36" si="11">D16-D28</f>
        <v>0</v>
      </c>
      <c r="E36" s="41">
        <f t="shared" si="10"/>
        <v>-137320.43</v>
      </c>
      <c r="F36" s="41">
        <f t="shared" si="10"/>
        <v>-355941.58</v>
      </c>
      <c r="G36" s="105">
        <f t="shared" si="10"/>
        <v>41241.619999999995</v>
      </c>
      <c r="H36" s="40">
        <f t="shared" si="10"/>
        <v>4523.2300000000032</v>
      </c>
      <c r="I36" s="41">
        <f t="shared" si="10"/>
        <v>79014.320000000007</v>
      </c>
      <c r="J36" s="61">
        <f t="shared" si="10"/>
        <v>53301.52</v>
      </c>
      <c r="K36" s="116">
        <f t="shared" si="10"/>
        <v>219640.33000000002</v>
      </c>
      <c r="L36" s="41">
        <f t="shared" si="10"/>
        <v>592410.61</v>
      </c>
      <c r="M36" s="49">
        <f t="shared" si="10"/>
        <v>-32255.3</v>
      </c>
      <c r="P36" s="47"/>
    </row>
    <row r="37" spans="1:16" x14ac:dyDescent="0.35">
      <c r="A37" s="46" t="s">
        <v>107</v>
      </c>
      <c r="C37" s="40">
        <f t="shared" ref="C37:M37" si="12">C17-C29</f>
        <v>-47195.760000000009</v>
      </c>
      <c r="D37" s="116">
        <f t="shared" ref="D37" si="13">D17-D29</f>
        <v>0</v>
      </c>
      <c r="E37" s="41">
        <f t="shared" si="12"/>
        <v>23260.459999999992</v>
      </c>
      <c r="F37" s="41">
        <f t="shared" si="12"/>
        <v>-75880.260000000009</v>
      </c>
      <c r="G37" s="105">
        <f t="shared" si="12"/>
        <v>226591.77000000002</v>
      </c>
      <c r="H37" s="40">
        <f t="shared" si="12"/>
        <v>28443.260000000002</v>
      </c>
      <c r="I37" s="41">
        <f t="shared" si="12"/>
        <v>95516.08</v>
      </c>
      <c r="J37" s="61">
        <f t="shared" si="12"/>
        <v>215929.99</v>
      </c>
      <c r="K37" s="116">
        <f t="shared" si="12"/>
        <v>202661.09000000003</v>
      </c>
      <c r="L37" s="41">
        <f t="shared" si="12"/>
        <v>478632.12</v>
      </c>
      <c r="M37" s="49">
        <f t="shared" si="12"/>
        <v>18267.7</v>
      </c>
      <c r="P37" s="47"/>
    </row>
    <row r="38" spans="1:16" x14ac:dyDescent="0.35">
      <c r="C38" s="98"/>
      <c r="D38" s="141"/>
      <c r="E38" s="31"/>
      <c r="F38" s="31"/>
      <c r="G38" s="31"/>
      <c r="H38" s="28"/>
      <c r="I38" s="31"/>
      <c r="J38" s="11"/>
      <c r="K38" s="17"/>
      <c r="L38" s="17"/>
      <c r="M38" s="11"/>
      <c r="P38" s="47"/>
    </row>
    <row r="39" spans="1:16" ht="15" thickBot="1" x14ac:dyDescent="0.4">
      <c r="A39" s="46" t="s">
        <v>52</v>
      </c>
      <c r="C39" s="101"/>
      <c r="D39" s="252"/>
      <c r="E39" s="31"/>
      <c r="F39" s="31"/>
      <c r="G39" s="31"/>
      <c r="H39" s="28"/>
      <c r="I39" s="31"/>
      <c r="J39" s="11"/>
      <c r="K39" s="17"/>
      <c r="L39" s="17"/>
      <c r="M39" s="11"/>
      <c r="P39" s="47"/>
    </row>
    <row r="40" spans="1:16" x14ac:dyDescent="0.35">
      <c r="A40" s="46" t="s">
        <v>24</v>
      </c>
      <c r="B40" s="302">
        <v>-270122.42</v>
      </c>
      <c r="C40" s="41">
        <f t="shared" ref="C40:M40" si="14">B40+C34+B47</f>
        <v>571706.23999999976</v>
      </c>
      <c r="D40" s="41">
        <f t="shared" ref="D40:D43" si="15">C40+D34+C47</f>
        <v>564856.11999999976</v>
      </c>
      <c r="E40" s="41">
        <f t="shared" ref="E40:E43" si="16">D40+E34+D47</f>
        <v>677571.64999999967</v>
      </c>
      <c r="F40" s="41">
        <f t="shared" si="14"/>
        <v>658649.62999999966</v>
      </c>
      <c r="G40" s="105">
        <f t="shared" si="14"/>
        <v>1159959.8099999996</v>
      </c>
      <c r="H40" s="40">
        <f t="shared" si="14"/>
        <v>1546171.8499999996</v>
      </c>
      <c r="I40" s="41">
        <f t="shared" si="14"/>
        <v>1646448.2199999997</v>
      </c>
      <c r="J40" s="61">
        <f t="shared" si="14"/>
        <v>1980518.0499999996</v>
      </c>
      <c r="K40" s="116">
        <f t="shared" si="14"/>
        <v>2323413.3499999996</v>
      </c>
      <c r="L40" s="41">
        <f t="shared" si="14"/>
        <v>2833735.0199999996</v>
      </c>
      <c r="M40" s="49">
        <f t="shared" si="14"/>
        <v>2424446.2899999996</v>
      </c>
      <c r="P40" s="47"/>
    </row>
    <row r="41" spans="1:16" x14ac:dyDescent="0.35">
      <c r="A41" s="46" t="s">
        <v>105</v>
      </c>
      <c r="B41" s="307">
        <v>136643.97999999989</v>
      </c>
      <c r="C41" s="41">
        <f>B41+C35+B48</f>
        <v>423120.73999999987</v>
      </c>
      <c r="D41" s="41">
        <f t="shared" si="15"/>
        <v>418726.91999999987</v>
      </c>
      <c r="E41" s="41">
        <f t="shared" si="16"/>
        <v>378379.87999999989</v>
      </c>
      <c r="F41" s="41">
        <f t="shared" ref="F41:M41" si="17">E41+F35+E48</f>
        <v>340509.7099999999</v>
      </c>
      <c r="G41" s="105">
        <f t="shared" si="17"/>
        <v>592517.73999999987</v>
      </c>
      <c r="H41" s="40">
        <f t="shared" si="17"/>
        <v>689569.1</v>
      </c>
      <c r="I41" s="41">
        <f t="shared" si="17"/>
        <v>729765.79999999993</v>
      </c>
      <c r="J41" s="61">
        <f t="shared" si="17"/>
        <v>728531.39999999991</v>
      </c>
      <c r="K41" s="116">
        <f t="shared" si="17"/>
        <v>911070.99999999988</v>
      </c>
      <c r="L41" s="41">
        <f t="shared" si="17"/>
        <v>1480429.2999999998</v>
      </c>
      <c r="M41" s="49">
        <f t="shared" si="17"/>
        <v>1401672.7099999997</v>
      </c>
      <c r="P41" s="47"/>
    </row>
    <row r="42" spans="1:16" x14ac:dyDescent="0.35">
      <c r="A42" s="46" t="s">
        <v>106</v>
      </c>
      <c r="B42" s="307">
        <v>-589874.7200000002</v>
      </c>
      <c r="C42" s="41">
        <f>B42+C36+B49</f>
        <v>73399.649999999674</v>
      </c>
      <c r="D42" s="41">
        <f t="shared" si="15"/>
        <v>73851.269999999669</v>
      </c>
      <c r="E42" s="41">
        <f t="shared" si="16"/>
        <v>-63469.160000000324</v>
      </c>
      <c r="F42" s="41">
        <f t="shared" ref="F42:M42" si="18">E42+F36+E49</f>
        <v>-419382.42000000033</v>
      </c>
      <c r="G42" s="105">
        <f t="shared" si="18"/>
        <v>-379460.54000000033</v>
      </c>
      <c r="H42" s="40">
        <f t="shared" si="18"/>
        <v>-377125.29000000033</v>
      </c>
      <c r="I42" s="41">
        <f t="shared" si="18"/>
        <v>-300175.06000000035</v>
      </c>
      <c r="J42" s="61">
        <f t="shared" si="18"/>
        <v>-248636.11000000036</v>
      </c>
      <c r="K42" s="116">
        <f t="shared" si="18"/>
        <v>-30371.150000000347</v>
      </c>
      <c r="L42" s="41">
        <f t="shared" si="18"/>
        <v>561339.03999999957</v>
      </c>
      <c r="M42" s="49">
        <f t="shared" si="18"/>
        <v>530408.38999999955</v>
      </c>
      <c r="P42" s="47"/>
    </row>
    <row r="43" spans="1:16" ht="15" thickBot="1" x14ac:dyDescent="0.4">
      <c r="A43" s="46" t="s">
        <v>107</v>
      </c>
      <c r="B43" s="303">
        <v>-1144204.7899999991</v>
      </c>
      <c r="C43" s="41">
        <f t="shared" ref="C43:M43" si="19">B43+C37+B50</f>
        <v>-1191400.5499999991</v>
      </c>
      <c r="D43" s="41">
        <f t="shared" si="15"/>
        <v>-1179764.8199999991</v>
      </c>
      <c r="E43" s="41">
        <f t="shared" si="16"/>
        <v>-1156504.3599999992</v>
      </c>
      <c r="F43" s="41">
        <f t="shared" si="19"/>
        <v>-1238758.5199999991</v>
      </c>
      <c r="G43" s="105">
        <f t="shared" si="19"/>
        <v>-1018731.349999999</v>
      </c>
      <c r="H43" s="40">
        <f t="shared" si="19"/>
        <v>-996478.94999999902</v>
      </c>
      <c r="I43" s="41">
        <f t="shared" si="19"/>
        <v>-906461.68999999901</v>
      </c>
      <c r="J43" s="61">
        <f t="shared" si="19"/>
        <v>-695483.01999999897</v>
      </c>
      <c r="K43" s="116">
        <f t="shared" si="19"/>
        <v>-496836.07999999897</v>
      </c>
      <c r="L43" s="41">
        <f t="shared" si="19"/>
        <v>-21192.489999998972</v>
      </c>
      <c r="M43" s="49">
        <f t="shared" si="19"/>
        <v>-4226.3299999989713</v>
      </c>
      <c r="P43" s="47"/>
    </row>
    <row r="44" spans="1:16" x14ac:dyDescent="0.35">
      <c r="C44" s="98"/>
      <c r="D44" s="141"/>
      <c r="E44" s="31"/>
      <c r="F44" s="31"/>
      <c r="G44" s="31"/>
      <c r="H44" s="28"/>
      <c r="I44" s="31"/>
      <c r="J44" s="11"/>
      <c r="K44" s="17"/>
      <c r="L44" s="17"/>
      <c r="M44" s="11"/>
      <c r="P44" s="47"/>
    </row>
    <row r="45" spans="1:16" x14ac:dyDescent="0.35">
      <c r="A45" s="39" t="s">
        <v>48</v>
      </c>
      <c r="B45" s="39"/>
      <c r="C45" s="101"/>
      <c r="D45" s="252"/>
      <c r="E45" s="322">
        <f>+'[12]MO West ST Rate May 2024'!$E$44</f>
        <v>5.4564799999999997E-3</v>
      </c>
      <c r="F45" s="322">
        <f>+'[12]MO West ST Rate June 2024'!$E$44</f>
        <v>5.4667700000000001E-3</v>
      </c>
      <c r="G45" s="322">
        <f>+'[12]MO West ST Rate July 2024'!$E$44</f>
        <v>5.46883E-3</v>
      </c>
      <c r="H45" s="323">
        <f>+'[12]MO West ST Rate Aug 2024'!$E$44</f>
        <v>5.4406000000000003E-3</v>
      </c>
      <c r="I45" s="322">
        <f>+'[12]MO West ST Rate Sep 2024'!$E$43</f>
        <v>5.1888699999999999E-3</v>
      </c>
      <c r="J45" s="324">
        <f>+'[12]MO West ST Rate Oct 2024'!$E$44</f>
        <v>4.9961500000000004E-3</v>
      </c>
      <c r="K45" s="82">
        <f>J45</f>
        <v>4.9961500000000004E-3</v>
      </c>
      <c r="L45" s="82">
        <f>J45</f>
        <v>4.9961500000000004E-3</v>
      </c>
      <c r="M45" s="91"/>
      <c r="P45" s="47"/>
    </row>
    <row r="46" spans="1:16" x14ac:dyDescent="0.35">
      <c r="A46" s="39" t="s">
        <v>36</v>
      </c>
      <c r="B46" s="39"/>
      <c r="C46" s="98"/>
      <c r="D46" s="141"/>
      <c r="E46" s="31"/>
      <c r="F46" s="31"/>
      <c r="G46" s="31"/>
      <c r="H46" s="28"/>
      <c r="I46" s="31"/>
      <c r="J46" s="11"/>
      <c r="K46" s="17"/>
      <c r="L46" s="17"/>
      <c r="M46" s="11"/>
      <c r="N46" s="71"/>
      <c r="P46" s="47"/>
    </row>
    <row r="47" spans="1:16" x14ac:dyDescent="0.35">
      <c r="A47" s="46" t="s">
        <v>24</v>
      </c>
      <c r="C47" s="315">
        <v>-6850.12</v>
      </c>
      <c r="D47" s="116"/>
      <c r="E47" s="41">
        <f>ROUND((C40+C47+D47+E34/2)*E$45,2)</f>
        <v>3389.64</v>
      </c>
      <c r="F47" s="41">
        <f t="shared" ref="F47:L50" si="20">ROUND((E40+E47+F34/2)*F$45,2)</f>
        <v>3661.67</v>
      </c>
      <c r="G47" s="105">
        <f t="shared" si="20"/>
        <v>4982.8500000000004</v>
      </c>
      <c r="H47" s="40">
        <f>ROUND((G40+G47+H34/2)*H$45,2)</f>
        <v>7375.04</v>
      </c>
      <c r="I47" s="116">
        <f t="shared" si="20"/>
        <v>8302.18</v>
      </c>
      <c r="J47" s="61">
        <f t="shared" si="20"/>
        <v>9081.17</v>
      </c>
      <c r="K47" s="116">
        <f t="shared" si="20"/>
        <v>10774.23</v>
      </c>
      <c r="L47" s="116">
        <f t="shared" si="20"/>
        <v>12909.86</v>
      </c>
      <c r="M47" s="49"/>
      <c r="P47" s="47">
        <f>-SUM(K47:M47)</f>
        <v>-23684.09</v>
      </c>
    </row>
    <row r="48" spans="1:16" x14ac:dyDescent="0.35">
      <c r="A48" s="46" t="s">
        <v>105</v>
      </c>
      <c r="C48" s="377">
        <v>-4393.82</v>
      </c>
      <c r="D48" s="253"/>
      <c r="E48" s="41">
        <f t="shared" ref="E48:E50" si="21">ROUND((C41+C48+D48+E35/2)*E$45,2)</f>
        <v>2174.6999999999998</v>
      </c>
      <c r="F48" s="41">
        <f t="shared" si="20"/>
        <v>1970.95</v>
      </c>
      <c r="G48" s="105">
        <f t="shared" si="20"/>
        <v>2556.67</v>
      </c>
      <c r="H48" s="40">
        <f>ROUND((G41+G48+H35/2)*H$45,2)</f>
        <v>3494.62</v>
      </c>
      <c r="I48" s="116">
        <f t="shared" si="20"/>
        <v>3691.44</v>
      </c>
      <c r="J48" s="61">
        <f t="shared" si="20"/>
        <v>3652.16</v>
      </c>
      <c r="K48" s="116">
        <f t="shared" si="20"/>
        <v>4104.97</v>
      </c>
      <c r="L48" s="116">
        <f t="shared" si="20"/>
        <v>5984.4</v>
      </c>
      <c r="M48" s="49"/>
      <c r="P48" s="47">
        <f t="shared" ref="P48:P50" si="22">-SUM(K48:M48)</f>
        <v>-10089.369999999999</v>
      </c>
    </row>
    <row r="49" spans="1:16" x14ac:dyDescent="0.35">
      <c r="A49" s="46" t="s">
        <v>106</v>
      </c>
      <c r="C49" s="377">
        <v>451.62</v>
      </c>
      <c r="D49" s="253"/>
      <c r="E49" s="41">
        <f t="shared" si="21"/>
        <v>28.32</v>
      </c>
      <c r="F49" s="41">
        <f t="shared" si="20"/>
        <v>-1319.74</v>
      </c>
      <c r="G49" s="105">
        <f t="shared" si="20"/>
        <v>-2187.98</v>
      </c>
      <c r="H49" s="40">
        <f>ROUND((G42+G49+H36/2)*H$45,2)</f>
        <v>-2064.09</v>
      </c>
      <c r="I49" s="116">
        <f t="shared" si="20"/>
        <v>-1762.57</v>
      </c>
      <c r="J49" s="61">
        <f t="shared" si="20"/>
        <v>-1375.37</v>
      </c>
      <c r="K49" s="116">
        <f t="shared" si="20"/>
        <v>-700.42</v>
      </c>
      <c r="L49" s="116">
        <f t="shared" si="20"/>
        <v>1324.65</v>
      </c>
      <c r="M49" s="49"/>
      <c r="P49" s="47">
        <f t="shared" si="22"/>
        <v>-624.23000000000013</v>
      </c>
    </row>
    <row r="50" spans="1:16" ht="15" thickBot="1" x14ac:dyDescent="0.4">
      <c r="A50" s="46" t="s">
        <v>107</v>
      </c>
      <c r="C50" s="376">
        <v>11635.73</v>
      </c>
      <c r="D50" s="253"/>
      <c r="E50" s="41">
        <f t="shared" si="21"/>
        <v>-6373.9</v>
      </c>
      <c r="F50" s="41">
        <f t="shared" si="20"/>
        <v>-6564.6</v>
      </c>
      <c r="G50" s="105">
        <f t="shared" si="20"/>
        <v>-6190.86</v>
      </c>
      <c r="H50" s="40">
        <f>ROUND((G43+G50+H37/2)*H$45,2)</f>
        <v>-5498.82</v>
      </c>
      <c r="I50" s="116">
        <f t="shared" si="20"/>
        <v>-4951.32</v>
      </c>
      <c r="J50" s="61">
        <f t="shared" si="20"/>
        <v>-4014.15</v>
      </c>
      <c r="K50" s="116">
        <f t="shared" si="20"/>
        <v>-2988.53</v>
      </c>
      <c r="L50" s="116">
        <f t="shared" si="20"/>
        <v>-1301.54</v>
      </c>
      <c r="M50" s="49"/>
      <c r="P50" s="47">
        <f t="shared" si="22"/>
        <v>4290.07</v>
      </c>
    </row>
    <row r="51" spans="1:16" ht="15.5" thickTop="1" thickBot="1" x14ac:dyDescent="0.4">
      <c r="A51" s="54" t="s">
        <v>22</v>
      </c>
      <c r="B51" s="54"/>
      <c r="C51" s="111">
        <v>0</v>
      </c>
      <c r="D51" s="254"/>
      <c r="E51" s="32">
        <f t="shared" ref="E51:M51" si="23">SUM(E47:E50)+SUM(E40:E43)-E54</f>
        <v>0</v>
      </c>
      <c r="F51" s="32">
        <f t="shared" si="23"/>
        <v>0</v>
      </c>
      <c r="G51" s="50">
        <f t="shared" si="23"/>
        <v>0</v>
      </c>
      <c r="H51" s="117">
        <f t="shared" si="23"/>
        <v>0</v>
      </c>
      <c r="I51" s="32">
        <f t="shared" si="23"/>
        <v>0</v>
      </c>
      <c r="J51" s="62">
        <f t="shared" si="23"/>
        <v>0</v>
      </c>
      <c r="K51" s="153">
        <f t="shared" si="23"/>
        <v>0</v>
      </c>
      <c r="L51" s="32">
        <f t="shared" si="23"/>
        <v>0</v>
      </c>
      <c r="M51" s="95">
        <f t="shared" si="23"/>
        <v>0</v>
      </c>
      <c r="P51" s="47"/>
    </row>
    <row r="52" spans="1:16" ht="15.5" thickTop="1" thickBot="1" x14ac:dyDescent="0.4">
      <c r="A52" s="54" t="s">
        <v>23</v>
      </c>
      <c r="B52" s="54"/>
      <c r="C52" s="104">
        <v>0</v>
      </c>
      <c r="D52" s="255"/>
      <c r="E52" s="32">
        <f>SUM(E47:E50)-E31</f>
        <v>0</v>
      </c>
      <c r="F52" s="32">
        <f t="shared" ref="F52:M52" si="24">SUM(F47:F50)-F31</f>
        <v>0</v>
      </c>
      <c r="G52" s="50">
        <f t="shared" si="24"/>
        <v>1.8189894035458565E-12</v>
      </c>
      <c r="H52" s="51">
        <f t="shared" si="24"/>
        <v>0</v>
      </c>
      <c r="I52" s="32">
        <f t="shared" si="24"/>
        <v>0</v>
      </c>
      <c r="J52" s="62">
        <f t="shared" si="24"/>
        <v>0</v>
      </c>
      <c r="K52" s="153">
        <f t="shared" si="24"/>
        <v>0</v>
      </c>
      <c r="L52" s="32">
        <f t="shared" si="24"/>
        <v>0</v>
      </c>
      <c r="M52" s="95">
        <f t="shared" si="24"/>
        <v>0</v>
      </c>
      <c r="P52" s="47"/>
    </row>
    <row r="53" spans="1:16" ht="15.5" thickTop="1" thickBot="1" x14ac:dyDescent="0.4">
      <c r="C53" s="98"/>
      <c r="D53" s="141"/>
      <c r="E53" s="17"/>
      <c r="F53" s="17"/>
      <c r="G53" s="17"/>
      <c r="H53" s="10"/>
      <c r="I53" s="17"/>
      <c r="J53" s="11"/>
      <c r="K53" s="17"/>
      <c r="L53" s="17"/>
      <c r="M53" s="11"/>
      <c r="P53" s="47"/>
    </row>
    <row r="54" spans="1:16" ht="15" thickBot="1" x14ac:dyDescent="0.4">
      <c r="A54" s="46" t="s">
        <v>35</v>
      </c>
      <c r="B54" s="113">
        <f>SUM(B40:B43)</f>
        <v>-1867557.9499999993</v>
      </c>
      <c r="C54" s="40">
        <f>(SUM(C14:C17)-SUM(C26:C29))+SUM(C47:C50)+B54</f>
        <v>-122330.51000000001</v>
      </c>
      <c r="D54" s="116"/>
      <c r="E54" s="41">
        <f>(SUM(E14:E17)-SUM(E26:E29))+SUM(E47:E50)+C54</f>
        <v>-164803.22999999998</v>
      </c>
      <c r="F54" s="41">
        <f t="shared" ref="F54:M54" si="25">(SUM(F14:F17)-SUM(F26:F29))+SUM(F47:F50)+E54</f>
        <v>-661233.32000000007</v>
      </c>
      <c r="G54" s="105">
        <f t="shared" si="25"/>
        <v>353446.33999999997</v>
      </c>
      <c r="H54" s="40">
        <f t="shared" si="25"/>
        <v>865443.46</v>
      </c>
      <c r="I54" s="41">
        <f t="shared" si="25"/>
        <v>1174857</v>
      </c>
      <c r="J54" s="61">
        <f>(SUM(J14:J17)-SUM(J26:J29))+SUM(J47:J50)+I54</f>
        <v>1772274.1300000001</v>
      </c>
      <c r="K54" s="116">
        <f t="shared" si="25"/>
        <v>2718467.37</v>
      </c>
      <c r="L54" s="41">
        <f t="shared" si="25"/>
        <v>4873228.24</v>
      </c>
      <c r="M54" s="61">
        <f t="shared" si="25"/>
        <v>4352301.0600000005</v>
      </c>
    </row>
    <row r="55" spans="1:16" x14ac:dyDescent="0.35">
      <c r="A55" s="46" t="s">
        <v>12</v>
      </c>
      <c r="C55" s="114"/>
      <c r="D55" s="17"/>
      <c r="E55" s="56"/>
      <c r="F55" s="56"/>
      <c r="G55" s="56"/>
      <c r="H55" s="12"/>
      <c r="I55" s="56"/>
      <c r="J55" s="11"/>
      <c r="K55" s="17"/>
      <c r="L55" s="17"/>
      <c r="M55" s="11"/>
    </row>
    <row r="56" spans="1:16" ht="15" thickBot="1" x14ac:dyDescent="0.4">
      <c r="B56" s="17"/>
      <c r="C56" s="43"/>
      <c r="D56" s="44"/>
      <c r="E56" s="44"/>
      <c r="F56" s="44"/>
      <c r="G56" s="44"/>
      <c r="H56" s="43"/>
      <c r="I56" s="44"/>
      <c r="J56" s="45"/>
      <c r="K56" s="44"/>
      <c r="L56" s="44"/>
      <c r="M56" s="45"/>
    </row>
    <row r="58" spans="1:16" x14ac:dyDescent="0.35">
      <c r="A58" s="69" t="s">
        <v>11</v>
      </c>
      <c r="B58" s="69"/>
      <c r="C58" s="69"/>
      <c r="D58" s="69"/>
    </row>
    <row r="59" spans="1:16" ht="80.25" customHeight="1" x14ac:dyDescent="0.35">
      <c r="A59" s="390" t="s">
        <v>319</v>
      </c>
      <c r="B59" s="391"/>
      <c r="C59" s="391"/>
      <c r="D59" s="391"/>
      <c r="E59" s="391"/>
      <c r="F59" s="391"/>
      <c r="G59" s="391"/>
      <c r="H59" s="391"/>
      <c r="I59" s="391"/>
      <c r="J59" s="391"/>
      <c r="K59" s="214"/>
      <c r="L59" s="214"/>
      <c r="M59" s="214"/>
    </row>
    <row r="60" spans="1:16" ht="64.5" customHeight="1" x14ac:dyDescent="0.35">
      <c r="A60" s="390" t="s">
        <v>317</v>
      </c>
      <c r="B60" s="391"/>
      <c r="C60" s="391"/>
      <c r="D60" s="391"/>
      <c r="E60" s="391"/>
      <c r="F60" s="391"/>
      <c r="G60" s="391"/>
      <c r="H60" s="391"/>
      <c r="I60" s="391"/>
      <c r="J60" s="391"/>
      <c r="K60" s="214"/>
      <c r="L60" s="214"/>
      <c r="M60" s="214"/>
    </row>
    <row r="61" spans="1:16" ht="59.5" customHeight="1" x14ac:dyDescent="0.35">
      <c r="A61" s="390" t="s">
        <v>250</v>
      </c>
      <c r="B61" s="391"/>
      <c r="C61" s="391"/>
      <c r="D61" s="391"/>
      <c r="E61" s="391"/>
      <c r="F61" s="391"/>
      <c r="G61" s="391"/>
      <c r="H61" s="391"/>
      <c r="I61" s="391"/>
      <c r="J61" s="391"/>
      <c r="K61" s="214"/>
      <c r="L61" s="214"/>
      <c r="M61" s="214"/>
    </row>
    <row r="62" spans="1:16" x14ac:dyDescent="0.35">
      <c r="A62" s="390" t="s">
        <v>255</v>
      </c>
      <c r="B62" s="391"/>
      <c r="C62" s="391"/>
      <c r="D62" s="391"/>
      <c r="E62" s="391"/>
      <c r="F62" s="391"/>
      <c r="G62" s="391"/>
      <c r="H62" s="391"/>
      <c r="I62" s="391"/>
      <c r="J62" s="391"/>
    </row>
    <row r="63" spans="1:16" x14ac:dyDescent="0.35">
      <c r="A63" s="63" t="s">
        <v>288</v>
      </c>
      <c r="B63" s="3"/>
      <c r="C63" s="3"/>
      <c r="D63" s="3"/>
      <c r="J63" s="4"/>
    </row>
    <row r="64" spans="1:16" x14ac:dyDescent="0.35">
      <c r="A64" s="3" t="s">
        <v>50</v>
      </c>
      <c r="B64" s="3"/>
      <c r="C64" s="3"/>
      <c r="D64" s="3"/>
      <c r="J64" s="4"/>
    </row>
    <row r="65" spans="1:14" x14ac:dyDescent="0.35">
      <c r="A65" s="3"/>
    </row>
    <row r="66" spans="1:14" ht="36" customHeight="1" x14ac:dyDescent="0.35">
      <c r="A66" s="400"/>
      <c r="B66" s="400"/>
      <c r="C66" s="400"/>
      <c r="D66" s="400"/>
      <c r="E66" s="400"/>
      <c r="F66" s="400"/>
      <c r="G66" s="400"/>
    </row>
    <row r="74" spans="1:14" x14ac:dyDescent="0.35">
      <c r="N74" s="8"/>
    </row>
  </sheetData>
  <mergeCells count="8">
    <mergeCell ref="A66:G66"/>
    <mergeCell ref="A61:J61"/>
    <mergeCell ref="E10:G10"/>
    <mergeCell ref="H10:J10"/>
    <mergeCell ref="K10:M10"/>
    <mergeCell ref="A59:J59"/>
    <mergeCell ref="A60:J60"/>
    <mergeCell ref="A62:J62"/>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A5EC-43C1-4B10-BF6B-0461013A4037}">
  <sheetPr>
    <pageSetUpPr fitToPage="1"/>
  </sheetPr>
  <dimension ref="A1:AJ74"/>
  <sheetViews>
    <sheetView zoomScale="85" zoomScaleNormal="85" workbookViewId="0">
      <pane xSplit="2" ySplit="11" topLeftCell="C12" activePane="bottomRight" state="frozen"/>
      <selection activeCell="B5" sqref="B5:C22"/>
      <selection pane="topRight" activeCell="B5" sqref="B5:C22"/>
      <selection pane="bottomLeft" activeCell="B5" sqref="B5:C22"/>
      <selection pane="bottomRight" activeCell="C12" sqref="C12"/>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hidden="1" customWidth="1" outlineLevel="1"/>
    <col min="17" max="17" width="16.1796875" style="46" customWidth="1" collapsed="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Missouri West, Inc. - DSIM Rider Update Filed 12/01/2024</v>
      </c>
      <c r="B1" s="3"/>
      <c r="C1" s="3"/>
      <c r="D1" s="3"/>
    </row>
    <row r="2" spans="1:36" x14ac:dyDescent="0.35">
      <c r="E2" s="3" t="s">
        <v>245</v>
      </c>
    </row>
    <row r="3" spans="1:36" ht="29" x14ac:dyDescent="0.35">
      <c r="E3" s="48" t="s">
        <v>45</v>
      </c>
      <c r="F3" s="48" t="s">
        <v>44</v>
      </c>
      <c r="G3" s="70" t="s">
        <v>2</v>
      </c>
      <c r="H3" s="48" t="s">
        <v>3</v>
      </c>
      <c r="I3" s="70" t="s">
        <v>54</v>
      </c>
      <c r="J3" s="48" t="s">
        <v>10</v>
      </c>
      <c r="K3" s="48" t="s">
        <v>4</v>
      </c>
    </row>
    <row r="4" spans="1:36" x14ac:dyDescent="0.35">
      <c r="A4" s="20" t="s">
        <v>24</v>
      </c>
      <c r="E4" s="22">
        <f>SUM(C26:M26)</f>
        <v>19390.989999999998</v>
      </c>
      <c r="F4" s="128">
        <f>SUM(C20:M20)</f>
        <v>1957670420.0789502</v>
      </c>
      <c r="G4" s="22">
        <f>SUM(C14:L14)</f>
        <v>0</v>
      </c>
      <c r="H4" s="22">
        <f>G4-E4</f>
        <v>-19390.989999999998</v>
      </c>
      <c r="I4" s="22">
        <f>+B40</f>
        <v>39391.689999999995</v>
      </c>
      <c r="J4" s="22">
        <f>SUM(C47:L47)</f>
        <v>0</v>
      </c>
      <c r="K4" s="25">
        <f>SUM(H4:J4)</f>
        <v>20000.699999999997</v>
      </c>
      <c r="L4" s="306">
        <f>+K4-M40</f>
        <v>0</v>
      </c>
    </row>
    <row r="5" spans="1:36" x14ac:dyDescent="0.35">
      <c r="A5" s="20" t="s">
        <v>105</v>
      </c>
      <c r="E5" s="22">
        <f>SUM(C27:M27)</f>
        <v>6995.22</v>
      </c>
      <c r="F5" s="128">
        <f>SUM(C21:M21)</f>
        <v>706101360.88209987</v>
      </c>
      <c r="G5" s="22">
        <f>SUM(C15:L15)</f>
        <v>0</v>
      </c>
      <c r="H5" s="22">
        <f>G5-E5</f>
        <v>-6995.22</v>
      </c>
      <c r="I5" s="22">
        <f>+B41</f>
        <v>9106.83</v>
      </c>
      <c r="J5" s="22">
        <f>SUM(C48:L48)</f>
        <v>0</v>
      </c>
      <c r="K5" s="25">
        <f>SUM(H5:J5)</f>
        <v>2111.6099999999997</v>
      </c>
      <c r="L5" s="306">
        <f t="shared" ref="L5:L6" si="0">+K5-M41</f>
        <v>0</v>
      </c>
    </row>
    <row r="6" spans="1:36" x14ac:dyDescent="0.35">
      <c r="A6" s="20" t="s">
        <v>106</v>
      </c>
      <c r="E6" s="22">
        <f>SUM(C28:M28)</f>
        <v>5784.49</v>
      </c>
      <c r="F6" s="128">
        <f>SUM(C22:M22)</f>
        <v>571958099.98539996</v>
      </c>
      <c r="G6" s="22">
        <f>SUM(C16:L16)</f>
        <v>0</v>
      </c>
      <c r="H6" s="22">
        <f>G6-E6</f>
        <v>-5784.49</v>
      </c>
      <c r="I6" s="22">
        <f>+B42</f>
        <v>11754.939999999999</v>
      </c>
      <c r="J6" s="22">
        <f>SUM(C49:L49)</f>
        <v>0</v>
      </c>
      <c r="K6" s="25">
        <f>SUM(H6:J6)</f>
        <v>5970.4499999999989</v>
      </c>
      <c r="L6" s="306">
        <f t="shared" si="0"/>
        <v>0</v>
      </c>
    </row>
    <row r="7" spans="1:36" ht="15" thickBot="1" x14ac:dyDescent="0.4">
      <c r="A7" s="20" t="s">
        <v>107</v>
      </c>
      <c r="E7" s="22">
        <f>SUM(C29:M29)</f>
        <v>7934.3099999999995</v>
      </c>
      <c r="F7" s="128">
        <f>SUM(C23:M23)</f>
        <v>403509457.61260003</v>
      </c>
      <c r="G7" s="22">
        <f>SUM(C17:L17)</f>
        <v>0</v>
      </c>
      <c r="H7" s="22">
        <f>G7-E7</f>
        <v>-7934.3099999999995</v>
      </c>
      <c r="I7" s="22">
        <f>+B43</f>
        <v>14253.19</v>
      </c>
      <c r="J7" s="22">
        <f>SUM(C50:L50)</f>
        <v>0</v>
      </c>
      <c r="K7" s="25">
        <f>SUM(H7:J7)</f>
        <v>6318.880000000001</v>
      </c>
      <c r="L7" s="306">
        <f>+K7-M43</f>
        <v>0</v>
      </c>
    </row>
    <row r="8" spans="1:36" ht="15.5" thickTop="1" thickBot="1" x14ac:dyDescent="0.4">
      <c r="E8" s="27">
        <f t="shared" ref="E8:K8" si="1">SUM(E4:E7)</f>
        <v>40105.009999999995</v>
      </c>
      <c r="F8" s="27">
        <f t="shared" si="1"/>
        <v>3639239338.5590501</v>
      </c>
      <c r="G8" s="27">
        <f t="shared" si="1"/>
        <v>0</v>
      </c>
      <c r="H8" s="27">
        <f t="shared" si="1"/>
        <v>-40105.009999999995</v>
      </c>
      <c r="I8" s="27">
        <f t="shared" si="1"/>
        <v>74506.649999999994</v>
      </c>
      <c r="J8" s="27">
        <f t="shared" si="1"/>
        <v>0</v>
      </c>
      <c r="K8" s="27">
        <f t="shared" si="1"/>
        <v>34401.64</v>
      </c>
    </row>
    <row r="9" spans="1:36" ht="15.5" thickTop="1" thickBot="1" x14ac:dyDescent="0.4"/>
    <row r="10" spans="1:36" ht="73" thickBot="1" x14ac:dyDescent="0.4">
      <c r="B10" s="112" t="str">
        <f>+'PCR Cycle 2'!B13</f>
        <v>Cumulative Over/Under Carryover From 06/01/2024 Filing</v>
      </c>
      <c r="C10" s="143" t="str">
        <f>+'PCR Cycle 2'!C13</f>
        <v>Reverse May 2024 - July 2024 Forecast From 06/01/2024 Filing</v>
      </c>
      <c r="D10" s="256"/>
      <c r="E10" s="395" t="s">
        <v>32</v>
      </c>
      <c r="F10" s="395"/>
      <c r="G10" s="396"/>
      <c r="H10" s="397" t="s">
        <v>32</v>
      </c>
      <c r="I10" s="398"/>
      <c r="J10" s="399"/>
      <c r="K10" s="392" t="s">
        <v>8</v>
      </c>
      <c r="L10" s="393"/>
      <c r="M10" s="394"/>
      <c r="P10" s="276" t="s">
        <v>221</v>
      </c>
    </row>
    <row r="11" spans="1:36" x14ac:dyDescent="0.35">
      <c r="C11" s="14"/>
      <c r="D11" s="19"/>
      <c r="E11" s="19">
        <f>+'PCR Cycle 2'!D14</f>
        <v>45443</v>
      </c>
      <c r="F11" s="19">
        <f>+'PCR Cycle 2'!E14</f>
        <v>45473</v>
      </c>
      <c r="G11" s="19">
        <f>+'PCR Cycle 2'!F14</f>
        <v>45504</v>
      </c>
      <c r="H11" s="14">
        <f>+'PCR Cycle 2'!G14</f>
        <v>45535</v>
      </c>
      <c r="I11" s="19">
        <f>+'PCR Cycle 2'!H14</f>
        <v>45565</v>
      </c>
      <c r="J11" s="15">
        <f>+'PCR Cycle 2'!I14</f>
        <v>45596</v>
      </c>
      <c r="K11" s="19">
        <f>+'PCR Cycle 2'!J14</f>
        <v>45626</v>
      </c>
      <c r="L11" s="19">
        <f>+'PCR Cycle 2'!K14</f>
        <v>45657</v>
      </c>
      <c r="M11" s="94">
        <f>+'PCR Cycle 2'!L14</f>
        <v>45688</v>
      </c>
      <c r="AA11" s="1"/>
      <c r="AB11" s="1"/>
      <c r="AC11" s="1"/>
      <c r="AD11" s="1"/>
      <c r="AE11" s="1"/>
      <c r="AF11" s="1"/>
      <c r="AG11" s="1"/>
      <c r="AH11" s="1"/>
      <c r="AI11" s="1"/>
      <c r="AJ11" s="1"/>
    </row>
    <row r="12" spans="1:36" x14ac:dyDescent="0.35">
      <c r="C12" s="97"/>
      <c r="D12" s="247"/>
      <c r="E12" s="31"/>
      <c r="F12" s="31"/>
      <c r="G12" s="31"/>
      <c r="H12" s="28"/>
      <c r="I12" s="31"/>
      <c r="J12" s="11"/>
      <c r="K12" s="31"/>
      <c r="L12" s="31"/>
      <c r="M12" s="29"/>
      <c r="P12" s="47"/>
    </row>
    <row r="13" spans="1:36" x14ac:dyDescent="0.35">
      <c r="A13" s="46" t="s">
        <v>136</v>
      </c>
      <c r="C13" s="98"/>
      <c r="D13" s="141"/>
      <c r="E13" s="31"/>
      <c r="F13" s="31"/>
      <c r="G13" s="31"/>
      <c r="H13" s="97"/>
      <c r="I13" s="247"/>
      <c r="J13" s="321"/>
      <c r="K13" s="141"/>
      <c r="L13" s="141"/>
      <c r="M13" s="11"/>
      <c r="P13" s="47"/>
    </row>
    <row r="14" spans="1:36" x14ac:dyDescent="0.35">
      <c r="A14" s="46" t="s">
        <v>24</v>
      </c>
      <c r="C14" s="373">
        <v>0</v>
      </c>
      <c r="D14" s="248"/>
      <c r="E14" s="106"/>
      <c r="F14" s="106"/>
      <c r="G14" s="107"/>
      <c r="H14" s="16"/>
      <c r="I14" s="55"/>
      <c r="J14" s="154"/>
      <c r="K14" s="162"/>
      <c r="L14" s="162"/>
      <c r="M14" s="75"/>
      <c r="P14" s="47">
        <f>-SUM(K14:M14)</f>
        <v>0</v>
      </c>
    </row>
    <row r="15" spans="1:36" x14ac:dyDescent="0.35">
      <c r="A15" s="46" t="s">
        <v>105</v>
      </c>
      <c r="C15" s="373">
        <v>0</v>
      </c>
      <c r="D15" s="248"/>
      <c r="E15" s="106"/>
      <c r="F15" s="106"/>
      <c r="G15" s="107"/>
      <c r="H15" s="16"/>
      <c r="I15" s="55"/>
      <c r="J15" s="154"/>
      <c r="K15" s="162"/>
      <c r="L15" s="162"/>
      <c r="M15" s="75"/>
      <c r="P15" s="47">
        <f t="shared" ref="P15:P17" si="2">-SUM(K15:M15)</f>
        <v>0</v>
      </c>
    </row>
    <row r="16" spans="1:36" x14ac:dyDescent="0.35">
      <c r="A16" s="46" t="s">
        <v>106</v>
      </c>
      <c r="C16" s="373">
        <v>0</v>
      </c>
      <c r="D16" s="248"/>
      <c r="E16" s="106"/>
      <c r="F16" s="106"/>
      <c r="G16" s="107"/>
      <c r="H16" s="16"/>
      <c r="I16" s="55"/>
      <c r="J16" s="154"/>
      <c r="K16" s="162"/>
      <c r="L16" s="162"/>
      <c r="M16" s="75"/>
      <c r="P16" s="47">
        <f t="shared" si="2"/>
        <v>0</v>
      </c>
    </row>
    <row r="17" spans="1:16" x14ac:dyDescent="0.35">
      <c r="A17" s="46" t="s">
        <v>107</v>
      </c>
      <c r="C17" s="373">
        <v>0</v>
      </c>
      <c r="D17" s="248"/>
      <c r="E17" s="106"/>
      <c r="F17" s="106"/>
      <c r="G17" s="107"/>
      <c r="H17" s="16"/>
      <c r="I17" s="55"/>
      <c r="J17" s="154"/>
      <c r="K17" s="162"/>
      <c r="L17" s="162"/>
      <c r="M17" s="75"/>
      <c r="P17" s="47">
        <f t="shared" si="2"/>
        <v>0</v>
      </c>
    </row>
    <row r="18" spans="1:16" x14ac:dyDescent="0.35">
      <c r="C18" s="299"/>
      <c r="D18" s="141"/>
      <c r="E18" s="31"/>
      <c r="F18" s="31"/>
      <c r="G18" s="31"/>
      <c r="H18" s="28"/>
      <c r="I18" s="31"/>
      <c r="J18" s="11"/>
      <c r="K18" s="17"/>
      <c r="L18" s="17"/>
      <c r="M18" s="11"/>
      <c r="P18" s="47"/>
    </row>
    <row r="19" spans="1:16" x14ac:dyDescent="0.35">
      <c r="A19" s="39" t="s">
        <v>46</v>
      </c>
      <c r="B19" s="39"/>
      <c r="C19" s="300"/>
      <c r="D19" s="249"/>
      <c r="E19" s="31"/>
      <c r="F19" s="31"/>
      <c r="G19" s="31"/>
      <c r="H19" s="97"/>
      <c r="I19" s="247"/>
      <c r="J19" s="318"/>
      <c r="K19" s="17"/>
      <c r="L19" s="17"/>
      <c r="M19" s="11"/>
      <c r="P19" s="47"/>
    </row>
    <row r="20" spans="1:16" x14ac:dyDescent="0.35">
      <c r="A20" s="46" t="s">
        <v>24</v>
      </c>
      <c r="C20" s="374">
        <v>-864306803</v>
      </c>
      <c r="D20" s="250"/>
      <c r="E20" s="108">
        <f>+'PCR Cycle 3'!E20</f>
        <v>211477562.01692507</v>
      </c>
      <c r="F20" s="108">
        <f>+'PCR Cycle 3'!F20</f>
        <v>288232653.1303001</v>
      </c>
      <c r="G20" s="108">
        <f>+'PCR Cycle 3'!G20</f>
        <v>383211763.58247501</v>
      </c>
      <c r="H20" s="171">
        <f>+'PCR Cycle 3'!H20</f>
        <v>371910329.86815</v>
      </c>
      <c r="I20" s="173">
        <f>+'PCR Cycle 3'!I20</f>
        <v>335752179.32269996</v>
      </c>
      <c r="J20" s="167">
        <f>+'PCR Cycle 3'!J20</f>
        <v>264320965.15840003</v>
      </c>
      <c r="K20" s="163">
        <f>+'PCR Cycle 3'!K20</f>
        <v>241638800</v>
      </c>
      <c r="L20" s="131">
        <f>+'PCR Cycle 3'!L20</f>
        <v>323339074</v>
      </c>
      <c r="M20" s="76">
        <f>+'PCR Cycle 3'!M20</f>
        <v>402093896</v>
      </c>
      <c r="P20" s="47">
        <f>-SUM(K20:M20)</f>
        <v>-967071770</v>
      </c>
    </row>
    <row r="21" spans="1:16" x14ac:dyDescent="0.35">
      <c r="A21" s="46" t="s">
        <v>105</v>
      </c>
      <c r="C21" s="374">
        <v>-339768465</v>
      </c>
      <c r="D21" s="250"/>
      <c r="E21" s="108">
        <f>+'PCR Cycle 3'!E21</f>
        <v>99150773.365199938</v>
      </c>
      <c r="F21" s="108">
        <f>+'PCR Cycle 3'!F21</f>
        <v>113045394.94219996</v>
      </c>
      <c r="G21" s="108">
        <f>+'PCR Cycle 3'!G21</f>
        <v>135913276.50970003</v>
      </c>
      <c r="H21" s="171">
        <f>+'PCR Cycle 3'!H21</f>
        <v>127995629.06739999</v>
      </c>
      <c r="I21" s="173">
        <f>+'PCR Cycle 3'!I21</f>
        <v>127882782.21389998</v>
      </c>
      <c r="J21" s="167">
        <f>+'PCR Cycle 3'!J21</f>
        <v>116660964.78370003</v>
      </c>
      <c r="K21" s="163">
        <f>+'PCR Cycle 3'!K21</f>
        <v>106139286</v>
      </c>
      <c r="L21" s="131">
        <f>+'PCR Cycle 3'!L21</f>
        <v>110439427</v>
      </c>
      <c r="M21" s="76">
        <f>+'PCR Cycle 3'!M21</f>
        <v>108642292</v>
      </c>
      <c r="P21" s="47">
        <f t="shared" ref="P21:P23" si="3">-SUM(K21:M21)</f>
        <v>-325221005</v>
      </c>
    </row>
    <row r="22" spans="1:16" x14ac:dyDescent="0.35">
      <c r="A22" s="46" t="s">
        <v>106</v>
      </c>
      <c r="C22" s="374">
        <v>-292722150</v>
      </c>
      <c r="D22" s="250"/>
      <c r="E22" s="108">
        <f>+'PCR Cycle 3'!E22</f>
        <v>88731587.764900014</v>
      </c>
      <c r="F22" s="108">
        <f>+'PCR Cycle 3'!F22</f>
        <v>94166529.327799991</v>
      </c>
      <c r="G22" s="108">
        <f>+'PCR Cycle 3'!G22</f>
        <v>105348229.404</v>
      </c>
      <c r="H22" s="171">
        <f>+'PCR Cycle 3'!H22</f>
        <v>100412051.37710001</v>
      </c>
      <c r="I22" s="173">
        <f>+'PCR Cycle 3'!I22</f>
        <v>104282563.54089998</v>
      </c>
      <c r="J22" s="167">
        <f>+'PCR Cycle 3'!J22</f>
        <v>95864081.57069999</v>
      </c>
      <c r="K22" s="163">
        <f>+'PCR Cycle 3'!K22</f>
        <v>90034767</v>
      </c>
      <c r="L22" s="131">
        <f>+'PCR Cycle 3'!L22</f>
        <v>93682448</v>
      </c>
      <c r="M22" s="76">
        <f>+'PCR Cycle 3'!M22</f>
        <v>92157992</v>
      </c>
      <c r="P22" s="47">
        <f t="shared" si="3"/>
        <v>-275875207</v>
      </c>
    </row>
    <row r="23" spans="1:16" x14ac:dyDescent="0.35">
      <c r="A23" s="46" t="s">
        <v>107</v>
      </c>
      <c r="C23" s="374">
        <v>-197376147</v>
      </c>
      <c r="D23" s="250"/>
      <c r="E23" s="108">
        <f>+'PCR Cycle 3'!E23</f>
        <v>64571647.037599988</v>
      </c>
      <c r="F23" s="108">
        <f>+'PCR Cycle 3'!F23</f>
        <v>61253333.957100011</v>
      </c>
      <c r="G23" s="108">
        <f>+'PCR Cycle 3'!G23</f>
        <v>75151776.621100008</v>
      </c>
      <c r="H23" s="171">
        <f>+'PCR Cycle 3'!H23</f>
        <v>70225098.40170002</v>
      </c>
      <c r="I23" s="173">
        <f>+'PCR Cycle 3'!I23</f>
        <v>77092321.546499982</v>
      </c>
      <c r="J23" s="167">
        <f>+'PCR Cycle 3'!J23</f>
        <v>70310064.048600003</v>
      </c>
      <c r="K23" s="163">
        <f>+'PCR Cycle 3'!K23</f>
        <v>59489434</v>
      </c>
      <c r="L23" s="131">
        <f>+'PCR Cycle 3'!L23</f>
        <v>61899598</v>
      </c>
      <c r="M23" s="76">
        <f>+'PCR Cycle 3'!M23</f>
        <v>60892331</v>
      </c>
      <c r="P23" s="47">
        <f t="shared" si="3"/>
        <v>-182281363</v>
      </c>
    </row>
    <row r="24" spans="1:16" x14ac:dyDescent="0.35">
      <c r="C24" s="299"/>
      <c r="D24" s="141"/>
      <c r="E24" s="31"/>
      <c r="F24" s="31"/>
      <c r="G24" s="31"/>
      <c r="H24" s="28"/>
      <c r="I24" s="31"/>
      <c r="J24" s="11"/>
      <c r="K24" s="17"/>
      <c r="L24" s="17"/>
      <c r="M24" s="11"/>
      <c r="P24" s="47"/>
    </row>
    <row r="25" spans="1:16" x14ac:dyDescent="0.35">
      <c r="A25" s="46" t="s">
        <v>33</v>
      </c>
      <c r="C25" s="299"/>
      <c r="D25" s="141"/>
      <c r="E25" s="18"/>
      <c r="F25" s="18"/>
      <c r="G25" s="18"/>
      <c r="H25" s="90"/>
      <c r="I25" s="18"/>
      <c r="J25" s="11"/>
      <c r="K25" s="57"/>
      <c r="L25" s="57"/>
      <c r="M25" s="58"/>
      <c r="N25" s="63" t="s">
        <v>49</v>
      </c>
      <c r="O25" s="39"/>
      <c r="P25" s="47"/>
    </row>
    <row r="26" spans="1:16" x14ac:dyDescent="0.35">
      <c r="A26" s="46" t="s">
        <v>24</v>
      </c>
      <c r="C26" s="373">
        <v>0</v>
      </c>
      <c r="D26" s="248"/>
      <c r="E26" s="106"/>
      <c r="F26" s="106"/>
      <c r="G26" s="106">
        <f>+'[5]July 2024'!$G111+'[5]July 2024'!$G118</f>
        <v>1.18</v>
      </c>
      <c r="H26" s="171">
        <f>+'[5]August 2024'!$G111+'[5]August 2024'!$G118</f>
        <v>3718.53</v>
      </c>
      <c r="I26" s="173">
        <f>+'[5]September 2024'!$G111+'[5]September 2024'!$G118</f>
        <v>3357.36</v>
      </c>
      <c r="J26" s="167">
        <f>+'[5]October 2024'!$G111+'[5]October 2024'!$G118</f>
        <v>2643.2</v>
      </c>
      <c r="K26" s="116">
        <f>ROUND(K20*$N26,2)</f>
        <v>2416.39</v>
      </c>
      <c r="L26" s="41">
        <f t="shared" ref="K26:M29" si="4">ROUND(L20*$N26,2)</f>
        <v>3233.39</v>
      </c>
      <c r="M26" s="61">
        <f t="shared" si="4"/>
        <v>4020.94</v>
      </c>
      <c r="N26" s="72">
        <v>1.0000000000000001E-5</v>
      </c>
      <c r="P26" s="47">
        <f>-SUM(K26:M26)</f>
        <v>-9670.7199999999993</v>
      </c>
    </row>
    <row r="27" spans="1:16" x14ac:dyDescent="0.35">
      <c r="A27" s="46" t="s">
        <v>105</v>
      </c>
      <c r="C27" s="373">
        <v>0</v>
      </c>
      <c r="D27" s="248"/>
      <c r="E27" s="106"/>
      <c r="F27" s="106"/>
      <c r="G27" s="106">
        <f>+'[5]July 2024'!$G112+'[5]July 2024'!$G119</f>
        <v>23.61</v>
      </c>
      <c r="H27" s="171">
        <f>+'[5]August 2024'!$G112+'[5]August 2024'!$G119</f>
        <v>1275.4100000000001</v>
      </c>
      <c r="I27" s="173">
        <f>+'[5]September 2024'!$G112+'[5]September 2024'!$G119</f>
        <v>1278.54</v>
      </c>
      <c r="J27" s="167">
        <f>+'[5]October 2024'!$G112+'[5]October 2024'!$G119</f>
        <v>1165.46</v>
      </c>
      <c r="K27" s="116">
        <f t="shared" si="4"/>
        <v>1061.3900000000001</v>
      </c>
      <c r="L27" s="41">
        <f t="shared" si="4"/>
        <v>1104.3900000000001</v>
      </c>
      <c r="M27" s="61">
        <f t="shared" si="4"/>
        <v>1086.42</v>
      </c>
      <c r="N27" s="72">
        <v>1.0000000000000001E-5</v>
      </c>
      <c r="P27" s="47">
        <f t="shared" ref="P27:P31" si="5">-SUM(K27:M27)</f>
        <v>-3252.2000000000003</v>
      </c>
    </row>
    <row r="28" spans="1:16" x14ac:dyDescent="0.35">
      <c r="A28" s="46" t="s">
        <v>106</v>
      </c>
      <c r="C28" s="373">
        <v>0</v>
      </c>
      <c r="D28" s="248"/>
      <c r="E28" s="106"/>
      <c r="F28" s="106"/>
      <c r="G28" s="106">
        <f>+'[5]July 2024'!$G113+'[5]July 2024'!$G120</f>
        <v>13.37</v>
      </c>
      <c r="H28" s="171">
        <f>+'[5]August 2024'!$G113+'[5]August 2024'!$G120</f>
        <v>1010.9</v>
      </c>
      <c r="I28" s="173">
        <f>+'[5]September 2024'!$G113+'[5]September 2024'!$G120</f>
        <v>1042.83</v>
      </c>
      <c r="J28" s="167">
        <f>+'[5]October 2024'!$G113+'[5]October 2024'!$G120</f>
        <v>958.64</v>
      </c>
      <c r="K28" s="116">
        <f t="shared" si="4"/>
        <v>900.35</v>
      </c>
      <c r="L28" s="41">
        <f t="shared" si="4"/>
        <v>936.82</v>
      </c>
      <c r="M28" s="61">
        <f t="shared" si="4"/>
        <v>921.58</v>
      </c>
      <c r="N28" s="72">
        <v>1.0000000000000001E-5</v>
      </c>
      <c r="P28" s="47">
        <f t="shared" si="5"/>
        <v>-2758.75</v>
      </c>
    </row>
    <row r="29" spans="1:16" x14ac:dyDescent="0.35">
      <c r="A29" s="46" t="s">
        <v>107</v>
      </c>
      <c r="C29" s="373">
        <v>0</v>
      </c>
      <c r="D29" s="248"/>
      <c r="E29" s="106"/>
      <c r="F29" s="106"/>
      <c r="G29" s="106">
        <f>+'[5]July 2024'!$G114+'[5]July 2024'!$G121</f>
        <v>64.5</v>
      </c>
      <c r="H29" s="171">
        <f>+'[5]August 2024'!$G114+'[5]August 2024'!$G121</f>
        <v>1276.1300000000001</v>
      </c>
      <c r="I29" s="173">
        <f>+'[5]September 2024'!$G114+'[5]September 2024'!$G121</f>
        <v>1541.85</v>
      </c>
      <c r="J29" s="167">
        <f>+'[5]October 2024'!$G114+'[5]October 2024'!$G121</f>
        <v>1406.2</v>
      </c>
      <c r="K29" s="116">
        <f t="shared" si="4"/>
        <v>1189.79</v>
      </c>
      <c r="L29" s="41">
        <f t="shared" si="4"/>
        <v>1237.99</v>
      </c>
      <c r="M29" s="61">
        <f t="shared" si="4"/>
        <v>1217.8499999999999</v>
      </c>
      <c r="N29" s="72">
        <v>2.0000000000000002E-5</v>
      </c>
      <c r="P29" s="47">
        <f t="shared" si="5"/>
        <v>-3645.6299999999997</v>
      </c>
    </row>
    <row r="30" spans="1:16" x14ac:dyDescent="0.35">
      <c r="C30" s="301"/>
      <c r="D30" s="68"/>
      <c r="E30" s="18"/>
      <c r="F30" s="18"/>
      <c r="G30" s="18"/>
      <c r="H30" s="90"/>
      <c r="I30" s="18"/>
      <c r="J30" s="11"/>
      <c r="K30" s="56"/>
      <c r="L30" s="56"/>
      <c r="M30" s="13"/>
      <c r="N30" s="4"/>
      <c r="P30" s="47"/>
    </row>
    <row r="31" spans="1:16" ht="15" thickBot="1" x14ac:dyDescent="0.4">
      <c r="A31" s="46" t="s">
        <v>14</v>
      </c>
      <c r="C31" s="375">
        <v>0</v>
      </c>
      <c r="D31" s="251">
        <v>0</v>
      </c>
      <c r="E31" s="109">
        <v>0</v>
      </c>
      <c r="F31" s="109">
        <v>0</v>
      </c>
      <c r="G31" s="110">
        <v>0</v>
      </c>
      <c r="H31" s="26">
        <v>0</v>
      </c>
      <c r="I31" s="115">
        <v>0</v>
      </c>
      <c r="J31" s="166">
        <v>0</v>
      </c>
      <c r="K31" s="164">
        <f>ROUND((SUM(J40:J43)+SUM(J47:J50)+SUM(K34:K37)/2)*K$45,2)</f>
        <v>0</v>
      </c>
      <c r="L31" s="132">
        <f>ROUND((SUM(K40:K43)+SUM(K47:K50)+SUM(L34:L37)/2)*L$45,2)</f>
        <v>0</v>
      </c>
      <c r="M31" s="80"/>
      <c r="P31" s="47">
        <f t="shared" si="5"/>
        <v>0</v>
      </c>
    </row>
    <row r="32" spans="1:16" x14ac:dyDescent="0.35">
      <c r="C32" s="98"/>
      <c r="D32" s="141"/>
      <c r="E32" s="31"/>
      <c r="F32" s="31"/>
      <c r="G32" s="31"/>
      <c r="H32" s="28"/>
      <c r="I32" s="31"/>
      <c r="J32" s="11"/>
      <c r="K32" s="17"/>
      <c r="L32" s="17"/>
      <c r="M32" s="11"/>
      <c r="P32" s="47"/>
    </row>
    <row r="33" spans="1:16" x14ac:dyDescent="0.35">
      <c r="A33" s="46" t="s">
        <v>51</v>
      </c>
      <c r="C33" s="98"/>
      <c r="D33" s="141"/>
      <c r="E33" s="31"/>
      <c r="F33" s="31"/>
      <c r="G33" s="31"/>
      <c r="H33" s="28"/>
      <c r="I33" s="31"/>
      <c r="J33" s="11"/>
      <c r="K33" s="17"/>
      <c r="L33" s="17"/>
      <c r="M33" s="11"/>
      <c r="P33" s="47"/>
    </row>
    <row r="34" spans="1:16" x14ac:dyDescent="0.35">
      <c r="A34" s="46" t="s">
        <v>24</v>
      </c>
      <c r="C34" s="40">
        <f t="shared" ref="C34:M37" si="6">C14-C26</f>
        <v>0</v>
      </c>
      <c r="D34" s="116">
        <f t="shared" si="6"/>
        <v>0</v>
      </c>
      <c r="E34" s="41">
        <f>E14-E26</f>
        <v>0</v>
      </c>
      <c r="F34" s="41">
        <f t="shared" si="6"/>
        <v>0</v>
      </c>
      <c r="G34" s="105">
        <f t="shared" si="6"/>
        <v>-1.18</v>
      </c>
      <c r="H34" s="40">
        <f t="shared" si="6"/>
        <v>-3718.53</v>
      </c>
      <c r="I34" s="41">
        <f t="shared" si="6"/>
        <v>-3357.36</v>
      </c>
      <c r="J34" s="61">
        <f t="shared" si="6"/>
        <v>-2643.2</v>
      </c>
      <c r="K34" s="116">
        <f t="shared" si="6"/>
        <v>-2416.39</v>
      </c>
      <c r="L34" s="41">
        <f t="shared" si="6"/>
        <v>-3233.39</v>
      </c>
      <c r="M34" s="49">
        <f t="shared" si="6"/>
        <v>-4020.94</v>
      </c>
      <c r="P34" s="47"/>
    </row>
    <row r="35" spans="1:16" x14ac:dyDescent="0.35">
      <c r="A35" s="46" t="s">
        <v>105</v>
      </c>
      <c r="C35" s="40">
        <f t="shared" si="6"/>
        <v>0</v>
      </c>
      <c r="D35" s="116">
        <f t="shared" si="6"/>
        <v>0</v>
      </c>
      <c r="E35" s="41">
        <f t="shared" si="6"/>
        <v>0</v>
      </c>
      <c r="F35" s="41">
        <f t="shared" si="6"/>
        <v>0</v>
      </c>
      <c r="G35" s="105">
        <f t="shared" si="6"/>
        <v>-23.61</v>
      </c>
      <c r="H35" s="40">
        <f t="shared" si="6"/>
        <v>-1275.4100000000001</v>
      </c>
      <c r="I35" s="41">
        <f t="shared" si="6"/>
        <v>-1278.54</v>
      </c>
      <c r="J35" s="61">
        <f t="shared" si="6"/>
        <v>-1165.46</v>
      </c>
      <c r="K35" s="116">
        <f t="shared" si="6"/>
        <v>-1061.3900000000001</v>
      </c>
      <c r="L35" s="41">
        <f t="shared" si="6"/>
        <v>-1104.3900000000001</v>
      </c>
      <c r="M35" s="49">
        <f t="shared" si="6"/>
        <v>-1086.42</v>
      </c>
      <c r="P35" s="47"/>
    </row>
    <row r="36" spans="1:16" x14ac:dyDescent="0.35">
      <c r="A36" s="46" t="s">
        <v>106</v>
      </c>
      <c r="C36" s="40">
        <f t="shared" si="6"/>
        <v>0</v>
      </c>
      <c r="D36" s="116">
        <f t="shared" si="6"/>
        <v>0</v>
      </c>
      <c r="E36" s="41">
        <f t="shared" si="6"/>
        <v>0</v>
      </c>
      <c r="F36" s="41">
        <f t="shared" si="6"/>
        <v>0</v>
      </c>
      <c r="G36" s="105">
        <f t="shared" si="6"/>
        <v>-13.37</v>
      </c>
      <c r="H36" s="40">
        <f t="shared" si="6"/>
        <v>-1010.9</v>
      </c>
      <c r="I36" s="41">
        <f t="shared" si="6"/>
        <v>-1042.83</v>
      </c>
      <c r="J36" s="61">
        <f t="shared" si="6"/>
        <v>-958.64</v>
      </c>
      <c r="K36" s="116">
        <f t="shared" si="6"/>
        <v>-900.35</v>
      </c>
      <c r="L36" s="41">
        <f t="shared" si="6"/>
        <v>-936.82</v>
      </c>
      <c r="M36" s="49">
        <f t="shared" si="6"/>
        <v>-921.58</v>
      </c>
      <c r="P36" s="47"/>
    </row>
    <row r="37" spans="1:16" x14ac:dyDescent="0.35">
      <c r="A37" s="46" t="s">
        <v>107</v>
      </c>
      <c r="C37" s="40">
        <f t="shared" si="6"/>
        <v>0</v>
      </c>
      <c r="D37" s="116">
        <f t="shared" si="6"/>
        <v>0</v>
      </c>
      <c r="E37" s="41">
        <f t="shared" si="6"/>
        <v>0</v>
      </c>
      <c r="F37" s="41">
        <f t="shared" si="6"/>
        <v>0</v>
      </c>
      <c r="G37" s="105">
        <f t="shared" si="6"/>
        <v>-64.5</v>
      </c>
      <c r="H37" s="40">
        <f t="shared" si="6"/>
        <v>-1276.1300000000001</v>
      </c>
      <c r="I37" s="41">
        <f t="shared" si="6"/>
        <v>-1541.85</v>
      </c>
      <c r="J37" s="61">
        <f t="shared" si="6"/>
        <v>-1406.2</v>
      </c>
      <c r="K37" s="116">
        <f t="shared" si="6"/>
        <v>-1189.79</v>
      </c>
      <c r="L37" s="41">
        <f t="shared" si="6"/>
        <v>-1237.99</v>
      </c>
      <c r="M37" s="49">
        <f t="shared" si="6"/>
        <v>-1217.8499999999999</v>
      </c>
      <c r="P37" s="47"/>
    </row>
    <row r="38" spans="1:16" x14ac:dyDescent="0.35">
      <c r="C38" s="98"/>
      <c r="D38" s="141"/>
      <c r="E38" s="31"/>
      <c r="F38" s="31"/>
      <c r="G38" s="31"/>
      <c r="H38" s="28"/>
      <c r="I38" s="31"/>
      <c r="J38" s="11"/>
      <c r="K38" s="17"/>
      <c r="L38" s="17"/>
      <c r="M38" s="11"/>
      <c r="P38" s="47"/>
    </row>
    <row r="39" spans="1:16" ht="15" thickBot="1" x14ac:dyDescent="0.4">
      <c r="A39" s="46" t="s">
        <v>52</v>
      </c>
      <c r="C39" s="101"/>
      <c r="D39" s="252"/>
      <c r="E39" s="31"/>
      <c r="F39" s="31"/>
      <c r="G39" s="31"/>
      <c r="H39" s="28"/>
      <c r="I39" s="31"/>
      <c r="J39" s="11"/>
      <c r="K39" s="17"/>
      <c r="L39" s="17"/>
      <c r="M39" s="11"/>
      <c r="P39" s="47"/>
    </row>
    <row r="40" spans="1:16" x14ac:dyDescent="0.35">
      <c r="A40" s="46" t="s">
        <v>24</v>
      </c>
      <c r="B40" s="302">
        <v>39391.689999999995</v>
      </c>
      <c r="C40" s="41">
        <f t="shared" ref="C40:M43" si="7">B40+C34+B47</f>
        <v>39391.689999999995</v>
      </c>
      <c r="D40" s="41">
        <f t="shared" si="7"/>
        <v>39391.689999999995</v>
      </c>
      <c r="E40" s="41">
        <f t="shared" si="7"/>
        <v>39391.689999999995</v>
      </c>
      <c r="F40" s="41">
        <f t="shared" si="7"/>
        <v>39391.689999999995</v>
      </c>
      <c r="G40" s="105">
        <f t="shared" si="7"/>
        <v>39390.509999999995</v>
      </c>
      <c r="H40" s="40">
        <f t="shared" si="7"/>
        <v>35671.979999999996</v>
      </c>
      <c r="I40" s="41">
        <f t="shared" si="7"/>
        <v>32314.619999999995</v>
      </c>
      <c r="J40" s="61">
        <f t="shared" si="7"/>
        <v>29671.419999999995</v>
      </c>
      <c r="K40" s="116">
        <f t="shared" si="7"/>
        <v>27255.029999999995</v>
      </c>
      <c r="L40" s="41">
        <f t="shared" si="7"/>
        <v>24021.639999999996</v>
      </c>
      <c r="M40" s="49">
        <f t="shared" si="7"/>
        <v>20000.699999999997</v>
      </c>
      <c r="P40" s="47"/>
    </row>
    <row r="41" spans="1:16" x14ac:dyDescent="0.35">
      <c r="A41" s="46" t="s">
        <v>105</v>
      </c>
      <c r="B41" s="307">
        <v>9106.83</v>
      </c>
      <c r="C41" s="41">
        <f>B41+C35+B48</f>
        <v>9106.83</v>
      </c>
      <c r="D41" s="41">
        <f t="shared" si="7"/>
        <v>9106.83</v>
      </c>
      <c r="E41" s="41">
        <f t="shared" si="7"/>
        <v>9106.83</v>
      </c>
      <c r="F41" s="41">
        <f t="shared" si="7"/>
        <v>9106.83</v>
      </c>
      <c r="G41" s="105">
        <f t="shared" si="7"/>
        <v>9083.2199999999993</v>
      </c>
      <c r="H41" s="40">
        <f t="shared" si="7"/>
        <v>7807.8099999999995</v>
      </c>
      <c r="I41" s="41">
        <f t="shared" si="7"/>
        <v>6529.2699999999995</v>
      </c>
      <c r="J41" s="61">
        <f t="shared" si="7"/>
        <v>5363.8099999999995</v>
      </c>
      <c r="K41" s="116">
        <f t="shared" si="7"/>
        <v>4302.4199999999992</v>
      </c>
      <c r="L41" s="41">
        <f t="shared" si="7"/>
        <v>3198.0299999999988</v>
      </c>
      <c r="M41" s="49">
        <f t="shared" si="7"/>
        <v>2111.6099999999988</v>
      </c>
      <c r="P41" s="47"/>
    </row>
    <row r="42" spans="1:16" x14ac:dyDescent="0.35">
      <c r="A42" s="46" t="s">
        <v>106</v>
      </c>
      <c r="B42" s="307">
        <v>11754.939999999999</v>
      </c>
      <c r="C42" s="41">
        <f>B42+C36+B49</f>
        <v>11754.939999999999</v>
      </c>
      <c r="D42" s="41">
        <f t="shared" si="7"/>
        <v>11754.939999999999</v>
      </c>
      <c r="E42" s="41">
        <f t="shared" si="7"/>
        <v>11754.939999999999</v>
      </c>
      <c r="F42" s="41">
        <f t="shared" si="7"/>
        <v>11754.939999999999</v>
      </c>
      <c r="G42" s="105">
        <f t="shared" si="7"/>
        <v>11741.569999999998</v>
      </c>
      <c r="H42" s="40">
        <f t="shared" si="7"/>
        <v>10730.669999999998</v>
      </c>
      <c r="I42" s="41">
        <f t="shared" si="7"/>
        <v>9687.8399999999983</v>
      </c>
      <c r="J42" s="61">
        <f t="shared" si="7"/>
        <v>8729.1999999999989</v>
      </c>
      <c r="K42" s="116">
        <f t="shared" si="7"/>
        <v>7828.8499999999985</v>
      </c>
      <c r="L42" s="41">
        <f t="shared" si="7"/>
        <v>6892.0299999999988</v>
      </c>
      <c r="M42" s="49">
        <f t="shared" si="7"/>
        <v>5970.4499999999989</v>
      </c>
      <c r="P42" s="47"/>
    </row>
    <row r="43" spans="1:16" ht="15" thickBot="1" x14ac:dyDescent="0.4">
      <c r="A43" s="46" t="s">
        <v>107</v>
      </c>
      <c r="B43" s="303">
        <v>14253.19</v>
      </c>
      <c r="C43" s="41">
        <f t="shared" ref="C43:M43" si="8">B43+C37+B50</f>
        <v>14253.19</v>
      </c>
      <c r="D43" s="41">
        <f t="shared" si="7"/>
        <v>14253.19</v>
      </c>
      <c r="E43" s="41">
        <f t="shared" si="7"/>
        <v>14253.19</v>
      </c>
      <c r="F43" s="41">
        <f t="shared" si="8"/>
        <v>14253.19</v>
      </c>
      <c r="G43" s="105">
        <f t="shared" si="8"/>
        <v>14188.69</v>
      </c>
      <c r="H43" s="40">
        <f t="shared" si="8"/>
        <v>12912.560000000001</v>
      </c>
      <c r="I43" s="41">
        <f t="shared" si="8"/>
        <v>11370.710000000001</v>
      </c>
      <c r="J43" s="61">
        <f t="shared" si="8"/>
        <v>9964.51</v>
      </c>
      <c r="K43" s="116">
        <f t="shared" si="8"/>
        <v>8774.7200000000012</v>
      </c>
      <c r="L43" s="41">
        <f t="shared" si="8"/>
        <v>7536.7300000000014</v>
      </c>
      <c r="M43" s="49">
        <f t="shared" si="8"/>
        <v>6318.880000000001</v>
      </c>
      <c r="P43" s="47"/>
    </row>
    <row r="44" spans="1:16" x14ac:dyDescent="0.35">
      <c r="C44" s="98"/>
      <c r="D44" s="141"/>
      <c r="E44" s="31"/>
      <c r="F44" s="31"/>
      <c r="G44" s="31"/>
      <c r="H44" s="28"/>
      <c r="I44" s="31"/>
      <c r="J44" s="11"/>
      <c r="K44" s="17"/>
      <c r="L44" s="17"/>
      <c r="M44" s="11"/>
      <c r="P44" s="47"/>
    </row>
    <row r="45" spans="1:16" x14ac:dyDescent="0.35">
      <c r="A45" s="39" t="s">
        <v>48</v>
      </c>
      <c r="B45" s="39"/>
      <c r="C45" s="101"/>
      <c r="D45" s="252"/>
      <c r="E45" s="342">
        <v>0</v>
      </c>
      <c r="F45" s="342">
        <v>0</v>
      </c>
      <c r="G45" s="342">
        <v>0</v>
      </c>
      <c r="H45" s="343">
        <v>0</v>
      </c>
      <c r="I45" s="342">
        <v>0</v>
      </c>
      <c r="J45" s="344">
        <v>0</v>
      </c>
      <c r="K45" s="342">
        <v>0</v>
      </c>
      <c r="L45" s="342">
        <v>0</v>
      </c>
      <c r="M45" s="91"/>
      <c r="P45" s="47"/>
    </row>
    <row r="46" spans="1:16" x14ac:dyDescent="0.35">
      <c r="A46" s="39" t="s">
        <v>36</v>
      </c>
      <c r="B46" s="39"/>
      <c r="C46" s="98"/>
      <c r="D46" s="141"/>
      <c r="E46" s="31"/>
      <c r="F46" s="31"/>
      <c r="G46" s="31"/>
      <c r="H46" s="28"/>
      <c r="I46" s="31"/>
      <c r="J46" s="11"/>
      <c r="K46" s="17"/>
      <c r="L46" s="17"/>
      <c r="M46" s="11"/>
      <c r="N46" s="71"/>
      <c r="P46" s="47"/>
    </row>
    <row r="47" spans="1:16" x14ac:dyDescent="0.35">
      <c r="A47" s="46" t="s">
        <v>24</v>
      </c>
      <c r="C47" s="315">
        <v>0</v>
      </c>
      <c r="D47" s="116"/>
      <c r="E47" s="41">
        <f>ROUND((C40+C47+D47+E34/2)*E$45,2)</f>
        <v>0</v>
      </c>
      <c r="F47" s="41">
        <f t="shared" ref="F47:L50" si="9">ROUND((E40+E47+F34/2)*F$45,2)</f>
        <v>0</v>
      </c>
      <c r="G47" s="105">
        <f t="shared" si="9"/>
        <v>0</v>
      </c>
      <c r="H47" s="40">
        <f>ROUND((G40+G47+H34/2)*H$45,2)</f>
        <v>0</v>
      </c>
      <c r="I47" s="116">
        <f t="shared" si="9"/>
        <v>0</v>
      </c>
      <c r="J47" s="61">
        <f t="shared" si="9"/>
        <v>0</v>
      </c>
      <c r="K47" s="116">
        <f t="shared" si="9"/>
        <v>0</v>
      </c>
      <c r="L47" s="116">
        <f t="shared" si="9"/>
        <v>0</v>
      </c>
      <c r="M47" s="49"/>
      <c r="P47" s="47">
        <f>-SUM(K47:M47)</f>
        <v>0</v>
      </c>
    </row>
    <row r="48" spans="1:16" x14ac:dyDescent="0.35">
      <c r="A48" s="46" t="s">
        <v>105</v>
      </c>
      <c r="C48" s="377">
        <v>0</v>
      </c>
      <c r="D48" s="253"/>
      <c r="E48" s="41">
        <f t="shared" ref="E48:E50" si="10">ROUND((C41+C48+D48+E35/2)*E$45,2)</f>
        <v>0</v>
      </c>
      <c r="F48" s="41">
        <f t="shared" si="9"/>
        <v>0</v>
      </c>
      <c r="G48" s="105">
        <f t="shared" si="9"/>
        <v>0</v>
      </c>
      <c r="H48" s="40">
        <f>ROUND((G41+G48+H35/2)*H$45,2)</f>
        <v>0</v>
      </c>
      <c r="I48" s="116">
        <f t="shared" si="9"/>
        <v>0</v>
      </c>
      <c r="J48" s="61">
        <f t="shared" si="9"/>
        <v>0</v>
      </c>
      <c r="K48" s="116">
        <f t="shared" si="9"/>
        <v>0</v>
      </c>
      <c r="L48" s="116">
        <f t="shared" si="9"/>
        <v>0</v>
      </c>
      <c r="M48" s="49"/>
      <c r="P48" s="47">
        <f t="shared" ref="P48:P50" si="11">-SUM(K48:M48)</f>
        <v>0</v>
      </c>
    </row>
    <row r="49" spans="1:16" x14ac:dyDescent="0.35">
      <c r="A49" s="46" t="s">
        <v>106</v>
      </c>
      <c r="C49" s="377">
        <v>0</v>
      </c>
      <c r="D49" s="253"/>
      <c r="E49" s="41">
        <f t="shared" si="10"/>
        <v>0</v>
      </c>
      <c r="F49" s="41">
        <f t="shared" si="9"/>
        <v>0</v>
      </c>
      <c r="G49" s="105">
        <f t="shared" si="9"/>
        <v>0</v>
      </c>
      <c r="H49" s="40">
        <f>ROUND((G42+G49+H36/2)*H$45,2)</f>
        <v>0</v>
      </c>
      <c r="I49" s="116">
        <f t="shared" si="9"/>
        <v>0</v>
      </c>
      <c r="J49" s="61">
        <f t="shared" si="9"/>
        <v>0</v>
      </c>
      <c r="K49" s="116">
        <f t="shared" si="9"/>
        <v>0</v>
      </c>
      <c r="L49" s="116">
        <f t="shared" si="9"/>
        <v>0</v>
      </c>
      <c r="M49" s="49"/>
      <c r="P49" s="47">
        <f t="shared" si="11"/>
        <v>0</v>
      </c>
    </row>
    <row r="50" spans="1:16" ht="15" thickBot="1" x14ac:dyDescent="0.4">
      <c r="A50" s="46" t="s">
        <v>107</v>
      </c>
      <c r="C50" s="376">
        <v>0</v>
      </c>
      <c r="D50" s="253"/>
      <c r="E50" s="41">
        <f t="shared" si="10"/>
        <v>0</v>
      </c>
      <c r="F50" s="41">
        <f t="shared" si="9"/>
        <v>0</v>
      </c>
      <c r="G50" s="105">
        <f t="shared" si="9"/>
        <v>0</v>
      </c>
      <c r="H50" s="40">
        <f>ROUND((G43+G50+H37/2)*H$45,2)</f>
        <v>0</v>
      </c>
      <c r="I50" s="116">
        <f t="shared" si="9"/>
        <v>0</v>
      </c>
      <c r="J50" s="61">
        <f t="shared" si="9"/>
        <v>0</v>
      </c>
      <c r="K50" s="116">
        <f t="shared" si="9"/>
        <v>0</v>
      </c>
      <c r="L50" s="116">
        <f t="shared" si="9"/>
        <v>0</v>
      </c>
      <c r="M50" s="49"/>
      <c r="P50" s="47">
        <f t="shared" si="11"/>
        <v>0</v>
      </c>
    </row>
    <row r="51" spans="1:16" ht="15.5" thickTop="1" thickBot="1" x14ac:dyDescent="0.4">
      <c r="A51" s="54" t="s">
        <v>22</v>
      </c>
      <c r="B51" s="54"/>
      <c r="C51" s="111">
        <v>0</v>
      </c>
      <c r="D51" s="254"/>
      <c r="E51" s="32">
        <f t="shared" ref="E51:M51" si="12">SUM(E47:E50)+SUM(E40:E43)-E54</f>
        <v>0</v>
      </c>
      <c r="F51" s="32">
        <f t="shared" si="12"/>
        <v>0</v>
      </c>
      <c r="G51" s="50">
        <f t="shared" si="12"/>
        <v>0</v>
      </c>
      <c r="H51" s="117">
        <f t="shared" si="12"/>
        <v>0</v>
      </c>
      <c r="I51" s="32">
        <f t="shared" si="12"/>
        <v>0</v>
      </c>
      <c r="J51" s="62">
        <f t="shared" si="12"/>
        <v>0</v>
      </c>
      <c r="K51" s="153">
        <f t="shared" si="12"/>
        <v>0</v>
      </c>
      <c r="L51" s="32">
        <f t="shared" si="12"/>
        <v>0</v>
      </c>
      <c r="M51" s="95">
        <f t="shared" si="12"/>
        <v>0</v>
      </c>
      <c r="P51" s="47"/>
    </row>
    <row r="52" spans="1:16" ht="15.5" thickTop="1" thickBot="1" x14ac:dyDescent="0.4">
      <c r="A52" s="54" t="s">
        <v>23</v>
      </c>
      <c r="B52" s="54"/>
      <c r="C52" s="104">
        <v>0</v>
      </c>
      <c r="D52" s="255"/>
      <c r="E52" s="32">
        <f>SUM(E47:E50)-E31</f>
        <v>0</v>
      </c>
      <c r="F52" s="32">
        <f t="shared" ref="F52:M52" si="13">SUM(F47:F50)-F31</f>
        <v>0</v>
      </c>
      <c r="G52" s="50">
        <f t="shared" si="13"/>
        <v>0</v>
      </c>
      <c r="H52" s="51">
        <f t="shared" si="13"/>
        <v>0</v>
      </c>
      <c r="I52" s="32">
        <f t="shared" si="13"/>
        <v>0</v>
      </c>
      <c r="J52" s="62">
        <f t="shared" si="13"/>
        <v>0</v>
      </c>
      <c r="K52" s="153">
        <f t="shared" si="13"/>
        <v>0</v>
      </c>
      <c r="L52" s="32">
        <f t="shared" si="13"/>
        <v>0</v>
      </c>
      <c r="M52" s="95">
        <f t="shared" si="13"/>
        <v>0</v>
      </c>
      <c r="P52" s="47"/>
    </row>
    <row r="53" spans="1:16" ht="15.5" thickTop="1" thickBot="1" x14ac:dyDescent="0.4">
      <c r="C53" s="98"/>
      <c r="D53" s="141"/>
      <c r="E53" s="17"/>
      <c r="F53" s="17"/>
      <c r="G53" s="17"/>
      <c r="H53" s="10"/>
      <c r="I53" s="17"/>
      <c r="J53" s="11"/>
      <c r="K53" s="17"/>
      <c r="L53" s="17"/>
      <c r="M53" s="11"/>
      <c r="P53" s="47"/>
    </row>
    <row r="54" spans="1:16" ht="15" thickBot="1" x14ac:dyDescent="0.4">
      <c r="A54" s="46" t="s">
        <v>35</v>
      </c>
      <c r="B54" s="113">
        <f>SUM(B40:B43)</f>
        <v>74506.649999999994</v>
      </c>
      <c r="C54" s="40">
        <f>(SUM(C14:C17)-SUM(C26:C29))+SUM(C47:C50)+B54</f>
        <v>74506.649999999994</v>
      </c>
      <c r="D54" s="116"/>
      <c r="E54" s="41">
        <f>(SUM(E14:E17)-SUM(E26:E29))+SUM(E47:E50)+C54</f>
        <v>74506.649999999994</v>
      </c>
      <c r="F54" s="41">
        <f t="shared" ref="F54:M54" si="14">(SUM(F14:F17)-SUM(F26:F29))+SUM(F47:F50)+E54</f>
        <v>74506.649999999994</v>
      </c>
      <c r="G54" s="105">
        <f t="shared" si="14"/>
        <v>74403.989999999991</v>
      </c>
      <c r="H54" s="40">
        <f t="shared" si="14"/>
        <v>67123.01999999999</v>
      </c>
      <c r="I54" s="41">
        <f t="shared" si="14"/>
        <v>59902.439999999988</v>
      </c>
      <c r="J54" s="61">
        <f t="shared" si="14"/>
        <v>53728.939999999988</v>
      </c>
      <c r="K54" s="116">
        <f t="shared" si="14"/>
        <v>48161.01999999999</v>
      </c>
      <c r="L54" s="41">
        <f t="shared" si="14"/>
        <v>41648.429999999993</v>
      </c>
      <c r="M54" s="61">
        <f t="shared" si="14"/>
        <v>34401.639999999992</v>
      </c>
    </row>
    <row r="55" spans="1:16" x14ac:dyDescent="0.35">
      <c r="A55" s="46" t="s">
        <v>12</v>
      </c>
      <c r="C55" s="114"/>
      <c r="D55" s="17"/>
      <c r="E55" s="56"/>
      <c r="F55" s="56"/>
      <c r="G55" s="56"/>
      <c r="H55" s="12"/>
      <c r="I55" s="56"/>
      <c r="J55" s="11"/>
      <c r="K55" s="17"/>
      <c r="L55" s="17"/>
      <c r="M55" s="11"/>
    </row>
    <row r="56" spans="1:16" ht="15" thickBot="1" x14ac:dyDescent="0.4">
      <c r="B56" s="17"/>
      <c r="C56" s="43"/>
      <c r="D56" s="44"/>
      <c r="E56" s="44"/>
      <c r="F56" s="44"/>
      <c r="G56" s="44"/>
      <c r="H56" s="43"/>
      <c r="I56" s="44"/>
      <c r="J56" s="45"/>
      <c r="K56" s="44"/>
      <c r="L56" s="44"/>
      <c r="M56" s="45"/>
    </row>
    <row r="58" spans="1:16" x14ac:dyDescent="0.35">
      <c r="A58" s="69" t="s">
        <v>11</v>
      </c>
      <c r="B58" s="69"/>
      <c r="C58" s="69"/>
      <c r="D58" s="69"/>
    </row>
    <row r="59" spans="1:16" x14ac:dyDescent="0.35">
      <c r="A59" s="390" t="s">
        <v>320</v>
      </c>
      <c r="B59" s="390"/>
      <c r="C59" s="390"/>
      <c r="D59" s="390"/>
      <c r="E59" s="390"/>
      <c r="F59" s="390"/>
      <c r="G59" s="390"/>
      <c r="H59" s="390"/>
      <c r="I59" s="390"/>
      <c r="J59" s="390"/>
      <c r="K59" s="337"/>
      <c r="L59" s="337"/>
      <c r="M59" s="337"/>
    </row>
    <row r="60" spans="1:16" ht="33.75" customHeight="1" x14ac:dyDescent="0.35">
      <c r="A60" s="390" t="s">
        <v>318</v>
      </c>
      <c r="B60" s="390"/>
      <c r="C60" s="390"/>
      <c r="D60" s="390"/>
      <c r="E60" s="390"/>
      <c r="F60" s="390"/>
      <c r="G60" s="390"/>
      <c r="H60" s="390"/>
      <c r="I60" s="390"/>
      <c r="J60" s="390"/>
      <c r="K60" s="337"/>
      <c r="L60" s="337"/>
      <c r="M60" s="337"/>
    </row>
    <row r="61" spans="1:16" ht="55.9" customHeight="1" x14ac:dyDescent="0.35">
      <c r="A61" s="390" t="s">
        <v>250</v>
      </c>
      <c r="B61" s="390"/>
      <c r="C61" s="390"/>
      <c r="D61" s="390"/>
      <c r="E61" s="390"/>
      <c r="F61" s="390"/>
      <c r="G61" s="390"/>
      <c r="H61" s="390"/>
      <c r="I61" s="390"/>
      <c r="J61" s="390"/>
      <c r="K61" s="337"/>
      <c r="L61" s="337"/>
      <c r="M61" s="337"/>
    </row>
    <row r="62" spans="1:16" x14ac:dyDescent="0.35">
      <c r="A62" s="390" t="s">
        <v>255</v>
      </c>
      <c r="B62" s="390"/>
      <c r="C62" s="390"/>
      <c r="D62" s="390"/>
      <c r="E62" s="390"/>
      <c r="F62" s="390"/>
      <c r="G62" s="390"/>
      <c r="H62" s="390"/>
      <c r="I62" s="390"/>
      <c r="J62" s="390"/>
    </row>
    <row r="63" spans="1:16" x14ac:dyDescent="0.35">
      <c r="A63" s="63" t="s">
        <v>257</v>
      </c>
      <c r="B63" s="63"/>
      <c r="C63" s="349"/>
      <c r="D63" s="3"/>
      <c r="J63" s="4"/>
    </row>
    <row r="64" spans="1:16" x14ac:dyDescent="0.35">
      <c r="A64" s="3" t="s">
        <v>50</v>
      </c>
      <c r="B64" s="3"/>
      <c r="C64" s="3"/>
      <c r="D64" s="3"/>
      <c r="J64" s="4"/>
    </row>
    <row r="65" spans="1:14" x14ac:dyDescent="0.35">
      <c r="A65" s="3"/>
    </row>
    <row r="66" spans="1:14" ht="36" customHeight="1" x14ac:dyDescent="0.35">
      <c r="A66" s="400"/>
      <c r="B66" s="400"/>
      <c r="C66" s="400"/>
      <c r="D66" s="400"/>
      <c r="E66" s="400"/>
      <c r="F66" s="400"/>
      <c r="G66" s="400"/>
    </row>
    <row r="74" spans="1:14" x14ac:dyDescent="0.35">
      <c r="N74" s="8"/>
    </row>
  </sheetData>
  <mergeCells count="8">
    <mergeCell ref="A66:G66"/>
    <mergeCell ref="A62:J62"/>
    <mergeCell ref="E10:G10"/>
    <mergeCell ref="H10:J10"/>
    <mergeCell ref="K10:M10"/>
    <mergeCell ref="A59:J59"/>
    <mergeCell ref="A60:J60"/>
    <mergeCell ref="A61:J61"/>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C21" sqref="C21"/>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Missouri West, Inc. - DSIM Rider Update Filed 12/01/2024</v>
      </c>
    </row>
    <row r="2" spans="1:23" x14ac:dyDescent="0.35">
      <c r="A2" s="9" t="str">
        <f>+SUBSTITUTE('PPC Cycle 3'!A2,"Cycle 3","Cycle 2")</f>
        <v>Projections for Cycle 2 January 2025 - December 2025 DSIM</v>
      </c>
    </row>
    <row r="3" spans="1:23" s="46" customFormat="1" x14ac:dyDescent="0.35">
      <c r="A3" s="9"/>
    </row>
    <row r="4" spans="1:23" ht="40.5" customHeight="1" x14ac:dyDescent="0.35">
      <c r="B4" s="389" t="s">
        <v>63</v>
      </c>
      <c r="C4" s="389"/>
    </row>
    <row r="5" spans="1:23" ht="29" x14ac:dyDescent="0.35">
      <c r="B5" s="142" t="s">
        <v>64</v>
      </c>
      <c r="C5" s="6" t="s">
        <v>29</v>
      </c>
    </row>
    <row r="6" spans="1:23" x14ac:dyDescent="0.35">
      <c r="A6" s="20" t="s">
        <v>24</v>
      </c>
      <c r="B6" s="23">
        <f>SUM(0)</f>
        <v>0</v>
      </c>
      <c r="C6" s="85">
        <f>SUM(0)</f>
        <v>0</v>
      </c>
    </row>
    <row r="7" spans="1:23" x14ac:dyDescent="0.35">
      <c r="A7" s="30" t="s">
        <v>25</v>
      </c>
      <c r="B7" s="23">
        <f>+B13</f>
        <v>0</v>
      </c>
      <c r="C7" s="85">
        <f>+C13</f>
        <v>0</v>
      </c>
    </row>
    <row r="8" spans="1:23" x14ac:dyDescent="0.35">
      <c r="A8" s="20" t="s">
        <v>5</v>
      </c>
      <c r="B8" s="24">
        <f>SUM(B6:B7)</f>
        <v>0</v>
      </c>
      <c r="C8" s="22">
        <f>SUM(C6:C7)</f>
        <v>0</v>
      </c>
    </row>
    <row r="9" spans="1:23" s="46" customFormat="1" x14ac:dyDescent="0.35">
      <c r="A9" s="20"/>
    </row>
    <row r="10" spans="1:23" s="46" customFormat="1" x14ac:dyDescent="0.35">
      <c r="A10" s="20" t="s">
        <v>105</v>
      </c>
      <c r="B10" s="23">
        <f>SUM(0)</f>
        <v>0</v>
      </c>
      <c r="C10" s="85">
        <f>SUM(0)</f>
        <v>0</v>
      </c>
    </row>
    <row r="11" spans="1:23" s="46" customFormat="1" x14ac:dyDescent="0.35">
      <c r="A11" s="20" t="s">
        <v>106</v>
      </c>
      <c r="B11" s="23">
        <f t="shared" ref="B11:C12" si="0">SUM(0)</f>
        <v>0</v>
      </c>
      <c r="C11" s="85">
        <f t="shared" si="0"/>
        <v>0</v>
      </c>
    </row>
    <row r="12" spans="1:23" s="46" customFormat="1" x14ac:dyDescent="0.35">
      <c r="A12" s="20" t="s">
        <v>107</v>
      </c>
      <c r="B12" s="23">
        <f t="shared" si="0"/>
        <v>0</v>
      </c>
      <c r="C12" s="85">
        <f t="shared" si="0"/>
        <v>0</v>
      </c>
    </row>
    <row r="13" spans="1:23" x14ac:dyDescent="0.35">
      <c r="A13" s="30" t="s">
        <v>109</v>
      </c>
      <c r="B13" s="24">
        <f>SUM(B10:B12)</f>
        <v>0</v>
      </c>
      <c r="C13" s="22">
        <f>SUM(C10:C12)</f>
        <v>0</v>
      </c>
    </row>
    <row r="14" spans="1:23" x14ac:dyDescent="0.35">
      <c r="A14" s="46"/>
      <c r="B14" s="46"/>
      <c r="C14" s="46"/>
    </row>
    <row r="15" spans="1:23" x14ac:dyDescent="0.35">
      <c r="A15" s="69" t="s">
        <v>30</v>
      </c>
      <c r="B15" s="20"/>
      <c r="C15" s="21"/>
      <c r="N15" s="1"/>
      <c r="O15" s="1"/>
      <c r="P15" s="1"/>
      <c r="Q15" s="1"/>
      <c r="R15" s="1"/>
      <c r="S15" s="1"/>
      <c r="T15" s="1"/>
      <c r="U15" s="1"/>
      <c r="V15" s="1"/>
      <c r="W15" s="1"/>
    </row>
    <row r="16" spans="1:23" s="39" customFormat="1" ht="34.5" customHeight="1" x14ac:dyDescent="0.35">
      <c r="A16" s="400" t="s">
        <v>219</v>
      </c>
      <c r="B16" s="400"/>
      <c r="C16" s="400"/>
      <c r="D16" s="400"/>
      <c r="E16" s="400"/>
      <c r="F16" s="400"/>
      <c r="G16" s="400"/>
      <c r="H16" s="400"/>
      <c r="I16" s="400"/>
      <c r="J16" s="400"/>
      <c r="K16" s="400"/>
      <c r="L16" s="400"/>
      <c r="M16" s="400"/>
    </row>
    <row r="17" spans="1:13" s="39" customFormat="1" x14ac:dyDescent="0.35">
      <c r="A17" s="401" t="s">
        <v>171</v>
      </c>
      <c r="B17" s="401"/>
      <c r="C17" s="401"/>
      <c r="D17" s="401"/>
      <c r="E17" s="401"/>
      <c r="F17" s="401"/>
      <c r="G17" s="401"/>
      <c r="H17" s="401"/>
      <c r="I17" s="401"/>
      <c r="J17" s="401"/>
      <c r="K17" s="401"/>
      <c r="L17" s="401"/>
      <c r="M17" s="401"/>
    </row>
    <row r="29" spans="1:13" x14ac:dyDescent="0.35">
      <c r="E29" s="244"/>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9" ma:contentTypeDescription="Create a new document." ma:contentTypeScope="" ma:versionID="2b9da5bd67b9b7389bdefcad276919ed">
  <xsd:schema xmlns:xsd="http://www.w3.org/2001/XMLSchema" xmlns:xs="http://www.w3.org/2001/XMLSchema" xmlns:p="http://schemas.microsoft.com/office/2006/metadata/properties" xmlns:ns1="http://schemas.microsoft.com/sharepoint/v3" xmlns:ns2="ac490600-4b8a-4089-8db0-d3461bbed9a9" targetNamespace="http://schemas.microsoft.com/office/2006/metadata/properties" ma:root="true" ma:fieldsID="a9c2dfec1e50c60fa3191e8fa64e0b09" ns1:_="" ns2:_="">
    <xsd:import namespace="http://schemas.microsoft.com/sharepoint/v3"/>
    <xsd:import namespace="ac490600-4b8a-4089-8db0-d3461bbed9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44E70-9D65-484B-89A5-1EEBFA911131}"/>
</file>

<file path=customXml/itemProps2.xml><?xml version="1.0" encoding="utf-8"?>
<ds:datastoreItem xmlns:ds="http://schemas.openxmlformats.org/officeDocument/2006/customXml" ds:itemID="{BBE680F6-EEBC-41A4-AEB5-0B773B5EACA2}">
  <ds:schemaRefs>
    <ds:schemaRef ds:uri="http://purl.org/dc/term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37C40F9E-044B-4F26-A90E-5C1316E52537"/>
    <ds:schemaRef ds:uri="http://www.w3.org/XML/1998/namespace"/>
    <ds:schemaRef ds:uri="http://purl.org/dc/elements/1.1/"/>
    <ds:schemaRef ds:uri="c85253b9-0a55-49a1-98ad-b5b6252d7079"/>
    <ds:schemaRef ds:uri="42a0a5c2-94d1-43c3-962b-eaf68dcf55f1"/>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Metadata/LabelInfo.xml><?xml version="1.0" encoding="utf-8"?>
<clbl:labelList xmlns:clbl="http://schemas.microsoft.com/office/2020/mipLabelMetadata">
  <clbl:label id="{c4ea03cb-2792-4bbc-b221-0721aa9d3290}" enabled="1" method="Privileged" siteId="{9ef58ab0-3510-4d99-8d3e-3c9e02ebab7f}"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Index Table of Contents</vt:lpstr>
      <vt:lpstr>Tariff Tables</vt:lpstr>
      <vt:lpstr>DSIM Cycle Tables</vt:lpstr>
      <vt:lpstr>PPC Cycle 3</vt:lpstr>
      <vt:lpstr>PPC Cycle 4</vt:lpstr>
      <vt:lpstr>PCR Cycle 2</vt:lpstr>
      <vt:lpstr>PCR Cycle 3</vt:lpstr>
      <vt:lpstr>PCR Cycle 4</vt:lpstr>
      <vt:lpstr>PTD Cycle 2</vt:lpstr>
      <vt:lpstr>PTD Cycle 3</vt:lpstr>
      <vt:lpstr>PTD Cycle 4</vt:lpstr>
      <vt:lpstr>TDR Cycle 2</vt:lpstr>
      <vt:lpstr>TDR Cycle 3</vt:lpstr>
      <vt:lpstr>EO Cycle 2</vt:lpstr>
      <vt:lpstr>EO Cycle 3</vt:lpstr>
      <vt:lpstr>EO Cycle 4</vt:lpstr>
      <vt:lpstr>EOR Cycle 2</vt:lpstr>
      <vt:lpstr>EOR Cycle 3</vt:lpstr>
      <vt:lpstr>OA Cycle 2</vt:lpstr>
      <vt:lpstr>OA Cycle 3</vt:lpstr>
      <vt:lpstr>OAR Cycle 2</vt:lpstr>
      <vt:lpstr>OAR Cycle 3</vt:lpstr>
      <vt:lpstr>'PCR Cycle 2'!Print_Area</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Shelley Jordan</cp:lastModifiedBy>
  <cp:lastPrinted>2019-05-23T21:26:27Z</cp:lastPrinted>
  <dcterms:created xsi:type="dcterms:W3CDTF">2013-08-12T19:20:10Z</dcterms:created>
  <dcterms:modified xsi:type="dcterms:W3CDTF">2024-12-02T21:51:48Z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ies>
</file>