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ibertyutil-my.sharepoint.com/personal/bprier_libertyutilities_com/Documents/Desktop/"/>
    </mc:Choice>
  </mc:AlternateContent>
  <xr:revisionPtr revIDLastSave="279" documentId="8_{62CCAAAD-812E-417E-A9A2-56C59EDEFE20}" xr6:coauthVersionLast="47" xr6:coauthVersionMax="47" xr10:uidLastSave="{8A21D87D-50D8-4A64-9912-056660897878}"/>
  <bookViews>
    <workbookView xWindow="-28920" yWindow="-120" windowWidth="29040" windowHeight="15840" tabRatio="853" firstSheet="2" activeTab="5" xr2:uid="{00000000-000D-0000-FFFF-FFFF00000000}"/>
  </bookViews>
  <sheets>
    <sheet name="Income Statement" sheetId="24" r:id="rId1"/>
    <sheet name="Revenues - Current Rates" sheetId="25" r:id="rId2"/>
    <sheet name="Rate Design" sheetId="26" r:id="rId3"/>
    <sheet name="Revenues - Proposed Rates" sheetId="27" r:id="rId4"/>
    <sheet name="Bill Comparison" sheetId="28" r:id="rId5"/>
    <sheet name="Income Statement-Other S" sheetId="14" r:id="rId6"/>
    <sheet name="Revenues - Current-Other S" sheetId="15" r:id="rId7"/>
    <sheet name="Rate Design-Other S" sheetId="16" r:id="rId8"/>
    <sheet name="Revenues - Proposed-Other S" sheetId="17" r:id="rId9"/>
    <sheet name="Bill Comparison-Other S" sheetId="18" r:id="rId10"/>
  </sheets>
  <definedNames>
    <definedName name="_xlnm._FilterDatabase" localSheetId="1" hidden="1">'Revenues - Current Rates'!$A$116:$K$220</definedName>
    <definedName name="_xlnm.Print_Area" localSheetId="3">'Revenues - Proposed Rates'!$A$1:$K$45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7" l="1"/>
  <c r="E10" i="17"/>
  <c r="E11" i="17"/>
  <c r="E12" i="17"/>
  <c r="E13" i="17"/>
  <c r="E14" i="17"/>
  <c r="E15" i="17"/>
  <c r="E16" i="17"/>
  <c r="E17" i="17"/>
  <c r="E18" i="17"/>
  <c r="E19" i="17"/>
  <c r="E20" i="17"/>
  <c r="E21" i="17"/>
  <c r="E8" i="17"/>
  <c r="G27" i="16"/>
  <c r="G26" i="16"/>
  <c r="G25" i="16"/>
  <c r="G24" i="16"/>
  <c r="G23" i="16"/>
  <c r="G22" i="16"/>
  <c r="G21" i="16"/>
  <c r="G15" i="16"/>
  <c r="G14" i="16"/>
  <c r="G36" i="16"/>
  <c r="G52" i="16"/>
  <c r="G51" i="16"/>
  <c r="G50" i="16"/>
  <c r="G49" i="16"/>
  <c r="G47" i="16"/>
  <c r="C48" i="16"/>
  <c r="G48" i="16" s="1"/>
  <c r="C46" i="16"/>
  <c r="G46" i="16" s="1"/>
  <c r="D11" i="14"/>
  <c r="C130" i="26" l="1"/>
  <c r="G34" i="28" l="1"/>
  <c r="C34" i="28"/>
  <c r="G33" i="28"/>
  <c r="G35" i="28" s="1"/>
  <c r="C33" i="28"/>
  <c r="K29" i="28"/>
  <c r="C29" i="28"/>
  <c r="K28" i="28"/>
  <c r="K30" i="28" s="1"/>
  <c r="G28" i="28"/>
  <c r="G30" i="28" s="1"/>
  <c r="C28" i="28"/>
  <c r="C30" i="28" s="1"/>
  <c r="K24" i="28"/>
  <c r="G24" i="28"/>
  <c r="C24" i="28"/>
  <c r="K23" i="28"/>
  <c r="G23" i="28"/>
  <c r="G25" i="28" s="1"/>
  <c r="C23" i="28"/>
  <c r="K19" i="28"/>
  <c r="G19" i="28"/>
  <c r="C19" i="28"/>
  <c r="K18" i="28"/>
  <c r="K20" i="28" s="1"/>
  <c r="G18" i="28"/>
  <c r="C18" i="28"/>
  <c r="K14" i="28"/>
  <c r="G14" i="28"/>
  <c r="C14" i="28"/>
  <c r="K13" i="28"/>
  <c r="G13" i="28"/>
  <c r="C13" i="28"/>
  <c r="A1" i="28"/>
  <c r="G24" i="27"/>
  <c r="A17" i="27"/>
  <c r="A16" i="27"/>
  <c r="A15" i="27"/>
  <c r="A14" i="27"/>
  <c r="A13" i="27"/>
  <c r="A12" i="27"/>
  <c r="A11" i="27"/>
  <c r="A10" i="27"/>
  <c r="A9" i="27"/>
  <c r="A8" i="27"/>
  <c r="A1" i="27"/>
  <c r="G25" i="27"/>
  <c r="C124" i="26"/>
  <c r="G124" i="26" s="1"/>
  <c r="C123" i="26"/>
  <c r="C16" i="27" s="1"/>
  <c r="G16" i="27" s="1"/>
  <c r="C122" i="26"/>
  <c r="C15" i="27" s="1"/>
  <c r="G15" i="27" s="1"/>
  <c r="C121" i="26"/>
  <c r="C14" i="27" s="1"/>
  <c r="G14" i="27" s="1"/>
  <c r="C120" i="26"/>
  <c r="C13" i="27" s="1"/>
  <c r="G13" i="27" s="1"/>
  <c r="C119" i="26"/>
  <c r="C12" i="27" s="1"/>
  <c r="G12" i="27" s="1"/>
  <c r="C118" i="26"/>
  <c r="G118" i="26" s="1"/>
  <c r="C115" i="26"/>
  <c r="G115" i="26" s="1"/>
  <c r="G110" i="26"/>
  <c r="C110" i="26"/>
  <c r="A110" i="26"/>
  <c r="G109" i="26"/>
  <c r="C109" i="26"/>
  <c r="A109" i="26"/>
  <c r="G108" i="26"/>
  <c r="C108" i="26"/>
  <c r="A108" i="26"/>
  <c r="G107" i="26"/>
  <c r="C107" i="26"/>
  <c r="A107" i="26"/>
  <c r="G106" i="26"/>
  <c r="C106" i="26"/>
  <c r="A106" i="26"/>
  <c r="G105" i="26"/>
  <c r="C105" i="26"/>
  <c r="A105" i="26"/>
  <c r="G104" i="26"/>
  <c r="C104" i="26"/>
  <c r="A104" i="26"/>
  <c r="G103" i="26"/>
  <c r="C103" i="26"/>
  <c r="A103" i="26"/>
  <c r="G102" i="26"/>
  <c r="C102" i="26"/>
  <c r="A102" i="26"/>
  <c r="G101" i="26"/>
  <c r="C101" i="26"/>
  <c r="A101" i="26"/>
  <c r="G100" i="26"/>
  <c r="C100" i="26"/>
  <c r="A100" i="26"/>
  <c r="G99" i="26"/>
  <c r="C99" i="26"/>
  <c r="A99" i="26"/>
  <c r="G98" i="26"/>
  <c r="C98" i="26"/>
  <c r="A98" i="26"/>
  <c r="G97" i="26"/>
  <c r="C97" i="26"/>
  <c r="A97" i="26"/>
  <c r="G96" i="26"/>
  <c r="C96" i="26"/>
  <c r="A96" i="26"/>
  <c r="G95" i="26"/>
  <c r="C95" i="26"/>
  <c r="A95" i="26"/>
  <c r="G94" i="26"/>
  <c r="C94" i="26"/>
  <c r="A94" i="26"/>
  <c r="G93" i="26"/>
  <c r="C93" i="26"/>
  <c r="A93" i="26"/>
  <c r="G92" i="26"/>
  <c r="C92" i="26"/>
  <c r="A92" i="26"/>
  <c r="G91" i="26"/>
  <c r="C91" i="26"/>
  <c r="A91" i="26"/>
  <c r="G90" i="26"/>
  <c r="C90" i="26"/>
  <c r="A90" i="26"/>
  <c r="G89" i="26"/>
  <c r="C89" i="26"/>
  <c r="A89" i="26"/>
  <c r="G88" i="26"/>
  <c r="C88" i="26"/>
  <c r="A88" i="26"/>
  <c r="G87" i="26"/>
  <c r="C87" i="26"/>
  <c r="A87" i="26"/>
  <c r="G86" i="26"/>
  <c r="C86" i="26"/>
  <c r="A86" i="26"/>
  <c r="G85" i="26"/>
  <c r="C85" i="26"/>
  <c r="A85" i="26"/>
  <c r="G84" i="26"/>
  <c r="C84" i="26"/>
  <c r="A84" i="26"/>
  <c r="G83" i="26"/>
  <c r="C83" i="26"/>
  <c r="A83" i="26"/>
  <c r="G82" i="26"/>
  <c r="C82" i="26"/>
  <c r="A82" i="26"/>
  <c r="G81" i="26"/>
  <c r="C81" i="26"/>
  <c r="A81" i="26"/>
  <c r="G80" i="26"/>
  <c r="C80" i="26"/>
  <c r="A80" i="26"/>
  <c r="G79" i="26"/>
  <c r="C79" i="26"/>
  <c r="A79" i="26"/>
  <c r="G78" i="26"/>
  <c r="C78" i="26"/>
  <c r="A78" i="26"/>
  <c r="G77" i="26"/>
  <c r="C77" i="26"/>
  <c r="A77" i="26"/>
  <c r="G76" i="26"/>
  <c r="C76" i="26"/>
  <c r="A76" i="26"/>
  <c r="G75" i="26"/>
  <c r="C75" i="26"/>
  <c r="A75" i="26"/>
  <c r="G74" i="26"/>
  <c r="C74" i="26"/>
  <c r="A74" i="26"/>
  <c r="G73" i="26"/>
  <c r="C73" i="26"/>
  <c r="A73" i="26"/>
  <c r="G72" i="26"/>
  <c r="C72" i="26"/>
  <c r="A72" i="26"/>
  <c r="G71" i="26"/>
  <c r="C71" i="26"/>
  <c r="A71" i="26"/>
  <c r="G70" i="26"/>
  <c r="C70" i="26"/>
  <c r="A70" i="26"/>
  <c r="G69" i="26"/>
  <c r="C69" i="26"/>
  <c r="A69" i="26"/>
  <c r="G68" i="26"/>
  <c r="C68" i="26"/>
  <c r="A68" i="26"/>
  <c r="G67" i="26"/>
  <c r="C67" i="26"/>
  <c r="A67" i="26"/>
  <c r="G66" i="26"/>
  <c r="C66" i="26"/>
  <c r="A66" i="26"/>
  <c r="G65" i="26"/>
  <c r="C65" i="26"/>
  <c r="A65" i="26"/>
  <c r="G64" i="26"/>
  <c r="C64" i="26"/>
  <c r="A64" i="26"/>
  <c r="G63" i="26"/>
  <c r="C63" i="26"/>
  <c r="A63" i="26"/>
  <c r="G62" i="26"/>
  <c r="C62" i="26"/>
  <c r="A62" i="26"/>
  <c r="G61" i="26"/>
  <c r="C61" i="26"/>
  <c r="A61" i="26"/>
  <c r="G60" i="26"/>
  <c r="C60" i="26"/>
  <c r="A60" i="26"/>
  <c r="G59" i="26"/>
  <c r="C59" i="26"/>
  <c r="A59" i="26"/>
  <c r="G58" i="26"/>
  <c r="C58" i="26"/>
  <c r="A58" i="26"/>
  <c r="G57" i="26"/>
  <c r="C57" i="26"/>
  <c r="A57" i="26"/>
  <c r="G56" i="26"/>
  <c r="C56" i="26"/>
  <c r="A56" i="26"/>
  <c r="G55" i="26"/>
  <c r="C55" i="26"/>
  <c r="A55" i="26"/>
  <c r="G54" i="26"/>
  <c r="C54" i="26"/>
  <c r="A54" i="26"/>
  <c r="G53" i="26"/>
  <c r="C53" i="26"/>
  <c r="A53" i="26"/>
  <c r="G52" i="26"/>
  <c r="C52" i="26"/>
  <c r="A52" i="26"/>
  <c r="G51" i="26"/>
  <c r="C51" i="26"/>
  <c r="A51" i="26"/>
  <c r="G50" i="26"/>
  <c r="C50" i="26"/>
  <c r="A50" i="26"/>
  <c r="G49" i="26"/>
  <c r="C49" i="26"/>
  <c r="A49" i="26"/>
  <c r="G48" i="26"/>
  <c r="C48" i="26"/>
  <c r="A48" i="26"/>
  <c r="G47" i="26"/>
  <c r="C47" i="26"/>
  <c r="A47" i="26"/>
  <c r="G46" i="26"/>
  <c r="C46" i="26"/>
  <c r="A46" i="26"/>
  <c r="G45" i="26"/>
  <c r="C45" i="26"/>
  <c r="A45" i="26"/>
  <c r="G44" i="26"/>
  <c r="C44" i="26"/>
  <c r="A44" i="26"/>
  <c r="G43" i="26"/>
  <c r="C43" i="26"/>
  <c r="A43" i="26"/>
  <c r="G42" i="26"/>
  <c r="C42" i="26"/>
  <c r="A42" i="26"/>
  <c r="G41" i="26"/>
  <c r="C41" i="26"/>
  <c r="A41" i="26"/>
  <c r="G40" i="26"/>
  <c r="C40" i="26"/>
  <c r="A40" i="26"/>
  <c r="G39" i="26"/>
  <c r="C39" i="26"/>
  <c r="A39" i="26"/>
  <c r="G38" i="26"/>
  <c r="C38" i="26"/>
  <c r="A38" i="26"/>
  <c r="G37" i="26"/>
  <c r="C37" i="26"/>
  <c r="A37" i="26"/>
  <c r="G36" i="26"/>
  <c r="C36" i="26"/>
  <c r="A36" i="26"/>
  <c r="G35" i="26"/>
  <c r="C35" i="26"/>
  <c r="A35" i="26"/>
  <c r="G34" i="26"/>
  <c r="C34" i="26"/>
  <c r="A34" i="26"/>
  <c r="G33" i="26"/>
  <c r="C33" i="26"/>
  <c r="A33" i="26"/>
  <c r="G32" i="26"/>
  <c r="C32" i="26"/>
  <c r="A32" i="26"/>
  <c r="G31" i="26"/>
  <c r="C31" i="26"/>
  <c r="A31" i="26"/>
  <c r="G30" i="26"/>
  <c r="C30" i="26"/>
  <c r="A30" i="26"/>
  <c r="G29" i="26"/>
  <c r="C29" i="26"/>
  <c r="A29" i="26"/>
  <c r="G28" i="26"/>
  <c r="C28" i="26"/>
  <c r="A28" i="26"/>
  <c r="G27" i="26"/>
  <c r="C27" i="26"/>
  <c r="A27" i="26"/>
  <c r="G26" i="26"/>
  <c r="C26" i="26"/>
  <c r="A26" i="26"/>
  <c r="G25" i="26"/>
  <c r="C25" i="26"/>
  <c r="A25" i="26"/>
  <c r="G24" i="26"/>
  <c r="C24" i="26"/>
  <c r="A24" i="26"/>
  <c r="G23" i="26"/>
  <c r="C23" i="26"/>
  <c r="A23" i="26"/>
  <c r="G22" i="26"/>
  <c r="C22" i="26"/>
  <c r="A22" i="26"/>
  <c r="G21" i="26"/>
  <c r="C21" i="26"/>
  <c r="A21" i="26"/>
  <c r="G20" i="26"/>
  <c r="C20" i="26"/>
  <c r="A20" i="26"/>
  <c r="G19" i="26"/>
  <c r="C19" i="26"/>
  <c r="A19" i="26"/>
  <c r="G18" i="26"/>
  <c r="C18" i="26"/>
  <c r="A18" i="26"/>
  <c r="G17" i="26"/>
  <c r="C17" i="26"/>
  <c r="A17" i="26"/>
  <c r="G16" i="26"/>
  <c r="C16" i="26"/>
  <c r="A16" i="26"/>
  <c r="G15" i="26"/>
  <c r="C15" i="26"/>
  <c r="A15" i="26"/>
  <c r="G14" i="26"/>
  <c r="C14" i="26"/>
  <c r="A14" i="26"/>
  <c r="G13" i="26"/>
  <c r="C13" i="26"/>
  <c r="A13" i="26"/>
  <c r="G12" i="26"/>
  <c r="C12" i="26"/>
  <c r="A12" i="26"/>
  <c r="A1" i="26"/>
  <c r="G228" i="25"/>
  <c r="G227" i="25"/>
  <c r="G226" i="25"/>
  <c r="G225" i="25"/>
  <c r="K220" i="25"/>
  <c r="K219" i="25"/>
  <c r="K218" i="25"/>
  <c r="G217" i="25"/>
  <c r="K217" i="25" s="1"/>
  <c r="K216" i="25"/>
  <c r="K215" i="25"/>
  <c r="K214" i="25"/>
  <c r="K213" i="25"/>
  <c r="K212" i="25"/>
  <c r="K211" i="25"/>
  <c r="K210" i="25"/>
  <c r="K209" i="25"/>
  <c r="K208" i="25"/>
  <c r="K207" i="25"/>
  <c r="K206" i="25"/>
  <c r="K205" i="25"/>
  <c r="K204" i="25"/>
  <c r="G203" i="25"/>
  <c r="K203" i="25" s="1"/>
  <c r="K202" i="25"/>
  <c r="K201" i="25"/>
  <c r="G200" i="25"/>
  <c r="K200" i="25" s="1"/>
  <c r="K199" i="25"/>
  <c r="K198" i="25"/>
  <c r="K197" i="25"/>
  <c r="K196" i="25"/>
  <c r="K195" i="25"/>
  <c r="K194" i="25"/>
  <c r="K193" i="25"/>
  <c r="K192" i="25"/>
  <c r="G191" i="25"/>
  <c r="K191" i="25" s="1"/>
  <c r="K190" i="25"/>
  <c r="K189" i="25"/>
  <c r="K188" i="25"/>
  <c r="K187" i="25"/>
  <c r="K186" i="25"/>
  <c r="K185" i="25"/>
  <c r="K184" i="25"/>
  <c r="G183" i="25"/>
  <c r="K183" i="25" s="1"/>
  <c r="G182" i="25"/>
  <c r="K182" i="25" s="1"/>
  <c r="G181" i="25"/>
  <c r="K181" i="25" s="1"/>
  <c r="G180" i="25"/>
  <c r="K180" i="25" s="1"/>
  <c r="G179" i="25"/>
  <c r="K179" i="25" s="1"/>
  <c r="G178" i="25"/>
  <c r="K178" i="25" s="1"/>
  <c r="G177" i="25"/>
  <c r="K177" i="25" s="1"/>
  <c r="G176" i="25"/>
  <c r="K176" i="25" s="1"/>
  <c r="G175" i="25"/>
  <c r="K175" i="25" s="1"/>
  <c r="G174" i="25"/>
  <c r="K174" i="25" s="1"/>
  <c r="G173" i="25"/>
  <c r="K173" i="25" s="1"/>
  <c r="G172" i="25"/>
  <c r="K172" i="25" s="1"/>
  <c r="G171" i="25"/>
  <c r="K171" i="25" s="1"/>
  <c r="G170" i="25"/>
  <c r="K170" i="25" s="1"/>
  <c r="G169" i="25"/>
  <c r="K169" i="25" s="1"/>
  <c r="K168" i="25"/>
  <c r="K167" i="25"/>
  <c r="K166" i="25"/>
  <c r="K165" i="25"/>
  <c r="K164" i="25"/>
  <c r="G163" i="25"/>
  <c r="K163" i="25" s="1"/>
  <c r="G162" i="25"/>
  <c r="K162" i="25" s="1"/>
  <c r="G161" i="25"/>
  <c r="G160" i="25"/>
  <c r="K160" i="25" s="1"/>
  <c r="K159" i="25"/>
  <c r="K158" i="25"/>
  <c r="K157" i="25"/>
  <c r="K156" i="25"/>
  <c r="K155" i="25"/>
  <c r="K154" i="25"/>
  <c r="K153" i="25"/>
  <c r="K152" i="25"/>
  <c r="K151" i="25"/>
  <c r="K150" i="25"/>
  <c r="K149" i="25"/>
  <c r="K148" i="25"/>
  <c r="K147" i="25"/>
  <c r="K146" i="25"/>
  <c r="K145" i="25"/>
  <c r="K144" i="25"/>
  <c r="K143" i="25"/>
  <c r="K142" i="25"/>
  <c r="K141" i="25"/>
  <c r="K140" i="25"/>
  <c r="K139" i="25"/>
  <c r="K138" i="25"/>
  <c r="K137" i="25"/>
  <c r="K136" i="25"/>
  <c r="K135" i="25"/>
  <c r="K134" i="25"/>
  <c r="K133" i="25"/>
  <c r="K132" i="25"/>
  <c r="K131" i="25"/>
  <c r="K130" i="25"/>
  <c r="K129" i="25"/>
  <c r="K128" i="25"/>
  <c r="K127" i="25"/>
  <c r="K126" i="25"/>
  <c r="K125" i="25"/>
  <c r="K124" i="25"/>
  <c r="K123" i="25"/>
  <c r="K122" i="25"/>
  <c r="K121" i="25"/>
  <c r="K120" i="25"/>
  <c r="K119" i="25"/>
  <c r="K118" i="25"/>
  <c r="K117" i="25"/>
  <c r="G109" i="25"/>
  <c r="K109" i="25" s="1"/>
  <c r="G108" i="25"/>
  <c r="K108" i="25" s="1"/>
  <c r="G107" i="25"/>
  <c r="K107" i="25" s="1"/>
  <c r="C106" i="25"/>
  <c r="G105" i="25"/>
  <c r="K105" i="25" s="1"/>
  <c r="G104" i="25"/>
  <c r="K104" i="25" s="1"/>
  <c r="G103" i="25"/>
  <c r="K103" i="25" s="1"/>
  <c r="G102" i="25"/>
  <c r="K102" i="25" s="1"/>
  <c r="G101" i="25"/>
  <c r="K101" i="25" s="1"/>
  <c r="G100" i="25"/>
  <c r="K100" i="25" s="1"/>
  <c r="G99" i="25"/>
  <c r="K99" i="25" s="1"/>
  <c r="G98" i="25"/>
  <c r="K98" i="25" s="1"/>
  <c r="G97" i="25"/>
  <c r="K97" i="25" s="1"/>
  <c r="K96" i="25"/>
  <c r="G96" i="25"/>
  <c r="G95" i="25"/>
  <c r="K95" i="25" s="1"/>
  <c r="G94" i="25"/>
  <c r="K94" i="25" s="1"/>
  <c r="G93" i="25"/>
  <c r="K93" i="25" s="1"/>
  <c r="C92" i="25"/>
  <c r="G92" i="25" s="1"/>
  <c r="K92" i="25" s="1"/>
  <c r="G91" i="25"/>
  <c r="K91" i="25" s="1"/>
  <c r="G90" i="25"/>
  <c r="K90" i="25" s="1"/>
  <c r="C89" i="25"/>
  <c r="G89" i="25" s="1"/>
  <c r="K89" i="25" s="1"/>
  <c r="G88" i="25"/>
  <c r="K88" i="25" s="1"/>
  <c r="G87" i="25"/>
  <c r="K87" i="25" s="1"/>
  <c r="G86" i="25"/>
  <c r="K86" i="25" s="1"/>
  <c r="G85" i="25"/>
  <c r="K85" i="25" s="1"/>
  <c r="G84" i="25"/>
  <c r="K84" i="25" s="1"/>
  <c r="G83" i="25"/>
  <c r="K83" i="25" s="1"/>
  <c r="G82" i="25"/>
  <c r="K82" i="25" s="1"/>
  <c r="G80" i="25"/>
  <c r="K80" i="25" s="1"/>
  <c r="G79" i="25"/>
  <c r="K79" i="25" s="1"/>
  <c r="G78" i="25"/>
  <c r="K78" i="25" s="1"/>
  <c r="G77" i="25"/>
  <c r="K77" i="25" s="1"/>
  <c r="G76" i="25"/>
  <c r="K76" i="25" s="1"/>
  <c r="G75" i="25"/>
  <c r="K75" i="25" s="1"/>
  <c r="G74" i="25"/>
  <c r="K74" i="25" s="1"/>
  <c r="G73" i="25"/>
  <c r="K73" i="25" s="1"/>
  <c r="G72" i="25"/>
  <c r="K72" i="25" s="1"/>
  <c r="G71" i="25"/>
  <c r="K71" i="25" s="1"/>
  <c r="G70" i="25"/>
  <c r="K70" i="25" s="1"/>
  <c r="G69" i="25"/>
  <c r="K69" i="25" s="1"/>
  <c r="G68" i="25"/>
  <c r="K68" i="25" s="1"/>
  <c r="G67" i="25"/>
  <c r="K67" i="25" s="1"/>
  <c r="G66" i="25"/>
  <c r="K66" i="25" s="1"/>
  <c r="G65" i="25"/>
  <c r="K65" i="25" s="1"/>
  <c r="G64" i="25"/>
  <c r="K64" i="25" s="1"/>
  <c r="G63" i="25"/>
  <c r="K63" i="25" s="1"/>
  <c r="G62" i="25"/>
  <c r="K62" i="25" s="1"/>
  <c r="G61" i="25"/>
  <c r="K61" i="25" s="1"/>
  <c r="G60" i="25"/>
  <c r="K60" i="25" s="1"/>
  <c r="K59" i="25"/>
  <c r="G59" i="25"/>
  <c r="G58" i="25"/>
  <c r="K58" i="25" s="1"/>
  <c r="G57" i="25"/>
  <c r="K57" i="25" s="1"/>
  <c r="G56" i="25"/>
  <c r="K56" i="25" s="1"/>
  <c r="G55" i="25"/>
  <c r="K55" i="25" s="1"/>
  <c r="G54" i="25"/>
  <c r="K54" i="25" s="1"/>
  <c r="G53" i="25"/>
  <c r="K53" i="25" s="1"/>
  <c r="G52" i="25"/>
  <c r="K52" i="25" s="1"/>
  <c r="G51" i="25"/>
  <c r="K51" i="25" s="1"/>
  <c r="G50" i="25"/>
  <c r="K50" i="25" s="1"/>
  <c r="G49" i="25"/>
  <c r="K49" i="25" s="1"/>
  <c r="G48" i="25"/>
  <c r="K48" i="25" s="1"/>
  <c r="G47" i="25"/>
  <c r="K47" i="25" s="1"/>
  <c r="G46" i="25"/>
  <c r="K46" i="25" s="1"/>
  <c r="G45" i="25"/>
  <c r="K45" i="25" s="1"/>
  <c r="G44" i="25"/>
  <c r="K44" i="25" s="1"/>
  <c r="G43" i="25"/>
  <c r="K43" i="25" s="1"/>
  <c r="G42" i="25"/>
  <c r="K42" i="25" s="1"/>
  <c r="G41" i="25"/>
  <c r="K41" i="25" s="1"/>
  <c r="G40" i="25"/>
  <c r="K40" i="25" s="1"/>
  <c r="G39" i="25"/>
  <c r="K39" i="25" s="1"/>
  <c r="G38" i="25"/>
  <c r="K38" i="25" s="1"/>
  <c r="G37" i="25"/>
  <c r="K37" i="25" s="1"/>
  <c r="G36" i="25"/>
  <c r="K36" i="25" s="1"/>
  <c r="G35" i="25"/>
  <c r="K35" i="25" s="1"/>
  <c r="G34" i="25"/>
  <c r="K34" i="25" s="1"/>
  <c r="G33" i="25"/>
  <c r="K33" i="25" s="1"/>
  <c r="G32" i="25"/>
  <c r="K32" i="25" s="1"/>
  <c r="G31" i="25"/>
  <c r="K31" i="25" s="1"/>
  <c r="G30" i="25"/>
  <c r="K30" i="25" s="1"/>
  <c r="G29" i="25"/>
  <c r="K29" i="25" s="1"/>
  <c r="G28" i="25"/>
  <c r="K28" i="25" s="1"/>
  <c r="G27" i="25"/>
  <c r="K27" i="25" s="1"/>
  <c r="G26" i="25"/>
  <c r="K26" i="25" s="1"/>
  <c r="G25" i="25"/>
  <c r="K25" i="25" s="1"/>
  <c r="G24" i="25"/>
  <c r="K24" i="25" s="1"/>
  <c r="G23" i="25"/>
  <c r="K23" i="25" s="1"/>
  <c r="G22" i="25"/>
  <c r="K22" i="25" s="1"/>
  <c r="G21" i="25"/>
  <c r="K21" i="25" s="1"/>
  <c r="G20" i="25"/>
  <c r="K20" i="25" s="1"/>
  <c r="G19" i="25"/>
  <c r="K19" i="25" s="1"/>
  <c r="G18" i="25"/>
  <c r="K18" i="25" s="1"/>
  <c r="G17" i="25"/>
  <c r="K17" i="25" s="1"/>
  <c r="G16" i="25"/>
  <c r="K16" i="25" s="1"/>
  <c r="G15" i="25"/>
  <c r="K15" i="25" s="1"/>
  <c r="G14" i="25"/>
  <c r="K14" i="25" s="1"/>
  <c r="G13" i="25"/>
  <c r="K13" i="25" s="1"/>
  <c r="G12" i="25"/>
  <c r="K12" i="25" s="1"/>
  <c r="G11" i="25"/>
  <c r="K11" i="25" s="1"/>
  <c r="G10" i="25"/>
  <c r="K10" i="25" s="1"/>
  <c r="G9" i="25"/>
  <c r="K9" i="25" s="1"/>
  <c r="A1" i="25"/>
  <c r="C20" i="28" l="1"/>
  <c r="G20" i="28"/>
  <c r="C117" i="26"/>
  <c r="G117" i="26" s="1"/>
  <c r="C15" i="28"/>
  <c r="K25" i="28"/>
  <c r="G26" i="27"/>
  <c r="G120" i="26"/>
  <c r="G229" i="25"/>
  <c r="G236" i="25" s="1"/>
  <c r="G30" i="27" s="1"/>
  <c r="I37" i="27" s="1"/>
  <c r="C25" i="28"/>
  <c r="G121" i="26"/>
  <c r="G122" i="26"/>
  <c r="G15" i="28"/>
  <c r="G221" i="25"/>
  <c r="K15" i="28"/>
  <c r="G106" i="25"/>
  <c r="K106" i="25" s="1"/>
  <c r="K110" i="25" s="1"/>
  <c r="G233" i="25" s="1"/>
  <c r="G110" i="25"/>
  <c r="K161" i="25"/>
  <c r="C116" i="26"/>
  <c r="C110" i="25"/>
  <c r="K221" i="25"/>
  <c r="G234" i="25" s="1"/>
  <c r="C35" i="28"/>
  <c r="C17" i="27"/>
  <c r="G17" i="27" s="1"/>
  <c r="G119" i="26"/>
  <c r="C11" i="27"/>
  <c r="G11" i="27" s="1"/>
  <c r="G123" i="26"/>
  <c r="C8" i="27"/>
  <c r="D6" i="24" l="1"/>
  <c r="C10" i="27"/>
  <c r="G10" i="27" s="1"/>
  <c r="G235" i="25"/>
  <c r="I4" i="26" s="1"/>
  <c r="G8" i="27"/>
  <c r="G116" i="26"/>
  <c r="G125" i="26" s="1"/>
  <c r="C9" i="27"/>
  <c r="G9" i="27" s="1"/>
  <c r="C125" i="26"/>
  <c r="G237" i="25" l="1"/>
  <c r="G42" i="27" s="1"/>
  <c r="D5" i="24"/>
  <c r="D7" i="24" s="1"/>
  <c r="D13" i="24" s="1"/>
  <c r="C18" i="27"/>
  <c r="D12" i="24"/>
  <c r="G18" i="27"/>
  <c r="F12" i="24" l="1"/>
  <c r="G44" i="27"/>
  <c r="I5" i="26"/>
  <c r="I6" i="26" s="1"/>
  <c r="E127" i="26" l="1"/>
  <c r="G127" i="26" s="1"/>
  <c r="I115" i="26" s="1"/>
  <c r="G12" i="24"/>
  <c r="E89" i="26" l="1"/>
  <c r="I8" i="27"/>
  <c r="K8" i="27" s="1"/>
  <c r="E84" i="26"/>
  <c r="E87" i="26"/>
  <c r="I123" i="26"/>
  <c r="I120" i="26"/>
  <c r="I117" i="26"/>
  <c r="I122" i="26"/>
  <c r="I116" i="26"/>
  <c r="I121" i="26"/>
  <c r="I119" i="26"/>
  <c r="I12" i="27" s="1"/>
  <c r="K12" i="27" s="1"/>
  <c r="I118" i="26"/>
  <c r="G6" i="28"/>
  <c r="I124" i="26"/>
  <c r="I17" i="27" l="1"/>
  <c r="K17" i="27" s="1"/>
  <c r="E62" i="26"/>
  <c r="E61" i="26"/>
  <c r="E82" i="26"/>
  <c r="E33" i="26"/>
  <c r="E68" i="26"/>
  <c r="E85" i="26"/>
  <c r="E69" i="26"/>
  <c r="E54" i="26"/>
  <c r="E23" i="26"/>
  <c r="E14" i="26"/>
  <c r="E104" i="26"/>
  <c r="E26" i="26"/>
  <c r="I11" i="27"/>
  <c r="K11" i="27" s="1"/>
  <c r="E63" i="26"/>
  <c r="E17" i="26"/>
  <c r="E32" i="26"/>
  <c r="E49" i="26"/>
  <c r="E78" i="26"/>
  <c r="E101" i="26"/>
  <c r="E43" i="26"/>
  <c r="E105" i="26"/>
  <c r="E75" i="26"/>
  <c r="E38" i="26"/>
  <c r="E109" i="26"/>
  <c r="E98" i="26"/>
  <c r="E36" i="26"/>
  <c r="E57" i="26"/>
  <c r="I14" i="27"/>
  <c r="K14" i="27" s="1"/>
  <c r="E45" i="26"/>
  <c r="E40" i="26"/>
  <c r="E12" i="26"/>
  <c r="E88" i="26"/>
  <c r="E103" i="26"/>
  <c r="E97" i="26"/>
  <c r="E71" i="26"/>
  <c r="E86" i="26"/>
  <c r="E24" i="26"/>
  <c r="E48" i="26"/>
  <c r="E91" i="26"/>
  <c r="E53" i="26"/>
  <c r="E93" i="26"/>
  <c r="E77" i="26"/>
  <c r="E100" i="26"/>
  <c r="E34" i="26"/>
  <c r="E21" i="26"/>
  <c r="E74" i="26"/>
  <c r="E56" i="26"/>
  <c r="E66" i="26"/>
  <c r="E83" i="26"/>
  <c r="E30" i="26"/>
  <c r="I9" i="27"/>
  <c r="K9" i="27" s="1"/>
  <c r="E42" i="26"/>
  <c r="E81" i="26"/>
  <c r="E108" i="26"/>
  <c r="E95" i="26"/>
  <c r="E59" i="26"/>
  <c r="I15" i="27"/>
  <c r="K15" i="27" s="1"/>
  <c r="E28" i="26"/>
  <c r="E47" i="26"/>
  <c r="E72" i="26"/>
  <c r="E16" i="26"/>
  <c r="E20" i="26"/>
  <c r="E41" i="26"/>
  <c r="E67" i="26"/>
  <c r="E107" i="26"/>
  <c r="E35" i="26"/>
  <c r="E90" i="26"/>
  <c r="I10" i="27"/>
  <c r="K10" i="27" s="1"/>
  <c r="E37" i="26"/>
  <c r="E94" i="26"/>
  <c r="E92" i="26"/>
  <c r="E31" i="26"/>
  <c r="E19" i="26"/>
  <c r="E102" i="26"/>
  <c r="E110" i="26"/>
  <c r="E55" i="26"/>
  <c r="E13" i="26"/>
  <c r="E25" i="26"/>
  <c r="E51" i="26"/>
  <c r="E96" i="26"/>
  <c r="E106" i="26"/>
  <c r="E80" i="26"/>
  <c r="E52" i="26"/>
  <c r="E99" i="26"/>
  <c r="E46" i="26"/>
  <c r="E65" i="26"/>
  <c r="E79" i="26"/>
  <c r="E76" i="26"/>
  <c r="E15" i="26"/>
  <c r="E73" i="26"/>
  <c r="E18" i="26"/>
  <c r="E70" i="26"/>
  <c r="E50" i="26"/>
  <c r="E39" i="26"/>
  <c r="I13" i="27"/>
  <c r="K13" i="27" s="1"/>
  <c r="E27" i="26"/>
  <c r="E64" i="26"/>
  <c r="E44" i="26"/>
  <c r="E58" i="26"/>
  <c r="I16" i="27"/>
  <c r="K16" i="27" s="1"/>
  <c r="E22" i="26"/>
  <c r="E60" i="26"/>
  <c r="E29" i="26"/>
  <c r="A1" i="18"/>
  <c r="C21" i="17"/>
  <c r="A21" i="17"/>
  <c r="C20" i="17"/>
  <c r="A20" i="17"/>
  <c r="A19" i="17"/>
  <c r="C18" i="17"/>
  <c r="A18" i="17"/>
  <c r="C17" i="17"/>
  <c r="A17" i="17"/>
  <c r="C16" i="17"/>
  <c r="A16" i="17"/>
  <c r="C15" i="17"/>
  <c r="A14" i="17"/>
  <c r="A13" i="17"/>
  <c r="A12" i="17"/>
  <c r="A11" i="17"/>
  <c r="A10" i="17"/>
  <c r="C9" i="17"/>
  <c r="A9" i="17"/>
  <c r="C8" i="17"/>
  <c r="A8" i="17"/>
  <c r="A1" i="17"/>
  <c r="G42" i="16"/>
  <c r="G39" i="16"/>
  <c r="E27" i="16"/>
  <c r="G38" i="18" s="1"/>
  <c r="E26" i="16"/>
  <c r="G33" i="18" s="1"/>
  <c r="E25" i="16"/>
  <c r="G28" i="18" s="1"/>
  <c r="C25" i="16"/>
  <c r="E24" i="16"/>
  <c r="G23" i="18" s="1"/>
  <c r="E23" i="16"/>
  <c r="G18" i="18" s="1"/>
  <c r="E22" i="16"/>
  <c r="G13" i="18" s="1"/>
  <c r="E21" i="16"/>
  <c r="G8" i="18" s="1"/>
  <c r="E20" i="16"/>
  <c r="C38" i="18" s="1"/>
  <c r="C20" i="16"/>
  <c r="E19" i="16"/>
  <c r="C33" i="18" s="1"/>
  <c r="C19" i="16"/>
  <c r="C13" i="17" s="1"/>
  <c r="E18" i="16"/>
  <c r="C28" i="18" s="1"/>
  <c r="C18" i="16"/>
  <c r="C12" i="17" s="1"/>
  <c r="E17" i="16"/>
  <c r="C23" i="18" s="1"/>
  <c r="C17" i="16"/>
  <c r="E16" i="16"/>
  <c r="C18" i="18" s="1"/>
  <c r="C16" i="16"/>
  <c r="E15" i="16"/>
  <c r="C13" i="18" s="1"/>
  <c r="E14" i="16"/>
  <c r="C8" i="18" s="1"/>
  <c r="A1" i="16"/>
  <c r="G34" i="15"/>
  <c r="G37" i="15" s="1"/>
  <c r="G29" i="15"/>
  <c r="G30" i="15" s="1"/>
  <c r="G21" i="15"/>
  <c r="K21" i="15" s="1"/>
  <c r="G20" i="15"/>
  <c r="K20" i="15" s="1"/>
  <c r="C19" i="15"/>
  <c r="G19" i="15" s="1"/>
  <c r="K19" i="15" s="1"/>
  <c r="G18" i="15"/>
  <c r="K18" i="15" s="1"/>
  <c r="G17" i="15"/>
  <c r="K17" i="15" s="1"/>
  <c r="G16" i="15"/>
  <c r="K16" i="15" s="1"/>
  <c r="G15" i="15"/>
  <c r="K15" i="15" s="1"/>
  <c r="C14" i="15"/>
  <c r="G14" i="15" s="1"/>
  <c r="K14" i="15" s="1"/>
  <c r="C13" i="15"/>
  <c r="G13" i="15" s="1"/>
  <c r="K13" i="15" s="1"/>
  <c r="C12" i="15"/>
  <c r="G12" i="15" s="1"/>
  <c r="K12" i="15" s="1"/>
  <c r="C11" i="15"/>
  <c r="G11" i="15" s="1"/>
  <c r="K11" i="15" s="1"/>
  <c r="C10" i="15"/>
  <c r="G10" i="15" s="1"/>
  <c r="K10" i="15" s="1"/>
  <c r="G9" i="15"/>
  <c r="K9" i="15" s="1"/>
  <c r="G8" i="15"/>
  <c r="A1" i="15"/>
  <c r="C19" i="17" l="1"/>
  <c r="C53" i="16"/>
  <c r="G53" i="16" s="1"/>
  <c r="C14" i="17"/>
  <c r="C36" i="16"/>
  <c r="C11" i="17"/>
  <c r="C38" i="16"/>
  <c r="G38" i="16" s="1"/>
  <c r="K18" i="27"/>
  <c r="I34" i="27" s="1"/>
  <c r="G26" i="17"/>
  <c r="I31" i="17" s="1"/>
  <c r="G44" i="15"/>
  <c r="D6" i="14" s="1"/>
  <c r="D12" i="14" s="1"/>
  <c r="E58" i="16" s="1"/>
  <c r="K29" i="15"/>
  <c r="K30" i="15" s="1"/>
  <c r="G42" i="15" s="1"/>
  <c r="C28" i="16"/>
  <c r="G43" i="16"/>
  <c r="G22" i="15"/>
  <c r="K8" i="15"/>
  <c r="K22" i="15" s="1"/>
  <c r="G41" i="15" s="1"/>
  <c r="C22" i="15"/>
  <c r="C37" i="16"/>
  <c r="C40" i="16"/>
  <c r="G40" i="16" s="1"/>
  <c r="C10" i="17"/>
  <c r="C41" i="16"/>
  <c r="G41" i="16" s="1"/>
  <c r="G54" i="16" l="1"/>
  <c r="C54" i="16"/>
  <c r="G43" i="15"/>
  <c r="G45" i="15"/>
  <c r="G36" i="17" s="1"/>
  <c r="D5" i="14"/>
  <c r="D7" i="14" s="1"/>
  <c r="D13" i="14" s="1"/>
  <c r="G4" i="16"/>
  <c r="C22" i="17"/>
  <c r="G37" i="16"/>
  <c r="G58" i="16" l="1"/>
  <c r="G38" i="17"/>
  <c r="G5" i="16"/>
  <c r="G6" i="16" s="1"/>
  <c r="I53" i="16" l="1"/>
  <c r="I52" i="16"/>
  <c r="I43" i="16"/>
  <c r="I51" i="16"/>
  <c r="I50" i="16"/>
  <c r="I46" i="16"/>
  <c r="I49" i="16"/>
  <c r="I48" i="16"/>
  <c r="I47" i="16"/>
  <c r="I41" i="16"/>
  <c r="G19" i="16" s="1"/>
  <c r="G13" i="17" s="1"/>
  <c r="I40" i="16"/>
  <c r="G18" i="16" s="1"/>
  <c r="G12" i="17" s="1"/>
  <c r="I37" i="16"/>
  <c r="I42" i="16"/>
  <c r="I38" i="16"/>
  <c r="I36" i="16"/>
  <c r="G20" i="16" s="1"/>
  <c r="G17" i="16"/>
  <c r="C24" i="18" s="1"/>
  <c r="C25" i="18" s="1"/>
  <c r="I39" i="16"/>
  <c r="G11" i="17" l="1"/>
  <c r="G14" i="18"/>
  <c r="G15" i="18" s="1"/>
  <c r="G19" i="18"/>
  <c r="G20" i="18" s="1"/>
  <c r="G16" i="16"/>
  <c r="C9" i="18"/>
  <c r="C10" i="18" s="1"/>
  <c r="G34" i="18"/>
  <c r="G35" i="18" s="1"/>
  <c r="G9" i="18"/>
  <c r="G10" i="18" s="1"/>
  <c r="G39" i="18"/>
  <c r="G40" i="18" s="1"/>
  <c r="C34" i="18"/>
  <c r="C35" i="18" s="1"/>
  <c r="C29" i="18"/>
  <c r="C30" i="18" s="1"/>
  <c r="G20" i="17"/>
  <c r="G16" i="17"/>
  <c r="G17" i="17"/>
  <c r="G8" i="17"/>
  <c r="G21" i="17"/>
  <c r="C39" i="18"/>
  <c r="C40" i="18" s="1"/>
  <c r="G14" i="17"/>
  <c r="C14" i="18"/>
  <c r="C15" i="18" s="1"/>
  <c r="G9" i="17"/>
  <c r="G29" i="18"/>
  <c r="G30" i="18" s="1"/>
  <c r="G19" i="17"/>
  <c r="G15" i="17"/>
  <c r="G18" i="17"/>
  <c r="G24" i="18"/>
  <c r="G25" i="18" s="1"/>
  <c r="C19" i="18" l="1"/>
  <c r="C20" i="18" s="1"/>
  <c r="G10" i="17"/>
  <c r="G22" i="17" s="1"/>
  <c r="I30" i="17" s="1"/>
  <c r="I32" i="17" s="1"/>
  <c r="G35" i="17" s="1"/>
  <c r="G37" i="17" s="1"/>
  <c r="G7" i="28" l="1"/>
  <c r="G8" i="28"/>
  <c r="C41" i="28"/>
  <c r="G41" i="28"/>
  <c r="K41" i="28"/>
  <c r="C42" i="28"/>
  <c r="G42" i="28"/>
  <c r="K42" i="28"/>
  <c r="C45" i="28"/>
  <c r="G45" i="28"/>
  <c r="K45" i="28"/>
  <c r="C46" i="28"/>
  <c r="G46" i="28"/>
  <c r="K46" i="28"/>
  <c r="C49" i="28"/>
  <c r="G49" i="28"/>
  <c r="K49" i="28"/>
  <c r="C50" i="28"/>
  <c r="G50" i="28"/>
  <c r="K50" i="28"/>
  <c r="C53" i="28"/>
  <c r="G53" i="28"/>
  <c r="K53" i="28"/>
  <c r="C54" i="28"/>
  <c r="G54" i="28"/>
  <c r="K54" i="28"/>
  <c r="C57" i="28"/>
  <c r="G57" i="28"/>
  <c r="C58" i="28"/>
  <c r="G58" i="28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0" i="26"/>
  <c r="I71" i="26"/>
  <c r="I72" i="26"/>
  <c r="I73" i="26"/>
  <c r="I74" i="26"/>
  <c r="I75" i="26"/>
  <c r="I76" i="26"/>
  <c r="I77" i="26"/>
  <c r="I78" i="26"/>
  <c r="I79" i="26"/>
  <c r="I80" i="26"/>
  <c r="I81" i="26"/>
  <c r="I82" i="26"/>
  <c r="I83" i="26"/>
  <c r="I84" i="26"/>
  <c r="I85" i="26"/>
  <c r="I86" i="26"/>
  <c r="I87" i="26"/>
  <c r="I88" i="26"/>
  <c r="I89" i="26"/>
  <c r="I90" i="26"/>
  <c r="I91" i="26"/>
  <c r="I92" i="26"/>
  <c r="I93" i="26"/>
  <c r="I94" i="26"/>
  <c r="I95" i="26"/>
  <c r="I96" i="26"/>
  <c r="I97" i="26"/>
  <c r="I98" i="26"/>
  <c r="I99" i="26"/>
  <c r="I100" i="26"/>
  <c r="I101" i="26"/>
  <c r="I102" i="26"/>
  <c r="I103" i="26"/>
  <c r="I104" i="26"/>
  <c r="I105" i="26"/>
  <c r="I106" i="26"/>
  <c r="I107" i="26"/>
  <c r="I108" i="26"/>
  <c r="I109" i="26"/>
  <c r="I110" i="26"/>
  <c r="A130" i="26"/>
  <c r="E130" i="26"/>
  <c r="A131" i="26"/>
  <c r="E131" i="26"/>
  <c r="I23" i="27"/>
  <c r="K23" i="27"/>
  <c r="I24" i="27"/>
  <c r="K24" i="27"/>
  <c r="I25" i="27"/>
  <c r="K25" i="27"/>
  <c r="K26" i="27"/>
  <c r="I35" i="27"/>
  <c r="I36" i="27"/>
  <c r="I38" i="27"/>
  <c r="G41" i="27"/>
  <c r="G43" i="27"/>
  <c r="I46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Marek, Melanie</author>
  </authors>
  <commentList>
    <comment ref="K7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Niemeier, Angela:
</t>
        </r>
        <r>
          <rPr>
            <sz val="9"/>
            <color indexed="81"/>
            <rFont val="Tahoma"/>
            <family val="2"/>
          </rPr>
          <t xml:space="preserve">This is the amount on 2023 annual report. Staff divided by customer count to arrive at monthly charge. </t>
        </r>
      </text>
    </comment>
    <comment ref="G22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Marek, Melanie:</t>
        </r>
        <r>
          <rPr>
            <sz val="9"/>
            <color indexed="81"/>
            <rFont val="Tahoma"/>
            <family val="2"/>
          </rPr>
          <t xml:space="preserve">
+1 to accomodate rounding and match auditing</t>
        </r>
      </text>
    </comment>
    <comment ref="G23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Marek, Melanie:</t>
        </r>
        <r>
          <rPr>
            <sz val="9"/>
            <color indexed="81"/>
            <rFont val="Tahoma"/>
            <family val="2"/>
          </rPr>
          <t xml:space="preserve">
+5.5 to match auditing and accommodate for rounding</t>
        </r>
      </text>
    </comment>
  </commentList>
</comments>
</file>

<file path=xl/sharedStrings.xml><?xml version="1.0" encoding="utf-8"?>
<sst xmlns="http://schemas.openxmlformats.org/spreadsheetml/2006/main" count="643" uniqueCount="274">
  <si>
    <t>Rate Making Income Statement</t>
  </si>
  <si>
    <t>Operating Revenues at Current Rates</t>
  </si>
  <si>
    <t>Tariffed Rate Revenues *</t>
  </si>
  <si>
    <t>Other Operating Revenues *</t>
  </si>
  <si>
    <t>Total Operating Revenues</t>
  </si>
  <si>
    <t>* See "Revenues - Current Rates" for Details</t>
  </si>
  <si>
    <t>Cost of Service</t>
  </si>
  <si>
    <t>Customer</t>
  </si>
  <si>
    <t>Commodity</t>
  </si>
  <si>
    <t>Charge</t>
  </si>
  <si>
    <t>Total Cost of Service</t>
  </si>
  <si>
    <t>Cost to Recover in Rates</t>
  </si>
  <si>
    <t>Overall Revenue Increase Needed</t>
  </si>
  <si>
    <t>Liberty Utilities (Missouri Water), LLC</t>
  </si>
  <si>
    <t>Revenue Annualizations at Current Rates</t>
  </si>
  <si>
    <t>Annualized Customer Counts and Customer Charge Revenues</t>
  </si>
  <si>
    <t>Retail Metered Customers</t>
  </si>
  <si>
    <t>Service Area/</t>
  </si>
  <si>
    <t xml:space="preserve">No. of </t>
  </si>
  <si>
    <t>Bills Per</t>
  </si>
  <si>
    <t>Total</t>
  </si>
  <si>
    <t>Annual</t>
  </si>
  <si>
    <t>Meter Size</t>
  </si>
  <si>
    <t>Customers</t>
  </si>
  <si>
    <t>Year</t>
  </si>
  <si>
    <t>Bills</t>
  </si>
  <si>
    <t>Rate *</t>
  </si>
  <si>
    <t>Revenue</t>
  </si>
  <si>
    <t>* Monthly Customer Charge</t>
  </si>
  <si>
    <t>Annualized Commodity Sales - Volumes &amp; Revenues</t>
  </si>
  <si>
    <t>Adjusted</t>
  </si>
  <si>
    <t>Gallons Sold</t>
  </si>
  <si>
    <t>Rate</t>
  </si>
  <si>
    <t>Other Operating Revenues</t>
  </si>
  <si>
    <t>Misc Income</t>
  </si>
  <si>
    <t>Late Charge</t>
  </si>
  <si>
    <t>Reconnect Fee</t>
  </si>
  <si>
    <t>Total Other Revenues</t>
  </si>
  <si>
    <t>Customer Charge Revenues</t>
  </si>
  <si>
    <t>Commodity Charge Revenues</t>
  </si>
  <si>
    <t>Sub-Total Tariffed Rate Revenues</t>
  </si>
  <si>
    <t>Development of Tariffed Rates</t>
  </si>
  <si>
    <t>Current Revenue</t>
  </si>
  <si>
    <t>Agreed-Upon Overall Revenue Increase</t>
  </si>
  <si>
    <t>Percentage Increase Needed</t>
  </si>
  <si>
    <t>Metered Customer Rates</t>
  </si>
  <si>
    <t>Current</t>
  </si>
  <si>
    <t>Proposed</t>
  </si>
  <si>
    <t>Usage</t>
  </si>
  <si>
    <t>Number of</t>
  </si>
  <si>
    <t>Factor</t>
  </si>
  <si>
    <t>Equivalents</t>
  </si>
  <si>
    <t>1/2"</t>
  </si>
  <si>
    <t>5/8"</t>
  </si>
  <si>
    <t>3/4"</t>
  </si>
  <si>
    <t>1"</t>
  </si>
  <si>
    <t>1  1/2"</t>
  </si>
  <si>
    <t xml:space="preserve"> 2"</t>
  </si>
  <si>
    <t>3"</t>
  </si>
  <si>
    <t xml:space="preserve"> 4"</t>
  </si>
  <si>
    <t xml:space="preserve"> 6"</t>
  </si>
  <si>
    <t>Flat Rate - Unmetered</t>
  </si>
  <si>
    <t>Customer Charge Calculation:</t>
  </si>
  <si>
    <t>Revenue Annualizations at Proposed Rates</t>
  </si>
  <si>
    <t>Meter</t>
  </si>
  <si>
    <t>No. of</t>
  </si>
  <si>
    <t>Size</t>
  </si>
  <si>
    <t>Total Sales</t>
  </si>
  <si>
    <t>Total Revenues at Proposed Rates</t>
  </si>
  <si>
    <t>Revenue Check - Proposed Rates vs. Current Rates</t>
  </si>
  <si>
    <t>Total Revenues at Current Tariffed Rates</t>
  </si>
  <si>
    <t>Increase in Revenues at Proposed Rates</t>
  </si>
  <si>
    <t>Agreed-Upon Increase in Operating Revenues</t>
  </si>
  <si>
    <t>Residential Customer Bill Comparison</t>
  </si>
  <si>
    <t>Customer Charge</t>
  </si>
  <si>
    <t>Usage Charge</t>
  </si>
  <si>
    <t>Total Bill</t>
  </si>
  <si>
    <t>MONTHLY BILL COMPARISON</t>
  </si>
  <si>
    <t>Customer Bill Increases/Decreases</t>
  </si>
  <si>
    <t>$ Increase</t>
  </si>
  <si>
    <t>% Increase</t>
  </si>
  <si>
    <t>Liberty Utilities (Missouri Water), LLC - Water, All Other Service Areas</t>
  </si>
  <si>
    <t>Noel Residential 5/8"</t>
  </si>
  <si>
    <t>Noel Residential 3/4"</t>
  </si>
  <si>
    <t>Noel Residential 1"</t>
  </si>
  <si>
    <t>Noel Residential 2"</t>
  </si>
  <si>
    <t>Noel Residential 4"</t>
  </si>
  <si>
    <t>Noel Commercial 1"</t>
  </si>
  <si>
    <t>Noel Commercial 2"</t>
  </si>
  <si>
    <t>Noel Commercial 3/4"</t>
  </si>
  <si>
    <t>Noel Commercial 4"</t>
  </si>
  <si>
    <t>Noel Commercial 5/8"</t>
  </si>
  <si>
    <t>Noel Commercial 6"</t>
  </si>
  <si>
    <t>Noel Sprinkler*</t>
  </si>
  <si>
    <t>Noel Industrial 5/8"</t>
  </si>
  <si>
    <t>Noel Industrial 3/4"</t>
  </si>
  <si>
    <t>Noel Industrial 1"</t>
  </si>
  <si>
    <t>Noel Industrial 2"</t>
  </si>
  <si>
    <t>Noel Industrial 4"</t>
  </si>
  <si>
    <t>Noel Industrial 6"</t>
  </si>
  <si>
    <t>KMB Residential 5/8"</t>
  </si>
  <si>
    <t>KMB Residential 3/4"</t>
  </si>
  <si>
    <t>KMB Residential 1"</t>
  </si>
  <si>
    <t>KMB Sprinkler*</t>
  </si>
  <si>
    <t>KMB Commercial 5/8"</t>
  </si>
  <si>
    <t>KMB Commercial 3/4"</t>
  </si>
  <si>
    <t>KMB Commercial 1"</t>
  </si>
  <si>
    <t>Silverleaf Residential 3/4"</t>
  </si>
  <si>
    <t>Silverleaf Residential 1"</t>
  </si>
  <si>
    <t>Silverleaf Residential 2"</t>
  </si>
  <si>
    <t>Silverleaf Residential 3"</t>
  </si>
  <si>
    <t>Silverleaf Residential 4"</t>
  </si>
  <si>
    <t>Silverleaf Residential 5/8"*</t>
  </si>
  <si>
    <t>Silverleaf Commercial 1"</t>
  </si>
  <si>
    <t>Silverleaf Commercial 2"</t>
  </si>
  <si>
    <t>Silverleaf Commercial 3"</t>
  </si>
  <si>
    <t>Silverleaf Commercial 3/4"</t>
  </si>
  <si>
    <t>Silverleaf Commercial 4"</t>
  </si>
  <si>
    <t>Silverleaf Commercial 5/8"*</t>
  </si>
  <si>
    <t>Silverleaf Industrial 1"</t>
  </si>
  <si>
    <t>Silverleaf Industrial 2"</t>
  </si>
  <si>
    <t>Silverleaf Industrial 3/4"</t>
  </si>
  <si>
    <t>Franklin Residential 3/4"</t>
  </si>
  <si>
    <t>Franklin Residential 5/8"</t>
  </si>
  <si>
    <t>Franklin Sprinkler*</t>
  </si>
  <si>
    <t>Empire Residential 3/4"*</t>
  </si>
  <si>
    <t>Empire Residential 5/8"</t>
  </si>
  <si>
    <t>Empire Residential 1"</t>
  </si>
  <si>
    <t>Empire Residential 2"</t>
  </si>
  <si>
    <t>Empire Residential 4"</t>
  </si>
  <si>
    <t>Empire Residential 6"</t>
  </si>
  <si>
    <t>Empire Tank</t>
  </si>
  <si>
    <t>Empire Sprinkler*</t>
  </si>
  <si>
    <t>Empire Commercial 1"</t>
  </si>
  <si>
    <t>Empire Commercial 2"</t>
  </si>
  <si>
    <t>Empire Commercial 3/4"</t>
  </si>
  <si>
    <t>Empire Commercial 5/8"</t>
  </si>
  <si>
    <t>Empire Commercial 4"</t>
  </si>
  <si>
    <t>Empire Industrial 2"</t>
  </si>
  <si>
    <t>Empire Industrial 5/8"</t>
  </si>
  <si>
    <t>Empire Industrial 4"</t>
  </si>
  <si>
    <t>Empire Interdepartmental 2"</t>
  </si>
  <si>
    <t>Empire Interdepartmental 5/8"</t>
  </si>
  <si>
    <t>Empire Municipal Bldg 1"</t>
  </si>
  <si>
    <t>Empire Municipal Bldg 2"</t>
  </si>
  <si>
    <t>Empire Municipal Bldg 5/8"</t>
  </si>
  <si>
    <t>Empire Municipal Pump 1"</t>
  </si>
  <si>
    <t>Empire Municipal Pump 2"</t>
  </si>
  <si>
    <t>Empire Municipal Pump 3/4"</t>
  </si>
  <si>
    <t>Empire Municipal Pump 5/8"</t>
  </si>
  <si>
    <t>Empire Fire Hydrant*</t>
  </si>
  <si>
    <t>Empire Sprinkler Systems</t>
  </si>
  <si>
    <t>Empire Tank Water</t>
  </si>
  <si>
    <t>Oakbrier Residential 5/8"</t>
  </si>
  <si>
    <t>Oakbrier Residential 1/2"</t>
  </si>
  <si>
    <t>Oakbrier Sprinkler</t>
  </si>
  <si>
    <t>Lakeland Heights Residential 5/8"</t>
  </si>
  <si>
    <t>Lakeland Heights Residential 1/2"</t>
  </si>
  <si>
    <t>Whispering Hills Residential 5/8"</t>
  </si>
  <si>
    <t>Whispering Hills Residential 1/2"</t>
  </si>
  <si>
    <t>Bilyeu Ridge Residential 3/4"</t>
  </si>
  <si>
    <t>Bilyeu Ridge Residential 5/8"</t>
  </si>
  <si>
    <t>Hidden Meadows Residential 3/4"</t>
  </si>
  <si>
    <t>Hidden Meadows Residential 5/8"</t>
  </si>
  <si>
    <t>Moore Bend Residential 3/4"</t>
  </si>
  <si>
    <t>Moore Bend Residential 5/8"</t>
  </si>
  <si>
    <t>Riverfork Residential 3/4"</t>
  </si>
  <si>
    <t>Riverfork Residential 5/8"</t>
  </si>
  <si>
    <t>Riverfork Residential 1"</t>
  </si>
  <si>
    <t>Taney County Residential 3/4"</t>
  </si>
  <si>
    <t>Taney County Residential 5/8"</t>
  </si>
  <si>
    <t>Taney County Residential 1"</t>
  </si>
  <si>
    <t>Taney County Commercial 3/4"</t>
  </si>
  <si>
    <t>Taney County Commercial 5/8"</t>
  </si>
  <si>
    <t>Taney County Commercial 1"</t>
  </si>
  <si>
    <t>Taney County Industrial 1"</t>
  </si>
  <si>
    <t>Taney County Industrial 3/4"</t>
  </si>
  <si>
    <t>Valley Woods Residential 3/4"</t>
  </si>
  <si>
    <t>Valley Woods Residential 5/8"</t>
  </si>
  <si>
    <t>Valley Woods Commercial 1"</t>
  </si>
  <si>
    <t>Valley Woods Commercial 3/4"</t>
  </si>
  <si>
    <t>* Assumed rate based on reported revenues</t>
  </si>
  <si>
    <t>Noel Sprinkler</t>
  </si>
  <si>
    <t>KMB Sprinkler</t>
  </si>
  <si>
    <t>Silverleaf Residential 5/8"</t>
  </si>
  <si>
    <t>Silverleaf Commercial 5/8"</t>
  </si>
  <si>
    <t>Franklin Sprinkler</t>
  </si>
  <si>
    <t>Empire Residential 3/4"</t>
  </si>
  <si>
    <t>Empire Residential Tank</t>
  </si>
  <si>
    <t>Empire Residential Sprinkler</t>
  </si>
  <si>
    <t>Empire Residential over 100,000 gal</t>
  </si>
  <si>
    <t>Empire Commercial Sprinkler</t>
  </si>
  <si>
    <t>Empire Commercial Tank</t>
  </si>
  <si>
    <t>Empire Commercial over 100,000 gal</t>
  </si>
  <si>
    <t>Empire Industrial over 100,000 gal</t>
  </si>
  <si>
    <t>Empire Interdepartmental over 100,000 gal</t>
  </si>
  <si>
    <t>Empire Municipal over 100,000 gal</t>
  </si>
  <si>
    <t>Empire Fire Hydrant</t>
  </si>
  <si>
    <t>Total**</t>
  </si>
  <si>
    <t>** These are the gallons subject to the existing tariff rates that include some gallons in the current customer charge.</t>
  </si>
  <si>
    <t>Service Charges</t>
  </si>
  <si>
    <t>Factor**</t>
  </si>
  <si>
    <t>Gallons***</t>
  </si>
  <si>
    <t>**While a factor of 1 is typical for a single family home with a 5/8" meter, staff proposes to use this same factor for 3/4" and 1/2" because this meter size is also deployed on single family homes within Liberty's service areas</t>
  </si>
  <si>
    <t>*** These are total gallons billed to customers, not just those previously subjected to a commodity rate</t>
  </si>
  <si>
    <t>Tank Gallons</t>
  </si>
  <si>
    <t>&gt;100,000 gallons</t>
  </si>
  <si>
    <t>Gallons sold</t>
  </si>
  <si>
    <t>Proposed Rates All systems</t>
  </si>
  <si>
    <t>* Assume 4,000 usage and 5/8" meter</t>
  </si>
  <si>
    <t>Noel Current Rates</t>
  </si>
  <si>
    <t>Empire Current Rates</t>
  </si>
  <si>
    <t>Hidden Meadows Current Rates</t>
  </si>
  <si>
    <t>KMB Current Rates</t>
  </si>
  <si>
    <t>Oakbrier Current Rates</t>
  </si>
  <si>
    <t>Moore Bend Current Rates</t>
  </si>
  <si>
    <t>Silverleaf Current Rates</t>
  </si>
  <si>
    <t>Lakeland Heights Current Rates</t>
  </si>
  <si>
    <t>Riverfork Current Rates</t>
  </si>
  <si>
    <t>Franklin County Current Rates</t>
  </si>
  <si>
    <t>Whispering Hills Current Rates</t>
  </si>
  <si>
    <t>Taney County Current Rates</t>
  </si>
  <si>
    <t>Valley Woods Current Rates</t>
  </si>
  <si>
    <t>Bilyeu Ridge Current Rates</t>
  </si>
  <si>
    <t>Noel</t>
  </si>
  <si>
    <t>Empire</t>
  </si>
  <si>
    <t>Hidden Meadows</t>
  </si>
  <si>
    <t xml:space="preserve">KMB </t>
  </si>
  <si>
    <t xml:space="preserve">Oakbrier </t>
  </si>
  <si>
    <t>Moore Bend</t>
  </si>
  <si>
    <t>Silverleaf</t>
  </si>
  <si>
    <t>Lakeland Heights</t>
  </si>
  <si>
    <t>Riverfork</t>
  </si>
  <si>
    <t>Franklin County</t>
  </si>
  <si>
    <t>Whispering Hills</t>
  </si>
  <si>
    <t>Taney County</t>
  </si>
  <si>
    <t>Valley Woods</t>
  </si>
  <si>
    <t>Bilyeu Ridge</t>
  </si>
  <si>
    <t>Service Area</t>
  </si>
  <si>
    <t>Valley Woods 5/8"</t>
  </si>
  <si>
    <t>Valley Woods 1"</t>
  </si>
  <si>
    <t>Silverleaf 3/4"</t>
  </si>
  <si>
    <t>Silverleaf 1"</t>
  </si>
  <si>
    <t>Silverleaf 2"</t>
  </si>
  <si>
    <t>Silverleaf 3"</t>
  </si>
  <si>
    <t>Silverleaf 5/8"</t>
  </si>
  <si>
    <t>KMB 5/8"</t>
  </si>
  <si>
    <t>KMB No Meter Single Family</t>
  </si>
  <si>
    <t>KMB No Meter Multi Family</t>
  </si>
  <si>
    <t>RD Sewer Metered</t>
  </si>
  <si>
    <t>RD Sewer No Meter Single Family</t>
  </si>
  <si>
    <t>RD Sewer No Meter Multi Family</t>
  </si>
  <si>
    <t>* Monthly flat service charge</t>
  </si>
  <si>
    <t>Gallons Usage</t>
  </si>
  <si>
    <t>Late Payment Fee</t>
  </si>
  <si>
    <t>Returned Check Charge</t>
  </si>
  <si>
    <t>Customer Rates</t>
  </si>
  <si>
    <t>2"</t>
  </si>
  <si>
    <t>4"</t>
  </si>
  <si>
    <t>Cost to recover in rates</t>
  </si>
  <si>
    <t>Service</t>
  </si>
  <si>
    <t>Area</t>
  </si>
  <si>
    <t>Current Customer Charge</t>
  </si>
  <si>
    <t>Proposed Customer Charge</t>
  </si>
  <si>
    <t>Percent change</t>
  </si>
  <si>
    <t>Sewer Rate Making Income Statement-All Other Sewer</t>
  </si>
  <si>
    <t>Revenue Annualizations at Current Rates - All Other Sewer</t>
  </si>
  <si>
    <t>Development of Tariffed Rates - All Other Sewer</t>
  </si>
  <si>
    <t>Revenue Annualizations at Proposed Rates - All Other Sewer</t>
  </si>
  <si>
    <t>Residential Customer Bill Comparison - All Other Sewer</t>
  </si>
  <si>
    <t>check</t>
  </si>
  <si>
    <t>Silverleaf:</t>
  </si>
  <si>
    <t>All Other Except Silverleaf:</t>
  </si>
  <si>
    <t>KMB/Saver's Farm No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</si>
</sst>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Fill="1"/>
    <xf numFmtId="0" fontId="5" fillId="0" borderId="0" xfId="0" applyFont="1" applyFill="1" applyBorder="1" applyAlignment="1"/>
    <xf numFmtId="164" fontId="0" fillId="0" borderId="0" xfId="2" applyNumberFormat="1" applyFont="1"/>
    <xf numFmtId="0" fontId="6" fillId="0" borderId="0" xfId="0" applyFont="1"/>
    <xf numFmtId="164" fontId="6" fillId="0" borderId="3" xfId="0" applyNumberFormat="1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0" fillId="0" borderId="0" xfId="0" applyNumberFormat="1"/>
    <xf numFmtId="0" fontId="6" fillId="0" borderId="6" xfId="0" applyFont="1" applyBorder="1"/>
    <xf numFmtId="164" fontId="6" fillId="0" borderId="6" xfId="0" applyNumberFormat="1" applyFont="1" applyBorder="1"/>
    <xf numFmtId="0" fontId="6" fillId="0" borderId="0" xfId="0" applyFont="1" applyBorder="1"/>
    <xf numFmtId="164" fontId="6" fillId="0" borderId="0" xfId="0" applyNumberFormat="1" applyFont="1" applyBorder="1"/>
    <xf numFmtId="0" fontId="6" fillId="0" borderId="1" xfId="0" applyFont="1" applyBorder="1"/>
    <xf numFmtId="164" fontId="6" fillId="0" borderId="1" xfId="0" applyNumberFormat="1" applyFont="1" applyBorder="1"/>
    <xf numFmtId="0" fontId="0" fillId="0" borderId="0" xfId="0" applyAlignment="1">
      <alignment horizontal="right"/>
    </xf>
    <xf numFmtId="165" fontId="0" fillId="0" borderId="0" xfId="1" applyNumberFormat="1" applyFont="1"/>
    <xf numFmtId="10" fontId="0" fillId="0" borderId="0" xfId="0" applyNumberForma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3" fillId="0" borderId="3" xfId="0" applyFont="1" applyBorder="1" applyAlignment="1">
      <alignment horizontal="center"/>
    </xf>
    <xf numFmtId="0" fontId="0" fillId="0" borderId="3" xfId="0" applyBorder="1"/>
    <xf numFmtId="165" fontId="3" fillId="0" borderId="3" xfId="1" applyNumberFormat="1" applyFont="1" applyBorder="1" applyAlignment="1">
      <alignment horizontal="center"/>
    </xf>
    <xf numFmtId="165" fontId="3" fillId="0" borderId="3" xfId="1" applyNumberFormat="1" applyFont="1" applyFill="1" applyBorder="1" applyAlignment="1">
      <alignment horizontal="center"/>
    </xf>
    <xf numFmtId="164" fontId="3" fillId="0" borderId="3" xfId="0" applyNumberFormat="1" applyFont="1" applyBorder="1"/>
    <xf numFmtId="0" fontId="7" fillId="0" borderId="4" xfId="0" applyFont="1" applyBorder="1"/>
    <xf numFmtId="0" fontId="0" fillId="0" borderId="4" xfId="0" applyBorder="1"/>
    <xf numFmtId="44" fontId="0" fillId="0" borderId="0" xfId="2" applyFont="1"/>
    <xf numFmtId="165" fontId="3" fillId="0" borderId="3" xfId="1" applyNumberFormat="1" applyFont="1" applyBorder="1"/>
    <xf numFmtId="164" fontId="6" fillId="0" borderId="3" xfId="2" applyNumberFormat="1" applyFont="1" applyBorder="1"/>
    <xf numFmtId="164" fontId="0" fillId="0" borderId="4" xfId="0" applyNumberFormat="1" applyBorder="1"/>
    <xf numFmtId="164" fontId="6" fillId="0" borderId="0" xfId="2" applyNumberFormat="1" applyFont="1"/>
    <xf numFmtId="164" fontId="6" fillId="0" borderId="0" xfId="0" applyNumberFormat="1" applyFont="1"/>
    <xf numFmtId="164" fontId="6" fillId="0" borderId="7" xfId="0" applyNumberFormat="1" applyFont="1" applyBorder="1"/>
    <xf numFmtId="9" fontId="6" fillId="0" borderId="0" xfId="3" applyFont="1"/>
    <xf numFmtId="165" fontId="0" fillId="0" borderId="0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2" applyNumberFormat="1" applyFont="1" applyFill="1"/>
    <xf numFmtId="44" fontId="0" fillId="0" borderId="0" xfId="0" applyNumberFormat="1" applyFill="1"/>
    <xf numFmtId="0" fontId="0" fillId="0" borderId="0" xfId="0" applyFill="1" applyAlignment="1">
      <alignment vertical="center"/>
    </xf>
    <xf numFmtId="165" fontId="0" fillId="0" borderId="0" xfId="1" applyNumberFormat="1" applyFont="1" applyFill="1"/>
    <xf numFmtId="44" fontId="0" fillId="0" borderId="0" xfId="2" applyFont="1" applyFill="1"/>
    <xf numFmtId="1" fontId="0" fillId="0" borderId="0" xfId="1" applyNumberFormat="1" applyFont="1" applyAlignment="1">
      <alignment horizontal="center"/>
    </xf>
    <xf numFmtId="0" fontId="0" fillId="0" borderId="0" xfId="0" applyBorder="1"/>
    <xf numFmtId="1" fontId="0" fillId="0" borderId="0" xfId="1" applyNumberFormat="1" applyFont="1" applyBorder="1" applyAlignment="1">
      <alignment horizontal="center"/>
    </xf>
    <xf numFmtId="44" fontId="0" fillId="0" borderId="0" xfId="2" applyFont="1" applyBorder="1"/>
    <xf numFmtId="164" fontId="0" fillId="0" borderId="0" xfId="2" applyNumberFormat="1" applyFont="1" applyBorder="1"/>
    <xf numFmtId="1" fontId="0" fillId="0" borderId="4" xfId="1" applyNumberFormat="1" applyFont="1" applyBorder="1" applyAlignment="1">
      <alignment horizontal="center"/>
    </xf>
    <xf numFmtId="44" fontId="0" fillId="0" borderId="4" xfId="2" applyFont="1" applyBorder="1"/>
    <xf numFmtId="164" fontId="0" fillId="0" borderId="4" xfId="2" applyNumberFormat="1" applyFont="1" applyBorder="1"/>
    <xf numFmtId="0" fontId="6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164" fontId="0" fillId="0" borderId="5" xfId="0" applyNumberFormat="1" applyBorder="1"/>
    <xf numFmtId="164" fontId="0" fillId="0" borderId="0" xfId="0" applyNumberFormat="1" applyBorder="1"/>
    <xf numFmtId="164" fontId="2" fillId="0" borderId="0" xfId="0" applyNumberFormat="1" applyFont="1"/>
    <xf numFmtId="0" fontId="2" fillId="0" borderId="0" xfId="0" applyFont="1"/>
    <xf numFmtId="0" fontId="6" fillId="0" borderId="0" xfId="0" applyFont="1" applyBorder="1" applyAlignment="1">
      <alignment horizontal="center"/>
    </xf>
    <xf numFmtId="44" fontId="0" fillId="0" borderId="4" xfId="2" applyFont="1" applyFill="1" applyBorder="1"/>
    <xf numFmtId="44" fontId="0" fillId="0" borderId="0" xfId="2" applyFont="1" applyFill="1" applyBorder="1"/>
    <xf numFmtId="44" fontId="0" fillId="0" borderId="0" xfId="0" applyNumberFormat="1" applyFill="1" applyBorder="1"/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/>
    <xf numFmtId="10" fontId="0" fillId="0" borderId="0" xfId="3" applyNumberFormat="1" applyFont="1" applyFill="1"/>
    <xf numFmtId="10" fontId="0" fillId="0" borderId="0" xfId="3" applyNumberFormat="1" applyFont="1" applyFill="1" applyBorder="1"/>
    <xf numFmtId="0" fontId="8" fillId="0" borderId="0" xfId="0" applyFont="1" applyFill="1" applyBorder="1"/>
    <xf numFmtId="0" fontId="0" fillId="0" borderId="0" xfId="0" applyBorder="1" applyAlignment="1">
      <alignment horizontal="left"/>
    </xf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0" borderId="0" xfId="0" applyFont="1" applyFill="1"/>
    <xf numFmtId="0" fontId="6" fillId="0" borderId="4" xfId="0" applyFont="1" applyFill="1" applyBorder="1"/>
    <xf numFmtId="165" fontId="0" fillId="0" borderId="0" xfId="1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6" fillId="0" borderId="3" xfId="1" applyNumberFormat="1" applyFont="1" applyBorder="1" applyAlignment="1">
      <alignment horizontal="center"/>
    </xf>
    <xf numFmtId="0" fontId="11" fillId="0" borderId="0" xfId="0" applyFont="1"/>
    <xf numFmtId="44" fontId="11" fillId="0" borderId="0" xfId="0" applyNumberFormat="1" applyFont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0" fontId="11" fillId="0" borderId="0" xfId="0" applyFont="1" applyFill="1" applyBorder="1"/>
    <xf numFmtId="9" fontId="0" fillId="0" borderId="0" xfId="0" applyNumberFormat="1"/>
    <xf numFmtId="164" fontId="0" fillId="0" borderId="0" xfId="0" applyNumberFormat="1" applyFill="1"/>
    <xf numFmtId="0" fontId="0" fillId="0" borderId="0" xfId="0" applyFill="1" applyBorder="1" applyAlignment="1">
      <alignment horizontal="left"/>
    </xf>
    <xf numFmtId="10" fontId="0" fillId="0" borderId="0" xfId="3" applyNumberFormat="1" applyFont="1"/>
    <xf numFmtId="9" fontId="0" fillId="0" borderId="0" xfId="3" applyFont="1" applyFill="1"/>
    <xf numFmtId="164" fontId="3" fillId="0" borderId="0" xfId="0" applyNumberFormat="1" applyFont="1" applyFill="1" applyBorder="1"/>
    <xf numFmtId="166" fontId="0" fillId="0" borderId="0" xfId="0" applyNumberFormat="1"/>
    <xf numFmtId="43" fontId="0" fillId="0" borderId="0" xfId="1" applyFont="1" applyBorder="1"/>
    <xf numFmtId="0" fontId="6" fillId="0" borderId="0" xfId="0" applyFont="1" applyFill="1" applyAlignment="1">
      <alignment horizontal="center"/>
    </xf>
    <xf numFmtId="0" fontId="0" fillId="0" borderId="4" xfId="0" applyFill="1" applyBorder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3" xfId="0" applyFill="1" applyBorder="1"/>
    <xf numFmtId="165" fontId="0" fillId="0" borderId="0" xfId="0" applyNumberFormat="1" applyFill="1"/>
    <xf numFmtId="0" fontId="6" fillId="0" borderId="6" xfId="0" applyFont="1" applyFill="1" applyBorder="1"/>
    <xf numFmtId="164" fontId="6" fillId="0" borderId="6" xfId="0" applyNumberFormat="1" applyFont="1" applyFill="1" applyBorder="1"/>
    <xf numFmtId="0" fontId="6" fillId="0" borderId="0" xfId="0" applyFont="1" applyFill="1"/>
    <xf numFmtId="165" fontId="0" fillId="0" borderId="0" xfId="1" applyNumberFormat="1" applyFont="1" applyFill="1" applyAlignment="1">
      <alignment horizontal="center"/>
    </xf>
    <xf numFmtId="44" fontId="0" fillId="0" borderId="0" xfId="0" applyNumberFormat="1" applyFill="1" applyAlignment="1">
      <alignment horizontal="center"/>
    </xf>
    <xf numFmtId="44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0" xfId="0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zoomScaleNormal="100" workbookViewId="0">
      <selection activeCell="F17" sqref="F17"/>
    </sheetView>
  </sheetViews>
  <sheetFormatPr defaultRowHeight="14.5" x14ac:dyDescent="0.35"/>
  <cols>
    <col min="1" max="1" width="3.1796875" customWidth="1"/>
    <col min="2" max="2" width="46.453125" customWidth="1"/>
    <col min="3" max="3" width="6.453125" customWidth="1"/>
    <col min="4" max="4" width="27.453125" customWidth="1"/>
    <col min="5" max="5" width="7.453125" customWidth="1"/>
    <col min="6" max="6" width="14.7265625" customWidth="1"/>
    <col min="7" max="7" width="14" customWidth="1"/>
  </cols>
  <sheetData>
    <row r="1" spans="1:7" ht="21.5" thickBot="1" x14ac:dyDescent="0.55000000000000004">
      <c r="A1" s="123" t="s">
        <v>81</v>
      </c>
      <c r="B1" s="123"/>
      <c r="C1" s="123"/>
      <c r="D1" s="123"/>
    </row>
    <row r="2" spans="1:7" ht="19.5" thickTop="1" thickBot="1" x14ac:dyDescent="0.5">
      <c r="A2" s="124" t="s">
        <v>0</v>
      </c>
      <c r="B2" s="124"/>
      <c r="C2" s="124"/>
      <c r="D2" s="124"/>
    </row>
    <row r="3" spans="1:7" ht="15" thickTop="1" x14ac:dyDescent="0.35"/>
    <row r="4" spans="1:7" ht="19" thickBot="1" x14ac:dyDescent="0.5">
      <c r="A4" s="2"/>
      <c r="B4" s="125" t="s">
        <v>1</v>
      </c>
      <c r="C4" s="125"/>
      <c r="D4" s="125"/>
    </row>
    <row r="5" spans="1:7" x14ac:dyDescent="0.35">
      <c r="B5" t="s">
        <v>2</v>
      </c>
      <c r="D5" s="3">
        <f>'Revenues - Current Rates'!G235</f>
        <v>4073538.7643234534</v>
      </c>
    </row>
    <row r="6" spans="1:7" x14ac:dyDescent="0.35">
      <c r="B6" t="s">
        <v>3</v>
      </c>
      <c r="D6" s="3">
        <f>'Revenues - Current Rates'!G236</f>
        <v>120368.4865838509</v>
      </c>
    </row>
    <row r="7" spans="1:7" ht="15.5" x14ac:dyDescent="0.35">
      <c r="B7" s="4" t="s">
        <v>4</v>
      </c>
      <c r="D7" s="5">
        <f>SUM(D5:D6)</f>
        <v>4193907.2509073042</v>
      </c>
    </row>
    <row r="8" spans="1:7" x14ac:dyDescent="0.35">
      <c r="B8" s="6" t="s">
        <v>5</v>
      </c>
    </row>
    <row r="10" spans="1:7" ht="19" thickBot="1" x14ac:dyDescent="0.5">
      <c r="B10" s="125" t="s">
        <v>6</v>
      </c>
      <c r="C10" s="125"/>
      <c r="D10" s="125"/>
      <c r="F10" s="7" t="s">
        <v>7</v>
      </c>
      <c r="G10" s="7" t="s">
        <v>8</v>
      </c>
    </row>
    <row r="11" spans="1:7" ht="16.5" thickTop="1" thickBot="1" x14ac:dyDescent="0.4">
      <c r="B11" s="10" t="s">
        <v>10</v>
      </c>
      <c r="D11" s="11">
        <v>8900025</v>
      </c>
      <c r="E11" s="1"/>
      <c r="F11" s="11"/>
      <c r="G11" s="11"/>
    </row>
    <row r="12" spans="1:7" ht="16.5" thickTop="1" thickBot="1" x14ac:dyDescent="0.4">
      <c r="B12" s="4" t="s">
        <v>11</v>
      </c>
      <c r="D12" s="9">
        <f>D11-D6</f>
        <v>8779656.5134161487</v>
      </c>
      <c r="E12" s="1"/>
      <c r="F12" s="9">
        <f>D12*F16</f>
        <v>2795442.633871702</v>
      </c>
      <c r="G12" s="9">
        <f>D12-F12</f>
        <v>5984213.8795444462</v>
      </c>
    </row>
    <row r="13" spans="1:7" ht="16.5" thickTop="1" thickBot="1" x14ac:dyDescent="0.4">
      <c r="B13" s="14" t="s">
        <v>12</v>
      </c>
      <c r="D13" s="15">
        <f>D11-D7</f>
        <v>4706117.7490926962</v>
      </c>
    </row>
    <row r="14" spans="1:7" ht="15" thickTop="1" x14ac:dyDescent="0.35"/>
    <row r="15" spans="1:7" ht="15.5" x14ac:dyDescent="0.35">
      <c r="B15" s="75"/>
      <c r="D15" s="9"/>
      <c r="F15" s="9"/>
    </row>
    <row r="16" spans="1:7" x14ac:dyDescent="0.35">
      <c r="B16" s="16"/>
      <c r="D16" s="9"/>
      <c r="F16" s="95">
        <v>0.31840000000000002</v>
      </c>
      <c r="G16" s="95"/>
    </row>
    <row r="17" spans="2:4" x14ac:dyDescent="0.35">
      <c r="D17" s="9"/>
    </row>
    <row r="18" spans="2:4" x14ac:dyDescent="0.35">
      <c r="B18" s="16"/>
      <c r="D18" s="17"/>
    </row>
    <row r="19" spans="2:4" x14ac:dyDescent="0.35">
      <c r="B19" s="16"/>
      <c r="D19" s="18"/>
    </row>
  </sheetData>
  <mergeCells count="4">
    <mergeCell ref="A1:D1"/>
    <mergeCell ref="A2:D2"/>
    <mergeCell ref="B4:D4"/>
    <mergeCell ref="B10:D10"/>
  </mergeCells>
  <pageMargins left="0.7" right="0.7" top="0.75" bottom="0.75" header="0.3" footer="0.3"/>
  <pageSetup scale="76" firstPageNumber="5" orientation="portrait" r:id="rId1"/>
  <headerFooter>
    <oddFooter>&amp;RCase No. WR-2024-0104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9"/>
  <sheetViews>
    <sheetView topLeftCell="A3" zoomScale="90" zoomScaleNormal="90" workbookViewId="0">
      <selection activeCell="T34" sqref="T34"/>
    </sheetView>
  </sheetViews>
  <sheetFormatPr defaultRowHeight="14.5" x14ac:dyDescent="0.35"/>
  <cols>
    <col min="1" max="1" width="24.26953125" customWidth="1"/>
    <col min="2" max="2" width="4.54296875" customWidth="1"/>
    <col min="3" max="3" width="9.7265625" bestFit="1" customWidth="1"/>
    <col min="4" max="4" width="13.26953125" customWidth="1"/>
    <col min="5" max="5" width="15.54296875" customWidth="1"/>
    <col min="6" max="6" width="9.26953125" customWidth="1"/>
    <col min="7" max="7" width="12.453125" customWidth="1"/>
  </cols>
  <sheetData>
    <row r="1" spans="1:8" ht="21.5" thickBot="1" x14ac:dyDescent="0.55000000000000004">
      <c r="A1" s="123" t="str">
        <f>'Income Statement-Other S'!A1:D1</f>
        <v>Liberty Utilities (Missouri Water), LLC</v>
      </c>
      <c r="B1" s="123"/>
      <c r="C1" s="123"/>
      <c r="D1" s="123"/>
      <c r="E1" s="123"/>
      <c r="F1" s="123"/>
      <c r="G1" s="123"/>
    </row>
    <row r="2" spans="1:8" ht="19.5" thickTop="1" thickBot="1" x14ac:dyDescent="0.5">
      <c r="A2" s="124" t="s">
        <v>269</v>
      </c>
      <c r="B2" s="124"/>
      <c r="C2" s="124"/>
      <c r="D2" s="124"/>
      <c r="E2" s="124"/>
      <c r="F2" s="124"/>
      <c r="G2" s="124"/>
    </row>
    <row r="3" spans="1:8" ht="15" thickTop="1" x14ac:dyDescent="0.35"/>
    <row r="5" spans="1:8" ht="19" thickBot="1" x14ac:dyDescent="0.5">
      <c r="A5" s="125" t="s">
        <v>77</v>
      </c>
      <c r="B5" s="125"/>
      <c r="C5" s="125"/>
      <c r="D5" s="125"/>
      <c r="E5" s="125"/>
      <c r="F5" s="125"/>
      <c r="G5" s="125"/>
    </row>
    <row r="6" spans="1:8" x14ac:dyDescent="0.35">
      <c r="D6" s="61"/>
      <c r="E6" s="61"/>
      <c r="F6" s="61"/>
      <c r="G6" s="61"/>
      <c r="H6" s="61"/>
    </row>
    <row r="7" spans="1:8" ht="15.5" x14ac:dyDescent="0.35">
      <c r="A7" s="83" t="s">
        <v>239</v>
      </c>
      <c r="B7" s="12"/>
      <c r="D7" s="61"/>
      <c r="E7" s="83" t="s">
        <v>273</v>
      </c>
      <c r="F7" s="12"/>
      <c r="G7" s="61"/>
      <c r="H7" s="61"/>
    </row>
    <row r="8" spans="1:8" ht="15.5" x14ac:dyDescent="0.35">
      <c r="A8" s="91" t="s">
        <v>262</v>
      </c>
      <c r="B8" s="12"/>
      <c r="C8" s="24">
        <f>'Rate Design-Other S'!E14</f>
        <v>42.16</v>
      </c>
      <c r="D8" s="61"/>
      <c r="E8" s="91" t="s">
        <v>262</v>
      </c>
      <c r="F8" s="12"/>
      <c r="G8" s="24">
        <f>'Rate Design-Other S'!E21</f>
        <v>36.97</v>
      </c>
      <c r="H8" s="61"/>
    </row>
    <row r="9" spans="1:8" ht="15.5" x14ac:dyDescent="0.35">
      <c r="A9" s="91" t="s">
        <v>263</v>
      </c>
      <c r="B9" s="12"/>
      <c r="C9" s="24">
        <f>'Rate Design-Other S'!G14</f>
        <v>93.000547411124671</v>
      </c>
      <c r="D9" s="61"/>
      <c r="E9" s="91" t="s">
        <v>263</v>
      </c>
      <c r="F9" s="12"/>
      <c r="G9" s="24">
        <f>'Rate Design-Other S'!G21</f>
        <v>93.000547411124671</v>
      </c>
      <c r="H9" s="61"/>
    </row>
    <row r="10" spans="1:8" x14ac:dyDescent="0.35">
      <c r="A10" t="s">
        <v>264</v>
      </c>
      <c r="B10" s="51"/>
      <c r="C10" s="92">
        <f>(C9-C8)/C8</f>
        <v>1.2058953370760124</v>
      </c>
      <c r="D10" s="61"/>
      <c r="E10" t="s">
        <v>264</v>
      </c>
      <c r="F10" s="51"/>
      <c r="G10" s="92">
        <f>(G9-G8)/G8</f>
        <v>1.5155679581045354</v>
      </c>
      <c r="H10" s="61"/>
    </row>
    <row r="11" spans="1:8" x14ac:dyDescent="0.35">
      <c r="A11" s="51"/>
      <c r="B11" s="51"/>
      <c r="C11" s="53"/>
      <c r="D11" s="61"/>
      <c r="E11" s="51"/>
      <c r="F11" s="51"/>
      <c r="G11" s="69"/>
      <c r="H11" s="61"/>
    </row>
    <row r="12" spans="1:8" ht="15.5" x14ac:dyDescent="0.35">
      <c r="A12" s="83" t="s">
        <v>240</v>
      </c>
      <c r="B12" s="61"/>
      <c r="C12" s="70"/>
      <c r="D12" s="61"/>
      <c r="E12" s="83" t="s">
        <v>246</v>
      </c>
      <c r="F12" s="61"/>
      <c r="G12" s="70"/>
      <c r="H12" s="61"/>
    </row>
    <row r="13" spans="1:8" ht="15.5" x14ac:dyDescent="0.35">
      <c r="A13" s="91" t="s">
        <v>262</v>
      </c>
      <c r="B13" s="12"/>
      <c r="C13" s="24">
        <f>'Rate Design-Other S'!E15</f>
        <v>105.39</v>
      </c>
      <c r="D13" s="61"/>
      <c r="E13" s="91" t="s">
        <v>262</v>
      </c>
      <c r="F13" s="12"/>
      <c r="G13" s="24">
        <f>'Rate Design-Other S'!E22</f>
        <v>46.21</v>
      </c>
      <c r="H13" s="61"/>
    </row>
    <row r="14" spans="1:8" ht="15.5" x14ac:dyDescent="0.35">
      <c r="A14" s="91" t="s">
        <v>263</v>
      </c>
      <c r="B14" s="12"/>
      <c r="C14" s="24">
        <f>'Rate Design-Other S'!G15</f>
        <v>150.66088680602195</v>
      </c>
      <c r="D14" s="61"/>
      <c r="E14" s="91" t="s">
        <v>263</v>
      </c>
      <c r="F14" s="12"/>
      <c r="G14" s="24">
        <f>'Rate Design-Other S'!G22</f>
        <v>93.000547411124671</v>
      </c>
      <c r="H14" s="61"/>
    </row>
    <row r="15" spans="1:8" x14ac:dyDescent="0.35">
      <c r="A15" t="s">
        <v>264</v>
      </c>
      <c r="B15" s="51"/>
      <c r="C15" s="92">
        <f>(C14-C13)/C13</f>
        <v>0.42955580990627146</v>
      </c>
      <c r="D15" s="61"/>
      <c r="E15" t="s">
        <v>264</v>
      </c>
      <c r="F15" s="51"/>
      <c r="G15" s="92">
        <f>(G14-G13)/G13</f>
        <v>1.0125632419633124</v>
      </c>
      <c r="H15" s="61"/>
    </row>
    <row r="16" spans="1:8" ht="15.5" x14ac:dyDescent="0.35">
      <c r="A16" s="72"/>
      <c r="B16" s="72"/>
      <c r="C16" s="61"/>
      <c r="D16" s="61"/>
      <c r="E16" s="72"/>
      <c r="F16" s="72"/>
      <c r="G16" s="61"/>
      <c r="H16" s="61"/>
    </row>
    <row r="17" spans="1:8" ht="15.5" x14ac:dyDescent="0.35">
      <c r="A17" s="83" t="s">
        <v>241</v>
      </c>
      <c r="B17" s="61"/>
      <c r="C17" s="69"/>
      <c r="D17" s="61"/>
      <c r="E17" s="83" t="s">
        <v>247</v>
      </c>
      <c r="F17" s="61"/>
      <c r="G17" s="69"/>
      <c r="H17" s="61"/>
    </row>
    <row r="18" spans="1:8" ht="15.5" x14ac:dyDescent="0.35">
      <c r="A18" s="91" t="s">
        <v>262</v>
      </c>
      <c r="B18" s="12"/>
      <c r="C18" s="24">
        <f>'Rate Design-Other S'!E16</f>
        <v>37.08</v>
      </c>
      <c r="D18" s="61"/>
      <c r="E18" s="91" t="s">
        <v>262</v>
      </c>
      <c r="F18" s="12"/>
      <c r="G18" s="24">
        <f>'Rate Design-Other S'!E23</f>
        <v>46.21</v>
      </c>
      <c r="H18" s="61"/>
    </row>
    <row r="19" spans="1:8" ht="15.5" x14ac:dyDescent="0.35">
      <c r="A19" s="91" t="s">
        <v>263</v>
      </c>
      <c r="B19" s="12"/>
      <c r="C19" s="24">
        <f>'Rate Design-Other S'!G16</f>
        <v>86.090506737889484</v>
      </c>
      <c r="D19" s="61"/>
      <c r="E19" s="91" t="s">
        <v>263</v>
      </c>
      <c r="F19" s="12"/>
      <c r="G19" s="24">
        <f>'Rate Design-Other S'!G23</f>
        <v>93.000547411124671</v>
      </c>
      <c r="H19" s="61"/>
    </row>
    <row r="20" spans="1:8" x14ac:dyDescent="0.35">
      <c r="A20" t="s">
        <v>264</v>
      </c>
      <c r="B20" s="51"/>
      <c r="C20" s="92">
        <f>(C19-C18)/C18</f>
        <v>1.321750451399393</v>
      </c>
      <c r="D20" s="61"/>
      <c r="E20" t="s">
        <v>264</v>
      </c>
      <c r="F20" s="51"/>
      <c r="G20" s="92">
        <f>G19/G18</f>
        <v>2.0125632419633126</v>
      </c>
      <c r="H20" s="61"/>
    </row>
    <row r="21" spans="1:8" ht="15.5" x14ac:dyDescent="0.35">
      <c r="A21" s="72"/>
      <c r="B21" s="72"/>
      <c r="C21" s="61"/>
      <c r="D21" s="61"/>
      <c r="E21" s="51"/>
      <c r="F21" s="61"/>
      <c r="G21" s="70"/>
      <c r="H21" s="61"/>
    </row>
    <row r="22" spans="1:8" ht="15.5" x14ac:dyDescent="0.35">
      <c r="A22" s="83" t="s">
        <v>242</v>
      </c>
      <c r="B22" s="61"/>
      <c r="C22" s="69"/>
      <c r="D22" s="61"/>
      <c r="E22" s="83" t="s">
        <v>248</v>
      </c>
      <c r="F22" s="61"/>
      <c r="G22" s="61"/>
      <c r="H22" s="61"/>
    </row>
    <row r="23" spans="1:8" ht="15.5" x14ac:dyDescent="0.35">
      <c r="A23" s="91" t="s">
        <v>262</v>
      </c>
      <c r="B23" s="12"/>
      <c r="C23" s="24">
        <f>'Rate Design-Other S'!E17</f>
        <v>63.03</v>
      </c>
      <c r="D23" s="61"/>
      <c r="E23" s="91" t="s">
        <v>262</v>
      </c>
      <c r="F23" s="12"/>
      <c r="G23" s="24">
        <f>'Rate Design-Other S'!E24</f>
        <v>36.97</v>
      </c>
      <c r="H23" s="61"/>
    </row>
    <row r="24" spans="1:8" ht="15.5" x14ac:dyDescent="0.35">
      <c r="A24" s="91" t="s">
        <v>263</v>
      </c>
      <c r="B24" s="12"/>
      <c r="C24" s="24">
        <f>'Rate Design-Other S'!G17</f>
        <v>150.66088680602195</v>
      </c>
      <c r="D24" s="61"/>
      <c r="E24" s="91" t="s">
        <v>263</v>
      </c>
      <c r="F24" s="12"/>
      <c r="G24" s="24">
        <f>'Rate Design-Other S'!G24</f>
        <v>93.000547411124671</v>
      </c>
      <c r="H24" s="61"/>
    </row>
    <row r="25" spans="1:8" x14ac:dyDescent="0.35">
      <c r="A25" t="s">
        <v>264</v>
      </c>
      <c r="B25" s="51"/>
      <c r="C25" s="92">
        <f>(C24-C23)/C23</f>
        <v>1.3903044075205766</v>
      </c>
      <c r="D25" s="61"/>
      <c r="E25" t="s">
        <v>264</v>
      </c>
      <c r="F25" s="51"/>
      <c r="G25" s="92">
        <f>(G24-G23)/G23</f>
        <v>1.5155679581045354</v>
      </c>
      <c r="H25" s="61"/>
    </row>
    <row r="26" spans="1:8" ht="15.5" x14ac:dyDescent="0.35">
      <c r="A26" s="72"/>
      <c r="B26" s="72"/>
      <c r="C26" s="61"/>
      <c r="D26" s="61"/>
      <c r="E26" s="61"/>
      <c r="F26" s="61"/>
      <c r="G26" s="70"/>
      <c r="H26" s="61"/>
    </row>
    <row r="27" spans="1:8" ht="15.5" x14ac:dyDescent="0.35">
      <c r="A27" s="83" t="s">
        <v>243</v>
      </c>
      <c r="B27" s="61"/>
      <c r="C27" s="69"/>
      <c r="D27" s="61"/>
      <c r="E27" s="83" t="s">
        <v>249</v>
      </c>
      <c r="F27" s="12"/>
      <c r="G27" s="61"/>
      <c r="H27" s="61"/>
    </row>
    <row r="28" spans="1:8" ht="15.5" x14ac:dyDescent="0.35">
      <c r="A28" s="91" t="s">
        <v>262</v>
      </c>
      <c r="B28" s="12"/>
      <c r="C28" s="24">
        <f>'Rate Design-Other S'!E18</f>
        <v>196.51</v>
      </c>
      <c r="D28" s="61"/>
      <c r="E28" s="91" t="s">
        <v>262</v>
      </c>
      <c r="F28" s="12"/>
      <c r="G28" s="24">
        <f>'Rate Design-Other S'!E25</f>
        <v>34.36</v>
      </c>
      <c r="H28" s="61"/>
    </row>
    <row r="29" spans="1:8" ht="15.5" x14ac:dyDescent="0.35">
      <c r="A29" s="91" t="s">
        <v>263</v>
      </c>
      <c r="B29" s="12"/>
      <c r="C29" s="24">
        <f>'Rate Design-Other S'!G18</f>
        <v>301.33177367090531</v>
      </c>
      <c r="D29" s="61"/>
      <c r="E29" s="91" t="s">
        <v>263</v>
      </c>
      <c r="F29" s="12"/>
      <c r="G29" s="24">
        <f>'Rate Design-Other S'!G25</f>
        <v>93.000547411124671</v>
      </c>
      <c r="H29" s="61"/>
    </row>
    <row r="30" spans="1:8" x14ac:dyDescent="0.35">
      <c r="A30" t="s">
        <v>264</v>
      </c>
      <c r="B30" s="51"/>
      <c r="C30" s="92">
        <f>(C29-C28)/C28</f>
        <v>0.53341699491580741</v>
      </c>
      <c r="D30" s="61"/>
      <c r="E30" t="s">
        <v>264</v>
      </c>
      <c r="F30" s="51"/>
      <c r="G30" s="92">
        <f>(G29-G28)/G28</f>
        <v>1.7066515544564806</v>
      </c>
      <c r="H30" s="61"/>
    </row>
    <row r="31" spans="1:8" ht="15.5" x14ac:dyDescent="0.35">
      <c r="A31" s="72"/>
      <c r="B31" s="72"/>
      <c r="C31" s="61"/>
      <c r="D31" s="61"/>
      <c r="E31" s="51"/>
      <c r="F31" s="51"/>
      <c r="G31" s="69"/>
      <c r="H31" s="61"/>
    </row>
    <row r="32" spans="1:8" ht="15.5" x14ac:dyDescent="0.35">
      <c r="A32" s="83" t="s">
        <v>244</v>
      </c>
      <c r="B32" s="61"/>
      <c r="C32" s="69"/>
      <c r="D32" s="61"/>
      <c r="E32" s="83" t="s">
        <v>250</v>
      </c>
      <c r="F32" s="61"/>
      <c r="G32" s="70"/>
      <c r="H32" s="61"/>
    </row>
    <row r="33" spans="1:8" ht="15.5" x14ac:dyDescent="0.35">
      <c r="A33" s="91" t="s">
        <v>262</v>
      </c>
      <c r="B33" s="12"/>
      <c r="C33" s="24">
        <f>'Rate Design-Other S'!E19</f>
        <v>370.76</v>
      </c>
      <c r="D33" s="61"/>
      <c r="E33" s="91" t="s">
        <v>262</v>
      </c>
      <c r="F33" s="12"/>
      <c r="G33" s="24">
        <f>'Rate Design-Other S'!E26</f>
        <v>34.36</v>
      </c>
      <c r="H33" s="61"/>
    </row>
    <row r="34" spans="1:8" ht="15.5" x14ac:dyDescent="0.35">
      <c r="A34" s="91" t="s">
        <v>263</v>
      </c>
      <c r="B34" s="12"/>
      <c r="C34" s="24">
        <f>'Rate Design-Other S'!G19</f>
        <v>430.46253374830883</v>
      </c>
      <c r="D34" s="61"/>
      <c r="E34" s="91" t="s">
        <v>263</v>
      </c>
      <c r="F34" s="12"/>
      <c r="G34" s="24">
        <f>'Rate Design-Other S'!G26</f>
        <v>93.000547411124671</v>
      </c>
      <c r="H34" s="61"/>
    </row>
    <row r="35" spans="1:8" x14ac:dyDescent="0.35">
      <c r="A35" t="s">
        <v>264</v>
      </c>
      <c r="B35" s="51"/>
      <c r="C35" s="92">
        <f>(C34-C33)/C33</f>
        <v>0.16102744025328741</v>
      </c>
      <c r="D35" s="61"/>
      <c r="E35" t="s">
        <v>264</v>
      </c>
      <c r="F35" s="51"/>
      <c r="G35" s="92">
        <f>(G34-G33)/G33</f>
        <v>1.7066515544564806</v>
      </c>
      <c r="H35" s="61"/>
    </row>
    <row r="36" spans="1:8" ht="15.5" x14ac:dyDescent="0.35">
      <c r="A36" s="72"/>
      <c r="B36" s="72"/>
      <c r="C36" s="61"/>
      <c r="D36" s="61"/>
      <c r="E36" s="72"/>
      <c r="F36" s="72"/>
      <c r="G36" s="61"/>
      <c r="H36" s="61"/>
    </row>
    <row r="37" spans="1:8" ht="15.5" x14ac:dyDescent="0.35">
      <c r="A37" s="83" t="s">
        <v>245</v>
      </c>
      <c r="B37" s="61"/>
      <c r="C37" s="69"/>
      <c r="D37" s="61"/>
      <c r="E37" s="83" t="s">
        <v>251</v>
      </c>
      <c r="F37" s="61"/>
      <c r="G37" s="69"/>
      <c r="H37" s="61"/>
    </row>
    <row r="38" spans="1:8" ht="15.5" x14ac:dyDescent="0.35">
      <c r="A38" s="91" t="s">
        <v>262</v>
      </c>
      <c r="B38" s="12"/>
      <c r="C38" s="24">
        <f>'Rate Design-Other S'!E20</f>
        <v>37.08</v>
      </c>
      <c r="D38" s="61"/>
      <c r="E38" s="91" t="s">
        <v>262</v>
      </c>
      <c r="F38" s="12"/>
      <c r="G38" s="24">
        <f>'Rate Design-Other S'!E27</f>
        <v>27.49</v>
      </c>
      <c r="H38" s="61"/>
    </row>
    <row r="39" spans="1:8" ht="15.5" x14ac:dyDescent="0.35">
      <c r="A39" s="91" t="s">
        <v>263</v>
      </c>
      <c r="B39" s="12"/>
      <c r="C39" s="24">
        <f>'Rate Design-Other S'!G20</f>
        <v>86.090506737889484</v>
      </c>
      <c r="D39" s="61"/>
      <c r="E39" s="91" t="s">
        <v>263</v>
      </c>
      <c r="F39" s="12"/>
      <c r="G39" s="24">
        <f>'Rate Design-Other S'!G27</f>
        <v>93.000547411124671</v>
      </c>
      <c r="H39" s="61"/>
    </row>
    <row r="40" spans="1:8" x14ac:dyDescent="0.35">
      <c r="A40" t="s">
        <v>264</v>
      </c>
      <c r="B40" s="51"/>
      <c r="C40" s="92">
        <f>(C39-C38)/C38</f>
        <v>1.321750451399393</v>
      </c>
      <c r="D40" s="61"/>
      <c r="E40" t="s">
        <v>264</v>
      </c>
      <c r="F40" s="51"/>
      <c r="G40" s="92">
        <f>(G39-G38)/G38</f>
        <v>2.3830682943297448</v>
      </c>
      <c r="H40" s="61"/>
    </row>
    <row r="41" spans="1:8" ht="15.5" x14ac:dyDescent="0.35">
      <c r="A41" s="72"/>
      <c r="B41" s="72"/>
      <c r="C41" s="61"/>
      <c r="D41" s="61"/>
      <c r="E41" s="72"/>
      <c r="F41" s="61"/>
      <c r="G41" s="69"/>
      <c r="H41" s="61"/>
    </row>
    <row r="42" spans="1:8" x14ac:dyDescent="0.35">
      <c r="D42" s="61"/>
      <c r="E42" s="51"/>
      <c r="F42" s="61"/>
      <c r="G42" s="69"/>
      <c r="H42" s="61"/>
    </row>
    <row r="43" spans="1:8" x14ac:dyDescent="0.35">
      <c r="D43" s="61"/>
      <c r="E43" s="51"/>
      <c r="F43" s="61"/>
      <c r="G43" s="70"/>
    </row>
    <row r="44" spans="1:8" x14ac:dyDescent="0.35">
      <c r="E44" s="51"/>
      <c r="F44" s="61"/>
      <c r="G44" s="70"/>
    </row>
    <row r="45" spans="1:8" ht="15.5" x14ac:dyDescent="0.35">
      <c r="E45" s="72"/>
      <c r="F45" s="72"/>
      <c r="G45" s="61"/>
    </row>
    <row r="46" spans="1:8" ht="15.5" x14ac:dyDescent="0.35">
      <c r="E46" s="72"/>
      <c r="F46" s="61"/>
      <c r="G46" s="69"/>
    </row>
    <row r="47" spans="1:8" x14ac:dyDescent="0.35">
      <c r="E47" s="51"/>
      <c r="F47" s="61"/>
      <c r="G47" s="69"/>
    </row>
    <row r="48" spans="1:8" x14ac:dyDescent="0.35">
      <c r="E48" s="51"/>
      <c r="F48" s="61"/>
      <c r="G48" s="70"/>
    </row>
    <row r="49" spans="5:7" x14ac:dyDescent="0.35">
      <c r="E49" s="51"/>
      <c r="F49" s="61"/>
      <c r="G49" s="70"/>
    </row>
  </sheetData>
  <mergeCells count="3">
    <mergeCell ref="A1:G1"/>
    <mergeCell ref="A2:G2"/>
    <mergeCell ref="A5:G5"/>
  </mergeCells>
  <pageMargins left="0.7" right="0.7" top="0.75" bottom="0.75" header="0.3" footer="0.3"/>
  <pageSetup firstPageNumber="5" orientation="portrait" r:id="rId1"/>
  <headerFooter>
    <oddFooter>&amp;RCase No. WR-2024-0104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39"/>
  <sheetViews>
    <sheetView topLeftCell="A198" zoomScaleNormal="100" workbookViewId="0">
      <selection activeCell="G229" sqref="G229"/>
    </sheetView>
  </sheetViews>
  <sheetFormatPr defaultRowHeight="14.5" x14ac:dyDescent="0.35"/>
  <cols>
    <col min="1" max="1" width="31.54296875" customWidth="1"/>
    <col min="2" max="2" width="2.1796875" customWidth="1"/>
    <col min="3" max="3" width="11.1796875" customWidth="1"/>
    <col min="4" max="4" width="2" customWidth="1"/>
    <col min="6" max="6" width="1.81640625" customWidth="1"/>
    <col min="7" max="7" width="12.7265625" customWidth="1"/>
    <col min="8" max="8" width="1.81640625" customWidth="1"/>
    <col min="10" max="10" width="1.81640625" customWidth="1"/>
    <col min="11" max="11" width="14.26953125" bestFit="1" customWidth="1"/>
    <col min="14" max="15" width="11.54296875" bestFit="1" customWidth="1"/>
  </cols>
  <sheetData>
    <row r="1" spans="1:16" ht="21.5" thickBot="1" x14ac:dyDescent="0.55000000000000004">
      <c r="A1" s="123" t="str">
        <f>'Income Statement'!A1:D1</f>
        <v>Liberty Utilities (Missouri Water), LLC - Water, All Other Service Areas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6" ht="19.5" thickTop="1" thickBot="1" x14ac:dyDescent="0.5">
      <c r="A2" s="124" t="s">
        <v>14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O2" s="9"/>
      <c r="P2" s="9"/>
    </row>
    <row r="3" spans="1:16" ht="15" thickTop="1" x14ac:dyDescent="0.35">
      <c r="O3" s="9"/>
      <c r="P3" s="9"/>
    </row>
    <row r="4" spans="1:16" ht="19" thickBot="1" x14ac:dyDescent="0.5">
      <c r="A4" s="125" t="s">
        <v>15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O4" s="9"/>
      <c r="P4" s="9"/>
    </row>
    <row r="5" spans="1:16" x14ac:dyDescent="0.35">
      <c r="O5" s="9"/>
      <c r="P5" s="9"/>
    </row>
    <row r="6" spans="1:16" ht="15" thickBot="1" x14ac:dyDescent="0.4">
      <c r="A6" s="126" t="s">
        <v>16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O6" s="9"/>
    </row>
    <row r="7" spans="1:16" x14ac:dyDescent="0.35">
      <c r="A7" s="19" t="s">
        <v>17</v>
      </c>
      <c r="B7" s="19"/>
      <c r="C7" s="19" t="s">
        <v>18</v>
      </c>
      <c r="D7" s="19"/>
      <c r="E7" s="19" t="s">
        <v>19</v>
      </c>
      <c r="F7" s="19"/>
      <c r="G7" s="19" t="s">
        <v>20</v>
      </c>
      <c r="H7" s="19"/>
      <c r="I7" s="19"/>
      <c r="J7" s="19"/>
      <c r="K7" s="19" t="s">
        <v>21</v>
      </c>
      <c r="O7" s="9"/>
      <c r="P7" s="9"/>
    </row>
    <row r="8" spans="1:16" x14ac:dyDescent="0.35">
      <c r="A8" s="20" t="s">
        <v>22</v>
      </c>
      <c r="B8" s="20"/>
      <c r="C8" s="20" t="s">
        <v>23</v>
      </c>
      <c r="D8" s="20"/>
      <c r="E8" s="20" t="s">
        <v>24</v>
      </c>
      <c r="F8" s="20"/>
      <c r="G8" s="20" t="s">
        <v>25</v>
      </c>
      <c r="H8" s="20"/>
      <c r="I8" s="20" t="s">
        <v>26</v>
      </c>
      <c r="J8" s="20"/>
      <c r="K8" s="20" t="s">
        <v>27</v>
      </c>
      <c r="O8" s="9"/>
      <c r="P8" s="9"/>
    </row>
    <row r="9" spans="1:16" x14ac:dyDescent="0.35">
      <c r="A9" s="21" t="s">
        <v>82</v>
      </c>
      <c r="C9" s="22">
        <v>537</v>
      </c>
      <c r="D9" s="78"/>
      <c r="E9" s="78">
        <v>12</v>
      </c>
      <c r="F9" s="78"/>
      <c r="G9" s="22">
        <f>C9*E9</f>
        <v>6444</v>
      </c>
      <c r="I9" s="24">
        <v>23.86</v>
      </c>
      <c r="K9" s="9">
        <f>G9*I9</f>
        <v>153753.84</v>
      </c>
      <c r="O9" s="9"/>
      <c r="P9" s="9"/>
    </row>
    <row r="10" spans="1:16" x14ac:dyDescent="0.35">
      <c r="A10" s="21" t="s">
        <v>83</v>
      </c>
      <c r="C10" s="22">
        <v>10</v>
      </c>
      <c r="D10" s="78"/>
      <c r="E10" s="78">
        <v>12</v>
      </c>
      <c r="F10" s="78"/>
      <c r="G10" s="22">
        <f t="shared" ref="G10:G73" si="0">C10*E10</f>
        <v>120</v>
      </c>
      <c r="I10" s="24">
        <v>33.409999999999997</v>
      </c>
      <c r="K10" s="9">
        <f>G10*I10</f>
        <v>4009.2</v>
      </c>
    </row>
    <row r="11" spans="1:16" x14ac:dyDescent="0.35">
      <c r="A11" s="21" t="s">
        <v>84</v>
      </c>
      <c r="C11" s="22">
        <v>1</v>
      </c>
      <c r="D11" s="78"/>
      <c r="E11" s="78">
        <v>12</v>
      </c>
      <c r="F11" s="78"/>
      <c r="G11" s="22">
        <f t="shared" si="0"/>
        <v>12</v>
      </c>
      <c r="I11" s="24">
        <v>40.56</v>
      </c>
      <c r="K11" s="9">
        <f t="shared" ref="K11:K14" si="1">G11*I11</f>
        <v>486.72</v>
      </c>
    </row>
    <row r="12" spans="1:16" x14ac:dyDescent="0.35">
      <c r="A12" s="21" t="s">
        <v>85</v>
      </c>
      <c r="C12" s="22">
        <v>0</v>
      </c>
      <c r="D12" s="78"/>
      <c r="E12" s="78">
        <v>12</v>
      </c>
      <c r="F12" s="78"/>
      <c r="G12" s="22">
        <f t="shared" si="0"/>
        <v>0</v>
      </c>
      <c r="I12" s="24">
        <v>126.46</v>
      </c>
      <c r="K12" s="9">
        <f t="shared" si="1"/>
        <v>0</v>
      </c>
    </row>
    <row r="13" spans="1:16" x14ac:dyDescent="0.35">
      <c r="A13" s="21" t="s">
        <v>86</v>
      </c>
      <c r="C13" s="22">
        <v>0</v>
      </c>
      <c r="D13" s="78"/>
      <c r="E13" s="78">
        <v>12</v>
      </c>
      <c r="F13" s="78"/>
      <c r="G13" s="22">
        <f t="shared" si="0"/>
        <v>0</v>
      </c>
      <c r="I13" s="24">
        <v>334.05</v>
      </c>
      <c r="K13" s="9">
        <f t="shared" si="1"/>
        <v>0</v>
      </c>
    </row>
    <row r="14" spans="1:16" x14ac:dyDescent="0.35">
      <c r="A14" s="21" t="s">
        <v>87</v>
      </c>
      <c r="C14" s="22">
        <v>16</v>
      </c>
      <c r="D14" s="78"/>
      <c r="E14" s="78">
        <v>12</v>
      </c>
      <c r="F14" s="78"/>
      <c r="G14" s="22">
        <f t="shared" si="0"/>
        <v>192</v>
      </c>
      <c r="I14" s="24">
        <v>40.56</v>
      </c>
      <c r="K14" s="9">
        <f t="shared" si="1"/>
        <v>7787.52</v>
      </c>
    </row>
    <row r="15" spans="1:16" x14ac:dyDescent="0.35">
      <c r="A15" s="21" t="s">
        <v>88</v>
      </c>
      <c r="C15" s="22">
        <v>5</v>
      </c>
      <c r="D15" s="78"/>
      <c r="E15" s="78">
        <v>12</v>
      </c>
      <c r="F15" s="78"/>
      <c r="G15" s="22">
        <f t="shared" si="0"/>
        <v>60</v>
      </c>
      <c r="I15" s="24">
        <v>126.46</v>
      </c>
      <c r="K15" s="9">
        <f>G15*I15</f>
        <v>7587.5999999999995</v>
      </c>
    </row>
    <row r="16" spans="1:16" x14ac:dyDescent="0.35">
      <c r="A16" s="21" t="s">
        <v>89</v>
      </c>
      <c r="C16" s="22">
        <v>10</v>
      </c>
      <c r="D16" s="78"/>
      <c r="E16" s="78">
        <v>12</v>
      </c>
      <c r="F16" s="78"/>
      <c r="G16" s="22">
        <f t="shared" si="0"/>
        <v>120</v>
      </c>
      <c r="I16" s="24">
        <v>33.409999999999997</v>
      </c>
      <c r="K16" s="9">
        <f t="shared" ref="K16:K109" si="2">G16*I16</f>
        <v>4009.2</v>
      </c>
    </row>
    <row r="17" spans="1:11" x14ac:dyDescent="0.35">
      <c r="A17" s="21" t="s">
        <v>90</v>
      </c>
      <c r="C17" s="22">
        <v>0</v>
      </c>
      <c r="D17" s="78"/>
      <c r="E17" s="78">
        <v>12</v>
      </c>
      <c r="F17" s="78"/>
      <c r="G17" s="22">
        <f t="shared" si="0"/>
        <v>0</v>
      </c>
      <c r="I17" s="24">
        <v>334.05</v>
      </c>
      <c r="K17" s="9">
        <f t="shared" si="2"/>
        <v>0</v>
      </c>
    </row>
    <row r="18" spans="1:11" x14ac:dyDescent="0.35">
      <c r="A18" s="21" t="s">
        <v>91</v>
      </c>
      <c r="C18" s="22">
        <v>70</v>
      </c>
      <c r="D18" s="78"/>
      <c r="E18" s="78">
        <v>12</v>
      </c>
      <c r="F18" s="78"/>
      <c r="G18" s="22">
        <f t="shared" si="0"/>
        <v>840</v>
      </c>
      <c r="I18" s="24">
        <v>23.86</v>
      </c>
      <c r="K18" s="9">
        <f t="shared" si="2"/>
        <v>20042.399999999998</v>
      </c>
    </row>
    <row r="19" spans="1:11" x14ac:dyDescent="0.35">
      <c r="A19" s="21" t="s">
        <v>92</v>
      </c>
      <c r="C19" s="22">
        <v>1</v>
      </c>
      <c r="D19" s="78"/>
      <c r="E19" s="78">
        <v>12</v>
      </c>
      <c r="F19" s="78"/>
      <c r="G19" s="22">
        <f t="shared" si="0"/>
        <v>12</v>
      </c>
      <c r="I19" s="24">
        <v>501.08</v>
      </c>
      <c r="K19" s="9">
        <f t="shared" si="2"/>
        <v>6012.96</v>
      </c>
    </row>
    <row r="20" spans="1:11" x14ac:dyDescent="0.35">
      <c r="A20" s="21" t="s">
        <v>93</v>
      </c>
      <c r="C20" s="22">
        <v>1</v>
      </c>
      <c r="D20" s="78"/>
      <c r="E20" s="78">
        <v>12</v>
      </c>
      <c r="F20" s="78"/>
      <c r="G20" s="22">
        <f t="shared" si="0"/>
        <v>12</v>
      </c>
      <c r="I20" s="24">
        <v>23.86</v>
      </c>
      <c r="K20" s="9">
        <f t="shared" si="2"/>
        <v>286.32</v>
      </c>
    </row>
    <row r="21" spans="1:11" x14ac:dyDescent="0.35">
      <c r="A21" s="21" t="s">
        <v>94</v>
      </c>
      <c r="C21" s="22">
        <v>0</v>
      </c>
      <c r="D21" s="78"/>
      <c r="E21" s="78">
        <v>12</v>
      </c>
      <c r="F21" s="78"/>
      <c r="G21" s="22">
        <f t="shared" si="0"/>
        <v>0</v>
      </c>
      <c r="I21" s="24">
        <v>23.86</v>
      </c>
      <c r="K21" s="9">
        <f t="shared" si="2"/>
        <v>0</v>
      </c>
    </row>
    <row r="22" spans="1:11" x14ac:dyDescent="0.35">
      <c r="A22" s="21" t="s">
        <v>95</v>
      </c>
      <c r="C22" s="22">
        <v>0</v>
      </c>
      <c r="D22" s="78"/>
      <c r="E22" s="78">
        <v>12</v>
      </c>
      <c r="F22" s="78"/>
      <c r="G22" s="22">
        <f t="shared" si="0"/>
        <v>0</v>
      </c>
      <c r="I22" s="24">
        <v>33.409999999999997</v>
      </c>
      <c r="K22" s="9">
        <f t="shared" si="2"/>
        <v>0</v>
      </c>
    </row>
    <row r="23" spans="1:11" x14ac:dyDescent="0.35">
      <c r="A23" s="21" t="s">
        <v>96</v>
      </c>
      <c r="C23" s="22">
        <v>0</v>
      </c>
      <c r="D23" s="78"/>
      <c r="E23" s="78">
        <v>12</v>
      </c>
      <c r="F23" s="78"/>
      <c r="G23" s="22">
        <f t="shared" si="0"/>
        <v>0</v>
      </c>
      <c r="I23" s="24">
        <v>40.56</v>
      </c>
      <c r="K23" s="9">
        <f t="shared" si="2"/>
        <v>0</v>
      </c>
    </row>
    <row r="24" spans="1:11" x14ac:dyDescent="0.35">
      <c r="A24" s="21" t="s">
        <v>97</v>
      </c>
      <c r="C24" s="22">
        <v>1</v>
      </c>
      <c r="D24" s="78"/>
      <c r="E24" s="78">
        <v>12</v>
      </c>
      <c r="F24" s="78"/>
      <c r="G24" s="22">
        <f t="shared" si="0"/>
        <v>12</v>
      </c>
      <c r="I24" s="24">
        <v>126.46</v>
      </c>
      <c r="K24" s="9">
        <f t="shared" si="2"/>
        <v>1517.52</v>
      </c>
    </row>
    <row r="25" spans="1:11" x14ac:dyDescent="0.35">
      <c r="A25" s="21" t="s">
        <v>98</v>
      </c>
      <c r="C25" s="22">
        <v>2</v>
      </c>
      <c r="D25" s="78"/>
      <c r="E25" s="78">
        <v>12</v>
      </c>
      <c r="F25" s="78"/>
      <c r="G25" s="22">
        <f t="shared" si="0"/>
        <v>24</v>
      </c>
      <c r="I25" s="24">
        <v>334.05</v>
      </c>
      <c r="K25" s="9">
        <f t="shared" si="2"/>
        <v>8017.2000000000007</v>
      </c>
    </row>
    <row r="26" spans="1:11" x14ac:dyDescent="0.35">
      <c r="A26" s="21" t="s">
        <v>99</v>
      </c>
      <c r="C26" s="22">
        <v>1</v>
      </c>
      <c r="D26" s="78"/>
      <c r="E26" s="78">
        <v>12</v>
      </c>
      <c r="F26" s="78"/>
      <c r="G26" s="22">
        <f t="shared" si="0"/>
        <v>12</v>
      </c>
      <c r="I26" s="24">
        <v>501.08</v>
      </c>
      <c r="K26" s="9">
        <f t="shared" si="2"/>
        <v>6012.96</v>
      </c>
    </row>
    <row r="27" spans="1:11" x14ac:dyDescent="0.35">
      <c r="A27" s="21" t="s">
        <v>100</v>
      </c>
      <c r="C27" s="22">
        <v>398</v>
      </c>
      <c r="D27" s="78"/>
      <c r="E27" s="78">
        <v>12</v>
      </c>
      <c r="F27" s="78"/>
      <c r="G27" s="22">
        <f t="shared" si="0"/>
        <v>4776</v>
      </c>
      <c r="I27" s="24">
        <v>30.04</v>
      </c>
      <c r="K27" s="9">
        <f t="shared" si="2"/>
        <v>143471.04000000001</v>
      </c>
    </row>
    <row r="28" spans="1:11" x14ac:dyDescent="0.35">
      <c r="A28" s="21" t="s">
        <v>101</v>
      </c>
      <c r="C28" s="22">
        <v>96</v>
      </c>
      <c r="D28" s="78"/>
      <c r="E28" s="78">
        <v>12</v>
      </c>
      <c r="F28" s="78"/>
      <c r="G28" s="22">
        <f t="shared" si="0"/>
        <v>1152</v>
      </c>
      <c r="I28" s="24">
        <v>30.04</v>
      </c>
      <c r="K28" s="9">
        <f t="shared" si="2"/>
        <v>34606.080000000002</v>
      </c>
    </row>
    <row r="29" spans="1:11" x14ac:dyDescent="0.35">
      <c r="A29" s="21" t="s">
        <v>102</v>
      </c>
      <c r="C29" s="22">
        <v>1</v>
      </c>
      <c r="D29" s="78"/>
      <c r="E29" s="78">
        <v>12</v>
      </c>
      <c r="F29" s="78"/>
      <c r="G29" s="22">
        <f t="shared" si="0"/>
        <v>12</v>
      </c>
      <c r="I29" s="24">
        <v>60.08</v>
      </c>
      <c r="K29" s="9">
        <f t="shared" si="2"/>
        <v>720.96</v>
      </c>
    </row>
    <row r="30" spans="1:11" x14ac:dyDescent="0.35">
      <c r="A30" s="21" t="s">
        <v>103</v>
      </c>
      <c r="C30" s="22">
        <v>5</v>
      </c>
      <c r="D30" s="78"/>
      <c r="E30" s="78">
        <v>12</v>
      </c>
      <c r="F30" s="78"/>
      <c r="G30" s="22">
        <f t="shared" si="0"/>
        <v>60</v>
      </c>
      <c r="I30" s="24">
        <v>30.04</v>
      </c>
      <c r="K30" s="9">
        <f t="shared" si="2"/>
        <v>1802.3999999999999</v>
      </c>
    </row>
    <row r="31" spans="1:11" x14ac:dyDescent="0.35">
      <c r="A31" s="21" t="s">
        <v>104</v>
      </c>
      <c r="C31" s="22">
        <v>23</v>
      </c>
      <c r="D31" s="78"/>
      <c r="E31" s="78">
        <v>12</v>
      </c>
      <c r="F31" s="78"/>
      <c r="G31" s="22">
        <f t="shared" si="0"/>
        <v>276</v>
      </c>
      <c r="I31" s="24">
        <v>30.04</v>
      </c>
      <c r="K31" s="9">
        <f t="shared" si="2"/>
        <v>8291.0399999999991</v>
      </c>
    </row>
    <row r="32" spans="1:11" x14ac:dyDescent="0.35">
      <c r="A32" s="21" t="s">
        <v>105</v>
      </c>
      <c r="C32" s="22">
        <v>2</v>
      </c>
      <c r="D32" s="78"/>
      <c r="E32" s="78">
        <v>12</v>
      </c>
      <c r="F32" s="78"/>
      <c r="G32" s="22">
        <f t="shared" si="0"/>
        <v>24</v>
      </c>
      <c r="I32" s="24">
        <v>30.04</v>
      </c>
      <c r="K32" s="9">
        <f t="shared" si="2"/>
        <v>720.96</v>
      </c>
    </row>
    <row r="33" spans="1:11" x14ac:dyDescent="0.35">
      <c r="A33" s="21" t="s">
        <v>106</v>
      </c>
      <c r="C33" s="22">
        <v>7</v>
      </c>
      <c r="D33" s="78"/>
      <c r="E33" s="78">
        <v>12</v>
      </c>
      <c r="F33" s="78"/>
      <c r="G33" s="22">
        <f t="shared" si="0"/>
        <v>84</v>
      </c>
      <c r="I33" s="24">
        <v>60.08</v>
      </c>
      <c r="K33" s="9">
        <f t="shared" si="2"/>
        <v>5046.72</v>
      </c>
    </row>
    <row r="34" spans="1:11" x14ac:dyDescent="0.35">
      <c r="A34" s="21" t="s">
        <v>107</v>
      </c>
      <c r="C34" s="22">
        <v>473</v>
      </c>
      <c r="D34" s="78"/>
      <c r="E34" s="78">
        <v>12</v>
      </c>
      <c r="F34" s="78"/>
      <c r="G34" s="22">
        <f t="shared" si="0"/>
        <v>5676</v>
      </c>
      <c r="I34" s="24">
        <v>26.65</v>
      </c>
      <c r="K34" s="9">
        <f t="shared" si="2"/>
        <v>151265.4</v>
      </c>
    </row>
    <row r="35" spans="1:11" x14ac:dyDescent="0.35">
      <c r="A35" s="21" t="s">
        <v>108</v>
      </c>
      <c r="C35" s="22">
        <v>1</v>
      </c>
      <c r="D35" s="78"/>
      <c r="E35" s="78">
        <v>12</v>
      </c>
      <c r="F35" s="78"/>
      <c r="G35" s="22">
        <f t="shared" si="0"/>
        <v>12</v>
      </c>
      <c r="I35" s="24">
        <v>45.31</v>
      </c>
      <c r="K35" s="9">
        <f t="shared" si="2"/>
        <v>543.72</v>
      </c>
    </row>
    <row r="36" spans="1:11" x14ac:dyDescent="0.35">
      <c r="A36" s="21" t="s">
        <v>109</v>
      </c>
      <c r="C36" s="22">
        <v>54</v>
      </c>
      <c r="D36" s="78"/>
      <c r="E36" s="78">
        <v>12</v>
      </c>
      <c r="F36" s="78"/>
      <c r="G36" s="22">
        <f t="shared" si="0"/>
        <v>648</v>
      </c>
      <c r="I36" s="24">
        <v>106.61</v>
      </c>
      <c r="K36" s="9">
        <f t="shared" si="2"/>
        <v>69083.28</v>
      </c>
    </row>
    <row r="37" spans="1:11" x14ac:dyDescent="0.35">
      <c r="A37" s="21" t="s">
        <v>110</v>
      </c>
      <c r="C37" s="22">
        <v>6</v>
      </c>
      <c r="D37" s="78"/>
      <c r="E37" s="78">
        <v>12</v>
      </c>
      <c r="F37" s="78"/>
      <c r="G37" s="22">
        <f t="shared" si="0"/>
        <v>72</v>
      </c>
      <c r="I37" s="24">
        <v>293.17</v>
      </c>
      <c r="K37" s="9">
        <f t="shared" si="2"/>
        <v>21108.240000000002</v>
      </c>
    </row>
    <row r="38" spans="1:11" x14ac:dyDescent="0.35">
      <c r="A38" s="21" t="s">
        <v>111</v>
      </c>
      <c r="C38" s="22">
        <v>0</v>
      </c>
      <c r="D38" s="78"/>
      <c r="E38" s="78">
        <v>12</v>
      </c>
      <c r="F38" s="78"/>
      <c r="G38" s="22">
        <f t="shared" si="0"/>
        <v>0</v>
      </c>
      <c r="I38" s="24">
        <v>373.13</v>
      </c>
      <c r="K38" s="9">
        <f t="shared" si="2"/>
        <v>0</v>
      </c>
    </row>
    <row r="39" spans="1:11" x14ac:dyDescent="0.35">
      <c r="A39" s="21" t="s">
        <v>112</v>
      </c>
      <c r="C39" s="22">
        <v>8</v>
      </c>
      <c r="D39" s="78"/>
      <c r="E39" s="78">
        <v>12</v>
      </c>
      <c r="F39" s="78"/>
      <c r="G39" s="22">
        <f t="shared" si="0"/>
        <v>96</v>
      </c>
      <c r="I39" s="24">
        <v>26.65</v>
      </c>
      <c r="K39" s="9">
        <f t="shared" si="2"/>
        <v>2558.3999999999996</v>
      </c>
    </row>
    <row r="40" spans="1:11" x14ac:dyDescent="0.35">
      <c r="A40" s="21" t="s">
        <v>113</v>
      </c>
      <c r="C40" s="22">
        <v>14</v>
      </c>
      <c r="D40" s="78"/>
      <c r="E40" s="78">
        <v>12</v>
      </c>
      <c r="F40" s="78"/>
      <c r="G40" s="22">
        <f t="shared" si="0"/>
        <v>168</v>
      </c>
      <c r="I40" s="24">
        <v>45.31</v>
      </c>
      <c r="K40" s="9">
        <f t="shared" si="2"/>
        <v>7612.08</v>
      </c>
    </row>
    <row r="41" spans="1:11" x14ac:dyDescent="0.35">
      <c r="A41" s="21" t="s">
        <v>114</v>
      </c>
      <c r="C41" s="22">
        <v>20</v>
      </c>
      <c r="D41" s="78"/>
      <c r="E41" s="78">
        <v>12</v>
      </c>
      <c r="F41" s="78"/>
      <c r="G41" s="22">
        <f t="shared" si="0"/>
        <v>240</v>
      </c>
      <c r="I41" s="24">
        <v>106.61</v>
      </c>
      <c r="K41" s="9">
        <f t="shared" si="2"/>
        <v>25586.400000000001</v>
      </c>
    </row>
    <row r="42" spans="1:11" x14ac:dyDescent="0.35">
      <c r="A42" s="21" t="s">
        <v>115</v>
      </c>
      <c r="C42" s="22">
        <v>2</v>
      </c>
      <c r="D42" s="78"/>
      <c r="E42" s="78">
        <v>12</v>
      </c>
      <c r="F42" s="78"/>
      <c r="G42" s="22">
        <f t="shared" si="0"/>
        <v>24</v>
      </c>
      <c r="I42" s="24">
        <v>293.17</v>
      </c>
      <c r="K42" s="9">
        <f t="shared" si="2"/>
        <v>7036.08</v>
      </c>
    </row>
    <row r="43" spans="1:11" x14ac:dyDescent="0.35">
      <c r="A43" s="21" t="s">
        <v>116</v>
      </c>
      <c r="C43" s="22">
        <v>30</v>
      </c>
      <c r="D43" s="78"/>
      <c r="E43" s="78">
        <v>12</v>
      </c>
      <c r="F43" s="78"/>
      <c r="G43" s="22">
        <f t="shared" si="0"/>
        <v>360</v>
      </c>
      <c r="I43" s="24">
        <v>26.65</v>
      </c>
      <c r="K43" s="9">
        <f t="shared" si="2"/>
        <v>9594</v>
      </c>
    </row>
    <row r="44" spans="1:11" x14ac:dyDescent="0.35">
      <c r="A44" s="21" t="s">
        <v>117</v>
      </c>
      <c r="C44" s="22">
        <v>3</v>
      </c>
      <c r="D44" s="78"/>
      <c r="E44" s="78">
        <v>12</v>
      </c>
      <c r="F44" s="78"/>
      <c r="G44" s="22">
        <f t="shared" si="0"/>
        <v>36</v>
      </c>
      <c r="I44" s="24">
        <v>373.13</v>
      </c>
      <c r="K44" s="9">
        <f t="shared" si="2"/>
        <v>13432.68</v>
      </c>
    </row>
    <row r="45" spans="1:11" x14ac:dyDescent="0.35">
      <c r="A45" s="21" t="s">
        <v>118</v>
      </c>
      <c r="C45" s="22">
        <v>7</v>
      </c>
      <c r="D45" s="78"/>
      <c r="E45" s="78">
        <v>12</v>
      </c>
      <c r="F45" s="78"/>
      <c r="G45" s="22">
        <f t="shared" si="0"/>
        <v>84</v>
      </c>
      <c r="I45" s="24">
        <v>26.65</v>
      </c>
      <c r="K45" s="9">
        <f t="shared" si="2"/>
        <v>2238.6</v>
      </c>
    </row>
    <row r="46" spans="1:11" x14ac:dyDescent="0.35">
      <c r="A46" s="21" t="s">
        <v>119</v>
      </c>
      <c r="C46" s="22">
        <v>5</v>
      </c>
      <c r="D46" s="78"/>
      <c r="E46" s="78">
        <v>12</v>
      </c>
      <c r="F46" s="78"/>
      <c r="G46" s="22">
        <f t="shared" si="0"/>
        <v>60</v>
      </c>
      <c r="I46" s="24">
        <v>45.31</v>
      </c>
      <c r="K46" s="9">
        <f t="shared" si="2"/>
        <v>2718.6000000000004</v>
      </c>
    </row>
    <row r="47" spans="1:11" x14ac:dyDescent="0.35">
      <c r="A47" s="21" t="s">
        <v>120</v>
      </c>
      <c r="C47" s="22">
        <v>6</v>
      </c>
      <c r="D47" s="78"/>
      <c r="E47" s="78">
        <v>12</v>
      </c>
      <c r="F47" s="78"/>
      <c r="G47" s="22">
        <f t="shared" si="0"/>
        <v>72</v>
      </c>
      <c r="I47" s="24">
        <v>106.61</v>
      </c>
      <c r="K47" s="9">
        <f t="shared" si="2"/>
        <v>7675.92</v>
      </c>
    </row>
    <row r="48" spans="1:11" x14ac:dyDescent="0.35">
      <c r="A48" s="21" t="s">
        <v>121</v>
      </c>
      <c r="C48" s="22">
        <v>9</v>
      </c>
      <c r="D48" s="78"/>
      <c r="E48" s="78">
        <v>12</v>
      </c>
      <c r="F48" s="78"/>
      <c r="G48" s="22">
        <f t="shared" si="0"/>
        <v>108</v>
      </c>
      <c r="I48" s="24">
        <v>26.65</v>
      </c>
      <c r="K48" s="9">
        <f t="shared" si="2"/>
        <v>2878.2</v>
      </c>
    </row>
    <row r="49" spans="1:11" x14ac:dyDescent="0.35">
      <c r="A49" s="21" t="s">
        <v>122</v>
      </c>
      <c r="C49" s="22">
        <v>41</v>
      </c>
      <c r="D49" s="78"/>
      <c r="E49" s="78">
        <v>12</v>
      </c>
      <c r="F49" s="78"/>
      <c r="G49" s="22">
        <f t="shared" si="0"/>
        <v>492</v>
      </c>
      <c r="I49" s="24">
        <v>5.7</v>
      </c>
      <c r="K49" s="9">
        <f t="shared" si="2"/>
        <v>2804.4</v>
      </c>
    </row>
    <row r="50" spans="1:11" x14ac:dyDescent="0.35">
      <c r="A50" s="21" t="s">
        <v>123</v>
      </c>
      <c r="C50" s="22">
        <v>148</v>
      </c>
      <c r="D50" s="78"/>
      <c r="E50" s="78">
        <v>12</v>
      </c>
      <c r="F50" s="78"/>
      <c r="G50" s="22">
        <f t="shared" si="0"/>
        <v>1776</v>
      </c>
      <c r="I50" s="24">
        <v>5.7</v>
      </c>
      <c r="K50" s="9">
        <f t="shared" si="2"/>
        <v>10123.200000000001</v>
      </c>
    </row>
    <row r="51" spans="1:11" x14ac:dyDescent="0.35">
      <c r="A51" s="21" t="s">
        <v>124</v>
      </c>
      <c r="C51" s="22">
        <v>3</v>
      </c>
      <c r="D51" s="78"/>
      <c r="E51" s="78">
        <v>12</v>
      </c>
      <c r="F51" s="78"/>
      <c r="G51" s="22">
        <f t="shared" si="0"/>
        <v>36</v>
      </c>
      <c r="I51" s="24">
        <v>5.7</v>
      </c>
      <c r="K51" s="9">
        <f t="shared" si="2"/>
        <v>205.20000000000002</v>
      </c>
    </row>
    <row r="52" spans="1:11" x14ac:dyDescent="0.35">
      <c r="A52" s="21" t="s">
        <v>125</v>
      </c>
      <c r="C52" s="22">
        <v>1889</v>
      </c>
      <c r="D52" s="78"/>
      <c r="E52" s="78">
        <v>12</v>
      </c>
      <c r="F52" s="78"/>
      <c r="G52" s="22">
        <f t="shared" si="0"/>
        <v>22668</v>
      </c>
      <c r="I52" s="24">
        <v>12.93</v>
      </c>
      <c r="K52" s="9">
        <f t="shared" si="2"/>
        <v>293097.24</v>
      </c>
    </row>
    <row r="53" spans="1:11" x14ac:dyDescent="0.35">
      <c r="A53" s="21" t="s">
        <v>126</v>
      </c>
      <c r="C53" s="22">
        <v>2201</v>
      </c>
      <c r="D53" s="78"/>
      <c r="E53" s="78">
        <v>12</v>
      </c>
      <c r="F53" s="78"/>
      <c r="G53" s="22">
        <f t="shared" si="0"/>
        <v>26412</v>
      </c>
      <c r="I53" s="24">
        <v>12.93</v>
      </c>
      <c r="K53" s="9">
        <f t="shared" si="2"/>
        <v>341507.16</v>
      </c>
    </row>
    <row r="54" spans="1:11" x14ac:dyDescent="0.35">
      <c r="A54" s="21" t="s">
        <v>127</v>
      </c>
      <c r="C54" s="22">
        <v>15</v>
      </c>
      <c r="D54" s="78"/>
      <c r="E54" s="78">
        <v>12</v>
      </c>
      <c r="F54" s="78"/>
      <c r="G54" s="22">
        <f t="shared" si="0"/>
        <v>180</v>
      </c>
      <c r="I54" s="24">
        <v>28.32</v>
      </c>
      <c r="K54" s="9">
        <f t="shared" si="2"/>
        <v>5097.6000000000004</v>
      </c>
    </row>
    <row r="55" spans="1:11" x14ac:dyDescent="0.35">
      <c r="A55" s="21" t="s">
        <v>128</v>
      </c>
      <c r="C55" s="22">
        <v>5</v>
      </c>
      <c r="D55" s="78"/>
      <c r="E55" s="78">
        <v>12</v>
      </c>
      <c r="F55" s="78"/>
      <c r="G55" s="22">
        <f t="shared" si="0"/>
        <v>60</v>
      </c>
      <c r="I55" s="24">
        <v>84.76</v>
      </c>
      <c r="K55" s="9">
        <f t="shared" si="2"/>
        <v>5085.6000000000004</v>
      </c>
    </row>
    <row r="56" spans="1:11" x14ac:dyDescent="0.35">
      <c r="A56" s="21" t="s">
        <v>129</v>
      </c>
      <c r="C56" s="22">
        <v>0</v>
      </c>
      <c r="D56" s="78"/>
      <c r="E56" s="78">
        <v>12</v>
      </c>
      <c r="F56" s="78"/>
      <c r="G56" s="22">
        <f t="shared" si="0"/>
        <v>0</v>
      </c>
      <c r="I56" s="24">
        <v>259.14</v>
      </c>
      <c r="K56" s="9">
        <f t="shared" si="2"/>
        <v>0</v>
      </c>
    </row>
    <row r="57" spans="1:11" x14ac:dyDescent="0.35">
      <c r="A57" s="21" t="s">
        <v>130</v>
      </c>
      <c r="C57" s="22">
        <v>0</v>
      </c>
      <c r="D57" s="78"/>
      <c r="E57" s="78">
        <v>12</v>
      </c>
      <c r="F57" s="78"/>
      <c r="G57" s="22">
        <f t="shared" si="0"/>
        <v>0</v>
      </c>
      <c r="I57" s="24">
        <v>515.46</v>
      </c>
      <c r="K57" s="9">
        <f t="shared" si="2"/>
        <v>0</v>
      </c>
    </row>
    <row r="58" spans="1:11" x14ac:dyDescent="0.35">
      <c r="A58" s="21" t="s">
        <v>131</v>
      </c>
      <c r="C58" s="22">
        <v>0</v>
      </c>
      <c r="D58" s="78"/>
      <c r="E58" s="78">
        <v>12</v>
      </c>
      <c r="F58" s="78"/>
      <c r="G58" s="22">
        <f t="shared" si="0"/>
        <v>0</v>
      </c>
      <c r="I58" s="24">
        <v>18.350000000000001</v>
      </c>
      <c r="K58" s="9">
        <f t="shared" si="2"/>
        <v>0</v>
      </c>
    </row>
    <row r="59" spans="1:11" x14ac:dyDescent="0.35">
      <c r="A59" s="21" t="s">
        <v>132</v>
      </c>
      <c r="C59" s="22">
        <v>52</v>
      </c>
      <c r="D59" s="78"/>
      <c r="E59" s="78">
        <v>12</v>
      </c>
      <c r="F59" s="78"/>
      <c r="G59" s="22">
        <f t="shared" si="0"/>
        <v>624</v>
      </c>
      <c r="I59" s="24">
        <v>12.93</v>
      </c>
      <c r="K59" s="9">
        <f t="shared" si="2"/>
        <v>8068.32</v>
      </c>
    </row>
    <row r="60" spans="1:11" x14ac:dyDescent="0.35">
      <c r="A60" s="21" t="s">
        <v>133</v>
      </c>
      <c r="C60" s="22">
        <v>73</v>
      </c>
      <c r="D60" s="78"/>
      <c r="E60" s="78">
        <v>12</v>
      </c>
      <c r="F60" s="78"/>
      <c r="G60" s="22">
        <f t="shared" si="0"/>
        <v>876</v>
      </c>
      <c r="I60" s="24">
        <v>28.32</v>
      </c>
      <c r="K60" s="9">
        <f t="shared" si="2"/>
        <v>24808.32</v>
      </c>
    </row>
    <row r="61" spans="1:11" x14ac:dyDescent="0.35">
      <c r="A61" s="21" t="s">
        <v>134</v>
      </c>
      <c r="C61" s="22">
        <v>79</v>
      </c>
      <c r="D61" s="78"/>
      <c r="E61" s="78">
        <v>12</v>
      </c>
      <c r="F61" s="78"/>
      <c r="G61" s="22">
        <f t="shared" si="0"/>
        <v>948</v>
      </c>
      <c r="I61" s="24">
        <v>84.76</v>
      </c>
      <c r="K61" s="9">
        <f t="shared" si="2"/>
        <v>80352.48000000001</v>
      </c>
    </row>
    <row r="62" spans="1:11" x14ac:dyDescent="0.35">
      <c r="A62" s="21" t="s">
        <v>135</v>
      </c>
      <c r="C62" s="22">
        <v>129</v>
      </c>
      <c r="D62" s="78"/>
      <c r="E62" s="78">
        <v>12</v>
      </c>
      <c r="F62" s="78"/>
      <c r="G62" s="22">
        <f t="shared" si="0"/>
        <v>1548</v>
      </c>
      <c r="I62" s="24">
        <v>12.93</v>
      </c>
      <c r="K62" s="9">
        <f t="shared" si="2"/>
        <v>20015.64</v>
      </c>
    </row>
    <row r="63" spans="1:11" x14ac:dyDescent="0.35">
      <c r="A63" s="21" t="s">
        <v>136</v>
      </c>
      <c r="C63" s="22">
        <v>187</v>
      </c>
      <c r="D63" s="78"/>
      <c r="E63" s="78">
        <v>12</v>
      </c>
      <c r="F63" s="78"/>
      <c r="G63" s="22">
        <f t="shared" si="0"/>
        <v>2244</v>
      </c>
      <c r="I63" s="24">
        <v>12.93</v>
      </c>
      <c r="K63" s="9">
        <f t="shared" si="2"/>
        <v>29014.92</v>
      </c>
    </row>
    <row r="64" spans="1:11" x14ac:dyDescent="0.35">
      <c r="A64" s="21" t="s">
        <v>137</v>
      </c>
      <c r="C64" s="22">
        <v>4</v>
      </c>
      <c r="D64" s="78"/>
      <c r="E64" s="78">
        <v>12</v>
      </c>
      <c r="F64" s="78"/>
      <c r="G64" s="22">
        <f t="shared" si="0"/>
        <v>48</v>
      </c>
      <c r="I64" s="24">
        <v>259.14</v>
      </c>
      <c r="K64" s="9">
        <f t="shared" si="2"/>
        <v>12438.72</v>
      </c>
    </row>
    <row r="65" spans="1:11" x14ac:dyDescent="0.35">
      <c r="A65" s="21" t="s">
        <v>132</v>
      </c>
      <c r="C65" s="22">
        <v>8</v>
      </c>
      <c r="D65" s="78"/>
      <c r="E65" s="78">
        <v>12</v>
      </c>
      <c r="F65" s="78"/>
      <c r="G65" s="22">
        <f t="shared" si="0"/>
        <v>96</v>
      </c>
      <c r="I65" s="24">
        <v>12.93</v>
      </c>
      <c r="K65" s="9">
        <f t="shared" si="2"/>
        <v>1241.28</v>
      </c>
    </row>
    <row r="66" spans="1:11" x14ac:dyDescent="0.35">
      <c r="A66" s="21" t="s">
        <v>131</v>
      </c>
      <c r="C66" s="22">
        <v>0</v>
      </c>
      <c r="D66" s="78"/>
      <c r="E66" s="78">
        <v>12</v>
      </c>
      <c r="F66" s="78"/>
      <c r="G66" s="22">
        <f t="shared" si="0"/>
        <v>0</v>
      </c>
      <c r="I66" s="24">
        <v>18.350000000000001</v>
      </c>
      <c r="K66" s="9">
        <f t="shared" si="2"/>
        <v>0</v>
      </c>
    </row>
    <row r="67" spans="1:11" x14ac:dyDescent="0.35">
      <c r="A67" s="21" t="s">
        <v>138</v>
      </c>
      <c r="C67" s="22">
        <v>3</v>
      </c>
      <c r="D67" s="78"/>
      <c r="E67" s="78">
        <v>12</v>
      </c>
      <c r="F67" s="78"/>
      <c r="G67" s="22">
        <f t="shared" si="0"/>
        <v>36</v>
      </c>
      <c r="I67" s="24">
        <v>84.76</v>
      </c>
      <c r="K67" s="9">
        <f t="shared" si="2"/>
        <v>3051.36</v>
      </c>
    </row>
    <row r="68" spans="1:11" x14ac:dyDescent="0.35">
      <c r="A68" s="21" t="s">
        <v>139</v>
      </c>
      <c r="C68" s="22">
        <v>2</v>
      </c>
      <c r="D68" s="78"/>
      <c r="E68" s="78">
        <v>12</v>
      </c>
      <c r="F68" s="78"/>
      <c r="G68" s="22">
        <f t="shared" si="0"/>
        <v>24</v>
      </c>
      <c r="I68" s="24">
        <v>12.93</v>
      </c>
      <c r="K68" s="9">
        <f t="shared" si="2"/>
        <v>310.32</v>
      </c>
    </row>
    <row r="69" spans="1:11" x14ac:dyDescent="0.35">
      <c r="A69" s="21" t="s">
        <v>140</v>
      </c>
      <c r="C69" s="22">
        <v>6</v>
      </c>
      <c r="D69" s="78"/>
      <c r="E69" s="78">
        <v>12</v>
      </c>
      <c r="F69" s="78"/>
      <c r="G69" s="22">
        <f t="shared" si="0"/>
        <v>72</v>
      </c>
      <c r="I69" s="24">
        <v>259.14</v>
      </c>
      <c r="K69" s="9">
        <f t="shared" si="2"/>
        <v>18658.079999999998</v>
      </c>
    </row>
    <row r="70" spans="1:11" x14ac:dyDescent="0.35">
      <c r="A70" s="21" t="s">
        <v>141</v>
      </c>
      <c r="C70" s="22">
        <v>1</v>
      </c>
      <c r="D70" s="78"/>
      <c r="E70" s="78">
        <v>12</v>
      </c>
      <c r="F70" s="78"/>
      <c r="G70" s="22">
        <f t="shared" si="0"/>
        <v>12</v>
      </c>
      <c r="I70" s="24">
        <v>84.76</v>
      </c>
      <c r="K70" s="9">
        <f t="shared" si="2"/>
        <v>1017.1200000000001</v>
      </c>
    </row>
    <row r="71" spans="1:11" x14ac:dyDescent="0.35">
      <c r="A71" s="21" t="s">
        <v>142</v>
      </c>
      <c r="C71" s="22">
        <v>1</v>
      </c>
      <c r="D71" s="78"/>
      <c r="E71" s="78">
        <v>12</v>
      </c>
      <c r="F71" s="78"/>
      <c r="G71" s="22">
        <f t="shared" si="0"/>
        <v>12</v>
      </c>
      <c r="I71" s="24">
        <v>12.93</v>
      </c>
      <c r="K71" s="9">
        <f t="shared" si="2"/>
        <v>155.16</v>
      </c>
    </row>
    <row r="72" spans="1:11" x14ac:dyDescent="0.35">
      <c r="A72" s="21" t="s">
        <v>143</v>
      </c>
      <c r="C72" s="22">
        <v>2</v>
      </c>
      <c r="D72" s="78"/>
      <c r="E72" s="78">
        <v>12</v>
      </c>
      <c r="F72" s="78"/>
      <c r="G72" s="22">
        <f t="shared" si="0"/>
        <v>24</v>
      </c>
      <c r="I72" s="24">
        <v>28.32</v>
      </c>
      <c r="K72" s="9">
        <f t="shared" si="2"/>
        <v>679.68000000000006</v>
      </c>
    </row>
    <row r="73" spans="1:11" x14ac:dyDescent="0.35">
      <c r="A73" s="21" t="s">
        <v>144</v>
      </c>
      <c r="C73" s="22">
        <v>1</v>
      </c>
      <c r="D73" s="78"/>
      <c r="E73" s="78">
        <v>12</v>
      </c>
      <c r="F73" s="78"/>
      <c r="G73" s="22">
        <f t="shared" si="0"/>
        <v>12</v>
      </c>
      <c r="I73" s="24">
        <v>84.76</v>
      </c>
      <c r="K73" s="9">
        <f t="shared" si="2"/>
        <v>1017.1200000000001</v>
      </c>
    </row>
    <row r="74" spans="1:11" x14ac:dyDescent="0.35">
      <c r="A74" s="21" t="s">
        <v>145</v>
      </c>
      <c r="C74" s="22">
        <v>1</v>
      </c>
      <c r="D74" s="78"/>
      <c r="E74" s="78">
        <v>12</v>
      </c>
      <c r="F74" s="78"/>
      <c r="G74" s="22">
        <f t="shared" ref="G74:G109" si="3">C74*E74</f>
        <v>12</v>
      </c>
      <c r="I74" s="24">
        <v>12.93</v>
      </c>
      <c r="K74" s="9">
        <f t="shared" si="2"/>
        <v>155.16</v>
      </c>
    </row>
    <row r="75" spans="1:11" x14ac:dyDescent="0.35">
      <c r="A75" s="21" t="s">
        <v>146</v>
      </c>
      <c r="C75" s="22">
        <v>3</v>
      </c>
      <c r="D75" s="78"/>
      <c r="E75" s="78">
        <v>12</v>
      </c>
      <c r="F75" s="78"/>
      <c r="G75" s="22">
        <f t="shared" si="3"/>
        <v>36</v>
      </c>
      <c r="I75" s="24">
        <v>28.32</v>
      </c>
      <c r="K75" s="9">
        <f t="shared" si="2"/>
        <v>1019.52</v>
      </c>
    </row>
    <row r="76" spans="1:11" x14ac:dyDescent="0.35">
      <c r="A76" s="21" t="s">
        <v>147</v>
      </c>
      <c r="C76" s="22">
        <v>5</v>
      </c>
      <c r="D76" s="78"/>
      <c r="E76" s="78">
        <v>12</v>
      </c>
      <c r="F76" s="78"/>
      <c r="G76" s="22">
        <f t="shared" si="3"/>
        <v>60</v>
      </c>
      <c r="I76" s="24">
        <v>84.76</v>
      </c>
      <c r="K76" s="9">
        <f t="shared" si="2"/>
        <v>5085.6000000000004</v>
      </c>
    </row>
    <row r="77" spans="1:11" x14ac:dyDescent="0.35">
      <c r="A77" s="21" t="s">
        <v>148</v>
      </c>
      <c r="C77" s="22">
        <v>7</v>
      </c>
      <c r="D77" s="78"/>
      <c r="E77" s="78">
        <v>12</v>
      </c>
      <c r="F77" s="78"/>
      <c r="G77" s="22">
        <f t="shared" si="3"/>
        <v>84</v>
      </c>
      <c r="I77" s="24">
        <v>12.93</v>
      </c>
      <c r="K77" s="9">
        <f t="shared" si="2"/>
        <v>1086.1199999999999</v>
      </c>
    </row>
    <row r="78" spans="1:11" x14ac:dyDescent="0.35">
      <c r="A78" s="76" t="s">
        <v>149</v>
      </c>
      <c r="C78" s="22">
        <v>5</v>
      </c>
      <c r="D78" s="78"/>
      <c r="E78" s="78">
        <v>12</v>
      </c>
      <c r="F78" s="78"/>
      <c r="G78" s="22">
        <f t="shared" si="3"/>
        <v>60</v>
      </c>
      <c r="I78" s="24">
        <v>12.93</v>
      </c>
      <c r="K78" s="9">
        <f t="shared" si="2"/>
        <v>775.8</v>
      </c>
    </row>
    <row r="79" spans="1:11" x14ac:dyDescent="0.35">
      <c r="A79" s="21" t="s">
        <v>150</v>
      </c>
      <c r="C79" s="22">
        <v>159</v>
      </c>
      <c r="D79" s="78"/>
      <c r="E79" s="78">
        <v>12</v>
      </c>
      <c r="F79" s="78"/>
      <c r="G79" s="22">
        <f t="shared" si="3"/>
        <v>1908</v>
      </c>
      <c r="I79" s="24">
        <v>31.93</v>
      </c>
      <c r="K79" s="9">
        <f>G79*I79-1</f>
        <v>60921.440000000002</v>
      </c>
    </row>
    <row r="80" spans="1:11" x14ac:dyDescent="0.35">
      <c r="A80" s="21" t="s">
        <v>151</v>
      </c>
      <c r="C80" s="22">
        <v>18</v>
      </c>
      <c r="D80" s="78"/>
      <c r="E80" s="78">
        <v>12</v>
      </c>
      <c r="F80" s="78"/>
      <c r="G80" s="22">
        <f t="shared" si="3"/>
        <v>216</v>
      </c>
      <c r="I80" s="24">
        <v>20.58</v>
      </c>
      <c r="K80" s="9">
        <f t="shared" si="2"/>
        <v>4445.28</v>
      </c>
    </row>
    <row r="81" spans="1:11" x14ac:dyDescent="0.35">
      <c r="A81" s="21" t="s">
        <v>152</v>
      </c>
      <c r="C81" s="22">
        <v>0</v>
      </c>
      <c r="D81" s="78"/>
      <c r="E81" s="78">
        <v>12</v>
      </c>
      <c r="F81" s="78"/>
      <c r="G81" s="22">
        <v>0</v>
      </c>
      <c r="I81" s="24">
        <v>18.350000000000001</v>
      </c>
      <c r="K81" s="9">
        <v>0</v>
      </c>
    </row>
    <row r="82" spans="1:11" x14ac:dyDescent="0.35">
      <c r="A82" s="21" t="s">
        <v>153</v>
      </c>
      <c r="C82" s="22">
        <v>54</v>
      </c>
      <c r="D82" s="78"/>
      <c r="E82" s="78">
        <v>12</v>
      </c>
      <c r="F82" s="78"/>
      <c r="G82" s="22">
        <f t="shared" si="3"/>
        <v>648</v>
      </c>
      <c r="I82" s="24">
        <v>15.07</v>
      </c>
      <c r="K82" s="9">
        <f t="shared" si="2"/>
        <v>9765.36</v>
      </c>
    </row>
    <row r="83" spans="1:11" x14ac:dyDescent="0.35">
      <c r="A83" s="21" t="s">
        <v>154</v>
      </c>
      <c r="C83" s="22">
        <v>2</v>
      </c>
      <c r="D83" s="78"/>
      <c r="E83" s="78">
        <v>12</v>
      </c>
      <c r="F83" s="78"/>
      <c r="G83" s="22">
        <f t="shared" si="3"/>
        <v>24</v>
      </c>
      <c r="I83" s="24">
        <v>15.07</v>
      </c>
      <c r="K83" s="9">
        <f t="shared" si="2"/>
        <v>361.68</v>
      </c>
    </row>
    <row r="84" spans="1:11" x14ac:dyDescent="0.35">
      <c r="A84" s="21" t="s">
        <v>155</v>
      </c>
      <c r="C84" s="22">
        <v>1</v>
      </c>
      <c r="D84" s="78"/>
      <c r="E84" s="78">
        <v>12</v>
      </c>
      <c r="F84" s="78"/>
      <c r="G84" s="22">
        <f t="shared" si="3"/>
        <v>12</v>
      </c>
      <c r="I84" s="24">
        <v>15.07</v>
      </c>
      <c r="K84" s="9">
        <f t="shared" si="2"/>
        <v>180.84</v>
      </c>
    </row>
    <row r="85" spans="1:11" x14ac:dyDescent="0.35">
      <c r="A85" s="21" t="s">
        <v>156</v>
      </c>
      <c r="C85" s="22">
        <v>98</v>
      </c>
      <c r="D85" s="78"/>
      <c r="E85" s="78">
        <v>12</v>
      </c>
      <c r="F85" s="78"/>
      <c r="G85" s="22">
        <f t="shared" si="3"/>
        <v>1176</v>
      </c>
      <c r="I85" s="24">
        <v>15.5</v>
      </c>
      <c r="K85" s="9">
        <f t="shared" si="2"/>
        <v>18228</v>
      </c>
    </row>
    <row r="86" spans="1:11" x14ac:dyDescent="0.35">
      <c r="A86" s="21" t="s">
        <v>157</v>
      </c>
      <c r="C86" s="22">
        <v>1</v>
      </c>
      <c r="D86" s="78"/>
      <c r="E86" s="78">
        <v>12</v>
      </c>
      <c r="F86" s="78"/>
      <c r="G86" s="22">
        <f t="shared" si="3"/>
        <v>12</v>
      </c>
      <c r="I86" s="24">
        <v>15.5</v>
      </c>
      <c r="K86" s="9">
        <f t="shared" si="2"/>
        <v>186</v>
      </c>
    </row>
    <row r="87" spans="1:11" x14ac:dyDescent="0.35">
      <c r="A87" s="21" t="s">
        <v>158</v>
      </c>
      <c r="C87" s="22">
        <v>11</v>
      </c>
      <c r="D87" s="78"/>
      <c r="E87" s="78">
        <v>12</v>
      </c>
      <c r="F87" s="78"/>
      <c r="G87" s="22">
        <f t="shared" si="3"/>
        <v>132</v>
      </c>
      <c r="I87" s="24">
        <v>20.69</v>
      </c>
      <c r="K87" s="9">
        <f t="shared" si="2"/>
        <v>2731.0800000000004</v>
      </c>
    </row>
    <row r="88" spans="1:11" x14ac:dyDescent="0.35">
      <c r="A88" s="21" t="s">
        <v>159</v>
      </c>
      <c r="C88" s="22">
        <v>35</v>
      </c>
      <c r="D88" s="78"/>
      <c r="E88" s="78">
        <v>12</v>
      </c>
      <c r="F88" s="78"/>
      <c r="G88" s="22">
        <f t="shared" si="3"/>
        <v>420</v>
      </c>
      <c r="I88" s="24">
        <v>20.69</v>
      </c>
      <c r="K88" s="9">
        <f t="shared" si="2"/>
        <v>8689.8000000000011</v>
      </c>
    </row>
    <row r="89" spans="1:11" x14ac:dyDescent="0.35">
      <c r="A89" s="21" t="s">
        <v>160</v>
      </c>
      <c r="C89" s="22">
        <f>40+23</f>
        <v>63</v>
      </c>
      <c r="D89" s="78"/>
      <c r="E89" s="78">
        <v>12</v>
      </c>
      <c r="F89" s="78"/>
      <c r="G89" s="22">
        <f t="shared" si="3"/>
        <v>756</v>
      </c>
      <c r="I89" s="24">
        <v>17.22</v>
      </c>
      <c r="K89" s="9">
        <f t="shared" si="2"/>
        <v>13018.32</v>
      </c>
    </row>
    <row r="90" spans="1:11" x14ac:dyDescent="0.35">
      <c r="A90" s="21" t="s">
        <v>161</v>
      </c>
      <c r="C90" s="22">
        <v>1</v>
      </c>
      <c r="D90" s="78"/>
      <c r="E90" s="78">
        <v>12</v>
      </c>
      <c r="F90" s="78"/>
      <c r="G90" s="22">
        <f t="shared" si="3"/>
        <v>12</v>
      </c>
      <c r="I90" s="24">
        <v>17.22</v>
      </c>
      <c r="K90" s="9">
        <f t="shared" si="2"/>
        <v>206.64</v>
      </c>
    </row>
    <row r="91" spans="1:11" x14ac:dyDescent="0.35">
      <c r="A91" s="21" t="s">
        <v>162</v>
      </c>
      <c r="C91" s="22">
        <v>86</v>
      </c>
      <c r="D91" s="78"/>
      <c r="E91" s="78">
        <v>12</v>
      </c>
      <c r="F91" s="78"/>
      <c r="G91" s="22">
        <f t="shared" si="3"/>
        <v>1032</v>
      </c>
      <c r="I91" s="24">
        <v>9.49</v>
      </c>
      <c r="K91" s="9">
        <f t="shared" si="2"/>
        <v>9793.68</v>
      </c>
    </row>
    <row r="92" spans="1:11" x14ac:dyDescent="0.35">
      <c r="A92" s="21" t="s">
        <v>163</v>
      </c>
      <c r="C92" s="22">
        <f>4+2</f>
        <v>6</v>
      </c>
      <c r="D92" s="78"/>
      <c r="E92" s="78">
        <v>12</v>
      </c>
      <c r="F92" s="78"/>
      <c r="G92" s="22">
        <f t="shared" si="3"/>
        <v>72</v>
      </c>
      <c r="I92" s="24">
        <v>9.49</v>
      </c>
      <c r="K92" s="9">
        <f t="shared" si="2"/>
        <v>683.28</v>
      </c>
    </row>
    <row r="93" spans="1:11" x14ac:dyDescent="0.35">
      <c r="A93" s="21" t="s">
        <v>164</v>
      </c>
      <c r="C93" s="22">
        <v>22</v>
      </c>
      <c r="D93" s="78"/>
      <c r="E93" s="78">
        <v>12</v>
      </c>
      <c r="F93" s="78"/>
      <c r="G93" s="22">
        <f t="shared" si="3"/>
        <v>264</v>
      </c>
      <c r="I93" s="24">
        <v>28.13</v>
      </c>
      <c r="K93" s="9">
        <f t="shared" si="2"/>
        <v>7426.32</v>
      </c>
    </row>
    <row r="94" spans="1:11" x14ac:dyDescent="0.35">
      <c r="A94" s="21" t="s">
        <v>165</v>
      </c>
      <c r="C94" s="22">
        <v>51</v>
      </c>
      <c r="D94" s="78"/>
      <c r="E94" s="78">
        <v>12</v>
      </c>
      <c r="F94" s="78"/>
      <c r="G94" s="22">
        <f t="shared" si="3"/>
        <v>612</v>
      </c>
      <c r="I94" s="24">
        <v>28.13</v>
      </c>
      <c r="K94" s="9">
        <f t="shared" si="2"/>
        <v>17215.559999999998</v>
      </c>
    </row>
    <row r="95" spans="1:11" x14ac:dyDescent="0.35">
      <c r="A95" s="21" t="s">
        <v>166</v>
      </c>
      <c r="C95" s="22">
        <v>154</v>
      </c>
      <c r="D95" s="78"/>
      <c r="E95" s="78">
        <v>12</v>
      </c>
      <c r="F95" s="78"/>
      <c r="G95" s="22">
        <f t="shared" si="3"/>
        <v>1848</v>
      </c>
      <c r="I95" s="24">
        <v>21.56</v>
      </c>
      <c r="K95" s="9">
        <f t="shared" si="2"/>
        <v>39842.879999999997</v>
      </c>
    </row>
    <row r="96" spans="1:11" x14ac:dyDescent="0.35">
      <c r="A96" s="21" t="s">
        <v>167</v>
      </c>
      <c r="C96" s="22">
        <v>7</v>
      </c>
      <c r="D96" s="78"/>
      <c r="E96" s="78">
        <v>12</v>
      </c>
      <c r="F96" s="78"/>
      <c r="G96" s="22">
        <f t="shared" si="3"/>
        <v>84</v>
      </c>
      <c r="I96" s="24">
        <v>21.56</v>
      </c>
      <c r="K96" s="9">
        <f t="shared" si="2"/>
        <v>1811.04</v>
      </c>
    </row>
    <row r="97" spans="1:11" x14ac:dyDescent="0.35">
      <c r="A97" s="21" t="s">
        <v>168</v>
      </c>
      <c r="C97" s="22">
        <v>10</v>
      </c>
      <c r="D97" s="78"/>
      <c r="E97" s="78">
        <v>12</v>
      </c>
      <c r="F97" s="78"/>
      <c r="G97" s="22">
        <f t="shared" si="3"/>
        <v>120</v>
      </c>
      <c r="I97" s="24">
        <v>21.56</v>
      </c>
      <c r="K97" s="9">
        <f t="shared" si="2"/>
        <v>2587.1999999999998</v>
      </c>
    </row>
    <row r="98" spans="1:11" x14ac:dyDescent="0.35">
      <c r="A98" s="21" t="s">
        <v>169</v>
      </c>
      <c r="C98" s="22">
        <v>359</v>
      </c>
      <c r="D98" s="78"/>
      <c r="E98" s="78">
        <v>12</v>
      </c>
      <c r="F98" s="78"/>
      <c r="G98" s="22">
        <f t="shared" si="3"/>
        <v>4308</v>
      </c>
      <c r="I98" s="24">
        <v>12.55</v>
      </c>
      <c r="K98" s="9">
        <f t="shared" si="2"/>
        <v>54065.4</v>
      </c>
    </row>
    <row r="99" spans="1:11" x14ac:dyDescent="0.35">
      <c r="A99" s="21" t="s">
        <v>170</v>
      </c>
      <c r="C99" s="22">
        <v>118</v>
      </c>
      <c r="D99" s="78"/>
      <c r="E99" s="78">
        <v>12</v>
      </c>
      <c r="F99" s="78"/>
      <c r="G99" s="22">
        <f t="shared" si="3"/>
        <v>1416</v>
      </c>
      <c r="I99" s="24">
        <v>12.55</v>
      </c>
      <c r="K99" s="9">
        <f t="shared" si="2"/>
        <v>17770.8</v>
      </c>
    </row>
    <row r="100" spans="1:11" x14ac:dyDescent="0.35">
      <c r="A100" s="21" t="s">
        <v>171</v>
      </c>
      <c r="C100" s="22">
        <v>0</v>
      </c>
      <c r="D100" s="78"/>
      <c r="E100" s="78">
        <v>12</v>
      </c>
      <c r="F100" s="78"/>
      <c r="G100" s="22">
        <f t="shared" si="3"/>
        <v>0</v>
      </c>
      <c r="I100" s="24">
        <v>12.55</v>
      </c>
      <c r="K100" s="9">
        <f t="shared" si="2"/>
        <v>0</v>
      </c>
    </row>
    <row r="101" spans="1:11" x14ac:dyDescent="0.35">
      <c r="A101" s="21" t="s">
        <v>172</v>
      </c>
      <c r="C101" s="22">
        <v>3</v>
      </c>
      <c r="D101" s="78"/>
      <c r="E101" s="78">
        <v>12</v>
      </c>
      <c r="F101" s="78"/>
      <c r="G101" s="22">
        <f t="shared" si="3"/>
        <v>36</v>
      </c>
      <c r="I101" s="24">
        <v>12.55</v>
      </c>
      <c r="K101" s="9">
        <f t="shared" si="2"/>
        <v>451.8</v>
      </c>
    </row>
    <row r="102" spans="1:11" x14ac:dyDescent="0.35">
      <c r="A102" s="21" t="s">
        <v>173</v>
      </c>
      <c r="C102" s="22">
        <v>1</v>
      </c>
      <c r="D102" s="78"/>
      <c r="E102" s="78">
        <v>12</v>
      </c>
      <c r="F102" s="78"/>
      <c r="G102" s="22">
        <f t="shared" si="3"/>
        <v>12</v>
      </c>
      <c r="I102" s="24">
        <v>12.55</v>
      </c>
      <c r="K102" s="9">
        <f t="shared" si="2"/>
        <v>150.60000000000002</v>
      </c>
    </row>
    <row r="103" spans="1:11" x14ac:dyDescent="0.35">
      <c r="A103" s="21" t="s">
        <v>174</v>
      </c>
      <c r="C103" s="22">
        <v>1</v>
      </c>
      <c r="D103" s="78"/>
      <c r="E103" s="78">
        <v>12</v>
      </c>
      <c r="F103" s="78"/>
      <c r="G103" s="22">
        <f t="shared" si="3"/>
        <v>12</v>
      </c>
      <c r="I103" s="24">
        <v>12.55</v>
      </c>
      <c r="K103" s="9">
        <f t="shared" si="2"/>
        <v>150.60000000000002</v>
      </c>
    </row>
    <row r="104" spans="1:11" x14ac:dyDescent="0.35">
      <c r="A104" s="21" t="s">
        <v>175</v>
      </c>
      <c r="C104" s="22">
        <v>0</v>
      </c>
      <c r="D104" s="78"/>
      <c r="E104" s="78">
        <v>12</v>
      </c>
      <c r="F104" s="78"/>
      <c r="G104" s="22">
        <f t="shared" si="3"/>
        <v>0</v>
      </c>
      <c r="I104" s="24">
        <v>12.55</v>
      </c>
      <c r="K104" s="9">
        <f t="shared" si="2"/>
        <v>0</v>
      </c>
    </row>
    <row r="105" spans="1:11" x14ac:dyDescent="0.35">
      <c r="A105" s="21" t="s">
        <v>176</v>
      </c>
      <c r="C105" s="22">
        <v>0</v>
      </c>
      <c r="D105" s="78"/>
      <c r="E105" s="78">
        <v>12</v>
      </c>
      <c r="F105" s="78"/>
      <c r="G105" s="22">
        <f t="shared" si="3"/>
        <v>0</v>
      </c>
      <c r="I105" s="24">
        <v>12.55</v>
      </c>
      <c r="K105" s="9">
        <f t="shared" si="2"/>
        <v>0</v>
      </c>
    </row>
    <row r="106" spans="1:11" x14ac:dyDescent="0.35">
      <c r="A106" s="21" t="s">
        <v>177</v>
      </c>
      <c r="C106" s="22">
        <f>21+19</f>
        <v>40</v>
      </c>
      <c r="D106" s="78"/>
      <c r="E106" s="78">
        <v>12</v>
      </c>
      <c r="F106" s="78"/>
      <c r="G106" s="22">
        <f t="shared" si="3"/>
        <v>480</v>
      </c>
      <c r="I106" s="24">
        <v>20.97</v>
      </c>
      <c r="K106" s="9">
        <f t="shared" si="2"/>
        <v>10065.599999999999</v>
      </c>
    </row>
    <row r="107" spans="1:11" x14ac:dyDescent="0.35">
      <c r="A107" s="21" t="s">
        <v>178</v>
      </c>
      <c r="C107" s="22">
        <v>2</v>
      </c>
      <c r="D107" s="78"/>
      <c r="E107" s="78">
        <v>12</v>
      </c>
      <c r="F107" s="78"/>
      <c r="G107" s="22">
        <f t="shared" si="3"/>
        <v>24</v>
      </c>
      <c r="I107" s="24">
        <v>20.97</v>
      </c>
      <c r="K107" s="9">
        <f t="shared" si="2"/>
        <v>503.28</v>
      </c>
    </row>
    <row r="108" spans="1:11" x14ac:dyDescent="0.35">
      <c r="A108" s="21" t="s">
        <v>179</v>
      </c>
      <c r="C108" s="22">
        <v>1</v>
      </c>
      <c r="D108" s="78"/>
      <c r="E108" s="78">
        <v>12</v>
      </c>
      <c r="F108" s="78"/>
      <c r="G108" s="22">
        <f t="shared" si="3"/>
        <v>12</v>
      </c>
      <c r="I108" s="24">
        <v>20.97</v>
      </c>
      <c r="K108" s="9">
        <f t="shared" si="2"/>
        <v>251.64</v>
      </c>
    </row>
    <row r="109" spans="1:11" x14ac:dyDescent="0.35">
      <c r="A109" s="21" t="s">
        <v>180</v>
      </c>
      <c r="C109" s="22">
        <v>1</v>
      </c>
      <c r="D109" s="78"/>
      <c r="E109" s="78">
        <v>12</v>
      </c>
      <c r="F109" s="78"/>
      <c r="G109" s="22">
        <f t="shared" si="3"/>
        <v>12</v>
      </c>
      <c r="I109" s="24">
        <v>20.97</v>
      </c>
      <c r="K109" s="9">
        <f t="shared" si="2"/>
        <v>251.64</v>
      </c>
    </row>
    <row r="110" spans="1:11" x14ac:dyDescent="0.35">
      <c r="A110" s="25" t="s">
        <v>20</v>
      </c>
      <c r="B110" s="26"/>
      <c r="C110" s="27">
        <f>SUM(C8:C109)</f>
        <v>8001</v>
      </c>
      <c r="D110" s="26"/>
      <c r="E110" s="26"/>
      <c r="F110" s="26"/>
      <c r="G110" s="28">
        <f>SUM(G8:G109)</f>
        <v>96012</v>
      </c>
      <c r="H110" s="26"/>
      <c r="I110" s="26"/>
      <c r="J110" s="26"/>
      <c r="K110" s="29">
        <f>SUM(K8:K109)</f>
        <v>1886141.1200000008</v>
      </c>
    </row>
    <row r="111" spans="1:11" x14ac:dyDescent="0.35">
      <c r="A111" s="6" t="s">
        <v>181</v>
      </c>
    </row>
    <row r="112" spans="1:11" x14ac:dyDescent="0.35">
      <c r="A112" s="6"/>
    </row>
    <row r="113" spans="1:17" x14ac:dyDescent="0.35">
      <c r="A113" s="6"/>
    </row>
    <row r="114" spans="1:17" ht="19" thickBot="1" x14ac:dyDescent="0.5">
      <c r="A114" s="125" t="s">
        <v>29</v>
      </c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</row>
    <row r="115" spans="1:17" x14ac:dyDescent="0.35">
      <c r="A115" s="6"/>
      <c r="G115" s="19" t="s">
        <v>30</v>
      </c>
      <c r="H115" s="19"/>
      <c r="I115" s="19"/>
      <c r="J115" s="19"/>
      <c r="K115" s="19" t="s">
        <v>21</v>
      </c>
    </row>
    <row r="116" spans="1:17" x14ac:dyDescent="0.35">
      <c r="A116" s="30"/>
      <c r="B116" s="31"/>
      <c r="C116" s="31"/>
      <c r="D116" s="31"/>
      <c r="E116" s="31"/>
      <c r="F116" s="31"/>
      <c r="G116" s="20" t="s">
        <v>31</v>
      </c>
      <c r="H116" s="20"/>
      <c r="I116" s="20" t="s">
        <v>32</v>
      </c>
      <c r="J116" s="20"/>
      <c r="K116" s="20" t="s">
        <v>27</v>
      </c>
      <c r="M116" s="51"/>
      <c r="N116" s="51"/>
      <c r="O116" s="51"/>
      <c r="P116" s="51"/>
      <c r="Q116" s="51"/>
    </row>
    <row r="117" spans="1:17" x14ac:dyDescent="0.35">
      <c r="A117" s="21" t="s">
        <v>82</v>
      </c>
      <c r="G117" s="17">
        <v>30686.16</v>
      </c>
      <c r="I117" s="32">
        <v>3.08</v>
      </c>
      <c r="K117" s="9">
        <f>G117*I117</f>
        <v>94513.372799999997</v>
      </c>
      <c r="M117" s="51"/>
      <c r="N117" s="77"/>
      <c r="O117" s="77"/>
      <c r="P117" s="51"/>
      <c r="Q117" s="51"/>
    </row>
    <row r="118" spans="1:17" x14ac:dyDescent="0.35">
      <c r="A118" s="21" t="s">
        <v>83</v>
      </c>
      <c r="G118" s="17">
        <v>571.44000000000005</v>
      </c>
      <c r="I118" s="32">
        <v>3.08</v>
      </c>
      <c r="K118" s="9">
        <f t="shared" ref="K118:K181" si="4">G118*I118</f>
        <v>1760.0352000000003</v>
      </c>
      <c r="M118" s="51"/>
      <c r="N118" s="77"/>
      <c r="O118" s="77"/>
      <c r="P118" s="51"/>
      <c r="Q118" s="51"/>
    </row>
    <row r="119" spans="1:17" x14ac:dyDescent="0.35">
      <c r="A119" s="21" t="s">
        <v>84</v>
      </c>
      <c r="G119" s="17">
        <v>57.14</v>
      </c>
      <c r="I119" s="32">
        <v>3.08</v>
      </c>
      <c r="K119" s="9">
        <f t="shared" si="4"/>
        <v>175.99119999999999</v>
      </c>
      <c r="M119" s="51"/>
      <c r="N119" s="77"/>
      <c r="O119" s="77"/>
      <c r="P119" s="51"/>
      <c r="Q119" s="51"/>
    </row>
    <row r="120" spans="1:17" x14ac:dyDescent="0.35">
      <c r="A120" s="21" t="s">
        <v>85</v>
      </c>
      <c r="G120" s="17">
        <v>0</v>
      </c>
      <c r="I120" s="32">
        <v>3.08</v>
      </c>
      <c r="K120" s="9">
        <f t="shared" si="4"/>
        <v>0</v>
      </c>
      <c r="M120" s="51"/>
      <c r="N120" s="77"/>
      <c r="O120" s="77"/>
      <c r="P120" s="51"/>
      <c r="Q120" s="51"/>
    </row>
    <row r="121" spans="1:17" x14ac:dyDescent="0.35">
      <c r="A121" s="21" t="s">
        <v>86</v>
      </c>
      <c r="G121" s="17">
        <v>0</v>
      </c>
      <c r="I121" s="32">
        <v>3.08</v>
      </c>
      <c r="K121" s="9">
        <f t="shared" si="4"/>
        <v>0</v>
      </c>
      <c r="M121" s="51"/>
      <c r="N121" s="77"/>
      <c r="O121" s="77"/>
      <c r="P121" s="51"/>
      <c r="Q121" s="51"/>
    </row>
    <row r="122" spans="1:17" x14ac:dyDescent="0.35">
      <c r="A122" s="21" t="s">
        <v>87</v>
      </c>
      <c r="G122" s="17">
        <v>3053.49</v>
      </c>
      <c r="I122" s="32">
        <v>3.08</v>
      </c>
      <c r="K122" s="9">
        <f t="shared" si="4"/>
        <v>9404.7492000000002</v>
      </c>
      <c r="M122" s="51"/>
      <c r="N122" s="77"/>
      <c r="O122" s="77"/>
      <c r="P122" s="51"/>
      <c r="Q122" s="51"/>
    </row>
    <row r="123" spans="1:17" x14ac:dyDescent="0.35">
      <c r="A123" s="21" t="s">
        <v>88</v>
      </c>
      <c r="G123" s="17">
        <v>954.22</v>
      </c>
      <c r="I123" s="32">
        <v>3.08</v>
      </c>
      <c r="K123" s="9">
        <f t="shared" si="4"/>
        <v>2938.9976000000001</v>
      </c>
      <c r="M123" s="51"/>
      <c r="N123" s="77"/>
      <c r="O123" s="77"/>
      <c r="P123" s="51"/>
      <c r="Q123" s="51"/>
    </row>
    <row r="124" spans="1:17" x14ac:dyDescent="0.35">
      <c r="A124" s="21" t="s">
        <v>89</v>
      </c>
      <c r="G124" s="17">
        <v>1908.43</v>
      </c>
      <c r="I124" s="32">
        <v>3.08</v>
      </c>
      <c r="K124" s="9">
        <f t="shared" si="4"/>
        <v>5877.9644000000008</v>
      </c>
      <c r="M124" s="51"/>
      <c r="N124" s="77"/>
      <c r="O124" s="51"/>
      <c r="P124" s="51"/>
      <c r="Q124" s="51"/>
    </row>
    <row r="125" spans="1:17" x14ac:dyDescent="0.35">
      <c r="A125" s="21" t="s">
        <v>90</v>
      </c>
      <c r="G125" s="17">
        <v>0</v>
      </c>
      <c r="I125" s="32">
        <v>3.08</v>
      </c>
      <c r="K125" s="9">
        <f t="shared" si="4"/>
        <v>0</v>
      </c>
      <c r="M125" s="51"/>
      <c r="N125" s="77"/>
      <c r="O125" s="51"/>
      <c r="P125" s="51"/>
      <c r="Q125" s="51"/>
    </row>
    <row r="126" spans="1:17" x14ac:dyDescent="0.35">
      <c r="A126" s="21" t="s">
        <v>91</v>
      </c>
      <c r="G126" s="17">
        <v>13359.03</v>
      </c>
      <c r="I126" s="32">
        <v>3.08</v>
      </c>
      <c r="K126" s="9">
        <f t="shared" si="4"/>
        <v>41145.812400000003</v>
      </c>
      <c r="M126" s="51"/>
      <c r="N126" s="51"/>
      <c r="O126" s="51"/>
      <c r="P126" s="51"/>
      <c r="Q126" s="51"/>
    </row>
    <row r="127" spans="1:17" x14ac:dyDescent="0.35">
      <c r="A127" s="21" t="s">
        <v>92</v>
      </c>
      <c r="G127" s="17">
        <v>190.84</v>
      </c>
      <c r="I127" s="32">
        <v>3.08</v>
      </c>
      <c r="K127" s="9">
        <f t="shared" si="4"/>
        <v>587.78719999999998</v>
      </c>
      <c r="M127" s="51"/>
      <c r="N127" s="51"/>
      <c r="O127" s="51"/>
      <c r="P127" s="51"/>
      <c r="Q127" s="51"/>
    </row>
    <row r="128" spans="1:17" x14ac:dyDescent="0.35">
      <c r="A128" s="21" t="s">
        <v>182</v>
      </c>
      <c r="G128" s="17">
        <v>190.84</v>
      </c>
      <c r="I128" s="32">
        <v>3.08</v>
      </c>
      <c r="K128" s="9">
        <f t="shared" si="4"/>
        <v>587.78719999999998</v>
      </c>
      <c r="M128" s="51"/>
      <c r="N128" s="51"/>
      <c r="O128" s="51"/>
      <c r="P128" s="51"/>
      <c r="Q128" s="51"/>
    </row>
    <row r="129" spans="1:17" x14ac:dyDescent="0.35">
      <c r="A129" s="21" t="s">
        <v>94</v>
      </c>
      <c r="G129" s="17">
        <v>0</v>
      </c>
      <c r="I129" s="32">
        <v>2.86</v>
      </c>
      <c r="K129" s="9">
        <f t="shared" si="4"/>
        <v>0</v>
      </c>
      <c r="M129" s="51"/>
      <c r="N129" s="51"/>
      <c r="O129" s="51"/>
      <c r="P129" s="51"/>
      <c r="Q129" s="51"/>
    </row>
    <row r="130" spans="1:17" x14ac:dyDescent="0.35">
      <c r="A130" s="21" t="s">
        <v>95</v>
      </c>
      <c r="G130" s="17">
        <v>0</v>
      </c>
      <c r="I130" s="32">
        <v>2.86</v>
      </c>
      <c r="K130" s="9">
        <f t="shared" si="4"/>
        <v>0</v>
      </c>
    </row>
    <row r="131" spans="1:17" x14ac:dyDescent="0.35">
      <c r="A131" s="21" t="s">
        <v>96</v>
      </c>
      <c r="G131" s="17">
        <v>0</v>
      </c>
      <c r="I131" s="32">
        <v>2.86</v>
      </c>
      <c r="K131" s="9">
        <f t="shared" si="4"/>
        <v>0</v>
      </c>
    </row>
    <row r="132" spans="1:17" x14ac:dyDescent="0.35">
      <c r="A132" s="21" t="s">
        <v>97</v>
      </c>
      <c r="G132" s="17">
        <v>0</v>
      </c>
      <c r="I132" s="32">
        <v>2.86</v>
      </c>
      <c r="K132" s="9">
        <f t="shared" si="4"/>
        <v>0</v>
      </c>
    </row>
    <row r="133" spans="1:17" x14ac:dyDescent="0.35">
      <c r="A133" s="21" t="s">
        <v>98</v>
      </c>
      <c r="G133" s="17">
        <v>0</v>
      </c>
      <c r="I133" s="32">
        <v>2.86</v>
      </c>
      <c r="K133" s="9">
        <f t="shared" si="4"/>
        <v>0</v>
      </c>
    </row>
    <row r="134" spans="1:17" x14ac:dyDescent="0.35">
      <c r="A134" s="21" t="s">
        <v>99</v>
      </c>
      <c r="G134" s="17">
        <v>0</v>
      </c>
      <c r="I134" s="32">
        <v>2.86</v>
      </c>
      <c r="K134" s="9">
        <f t="shared" si="4"/>
        <v>0</v>
      </c>
    </row>
    <row r="135" spans="1:17" x14ac:dyDescent="0.35">
      <c r="A135" s="21" t="s">
        <v>100</v>
      </c>
      <c r="G135" s="17">
        <v>18923.240000000002</v>
      </c>
      <c r="I135" s="32">
        <v>6.87</v>
      </c>
      <c r="K135" s="9">
        <f t="shared" si="4"/>
        <v>130002.65880000002</v>
      </c>
    </row>
    <row r="136" spans="1:17" x14ac:dyDescent="0.35">
      <c r="A136" s="21" t="s">
        <v>101</v>
      </c>
      <c r="G136" s="17">
        <v>4564.3999999999996</v>
      </c>
      <c r="I136" s="32">
        <v>6.87</v>
      </c>
      <c r="K136" s="9">
        <f t="shared" si="4"/>
        <v>31357.427999999996</v>
      </c>
    </row>
    <row r="137" spans="1:17" x14ac:dyDescent="0.35">
      <c r="A137" s="21" t="s">
        <v>102</v>
      </c>
      <c r="G137" s="17">
        <v>47.55</v>
      </c>
      <c r="I137" s="32">
        <v>6.87</v>
      </c>
      <c r="K137" s="9">
        <f t="shared" si="4"/>
        <v>326.66849999999999</v>
      </c>
    </row>
    <row r="138" spans="1:17" x14ac:dyDescent="0.35">
      <c r="A138" s="21" t="s">
        <v>183</v>
      </c>
      <c r="G138" s="17">
        <v>237.73</v>
      </c>
      <c r="I138" s="32">
        <v>6.87</v>
      </c>
      <c r="K138" s="9">
        <f t="shared" si="4"/>
        <v>1633.2050999999999</v>
      </c>
    </row>
    <row r="139" spans="1:17" x14ac:dyDescent="0.35">
      <c r="A139" s="21" t="s">
        <v>104</v>
      </c>
      <c r="G139" s="17">
        <v>1138.75</v>
      </c>
      <c r="I139" s="32">
        <v>6.87</v>
      </c>
      <c r="K139" s="9">
        <f t="shared" si="4"/>
        <v>7823.2125000000005</v>
      </c>
    </row>
    <row r="140" spans="1:17" x14ac:dyDescent="0.35">
      <c r="A140" s="21" t="s">
        <v>105</v>
      </c>
      <c r="G140" s="17">
        <v>99.02</v>
      </c>
      <c r="I140" s="32">
        <v>6.87</v>
      </c>
      <c r="K140" s="9">
        <f t="shared" si="4"/>
        <v>680.26739999999995</v>
      </c>
    </row>
    <row r="141" spans="1:17" x14ac:dyDescent="0.35">
      <c r="A141" s="21" t="s">
        <v>106</v>
      </c>
      <c r="G141" s="17">
        <v>346.58</v>
      </c>
      <c r="I141" s="32">
        <v>6.87</v>
      </c>
      <c r="K141" s="9">
        <f t="shared" si="4"/>
        <v>2381.0045999999998</v>
      </c>
    </row>
    <row r="142" spans="1:17" x14ac:dyDescent="0.35">
      <c r="A142" s="21" t="s">
        <v>107</v>
      </c>
      <c r="G142" s="17">
        <v>22467</v>
      </c>
      <c r="I142" s="32">
        <v>6.88</v>
      </c>
      <c r="K142" s="9">
        <f t="shared" si="4"/>
        <v>154572.96</v>
      </c>
    </row>
    <row r="143" spans="1:17" x14ac:dyDescent="0.35">
      <c r="A143" s="21" t="s">
        <v>108</v>
      </c>
      <c r="G143" s="17">
        <v>59.95</v>
      </c>
      <c r="I143" s="32">
        <v>6.88</v>
      </c>
      <c r="K143" s="9">
        <f t="shared" si="4"/>
        <v>412.45600000000002</v>
      </c>
    </row>
    <row r="144" spans="1:17" x14ac:dyDescent="0.35">
      <c r="A144" s="21" t="s">
        <v>109</v>
      </c>
      <c r="G144" s="17">
        <v>4019.1</v>
      </c>
      <c r="I144" s="32">
        <v>6.88</v>
      </c>
      <c r="K144" s="9">
        <f t="shared" si="4"/>
        <v>27651.407999999999</v>
      </c>
    </row>
    <row r="145" spans="1:11" x14ac:dyDescent="0.35">
      <c r="A145" s="21" t="s">
        <v>110</v>
      </c>
      <c r="G145" s="17">
        <v>277.22000000000003</v>
      </c>
      <c r="I145" s="32">
        <v>6.88</v>
      </c>
      <c r="K145" s="9">
        <f t="shared" si="4"/>
        <v>1907.2736000000002</v>
      </c>
    </row>
    <row r="146" spans="1:11" x14ac:dyDescent="0.35">
      <c r="A146" s="21" t="s">
        <v>111</v>
      </c>
      <c r="G146" s="17">
        <v>0</v>
      </c>
      <c r="I146" s="32">
        <v>6.88</v>
      </c>
      <c r="K146" s="9">
        <f t="shared" si="4"/>
        <v>0</v>
      </c>
    </row>
    <row r="147" spans="1:11" x14ac:dyDescent="0.35">
      <c r="A147" s="21" t="s">
        <v>184</v>
      </c>
      <c r="G147" s="17">
        <v>397.11</v>
      </c>
      <c r="I147" s="32">
        <v>6.88</v>
      </c>
      <c r="K147" s="9">
        <f t="shared" si="4"/>
        <v>2732.1168000000002</v>
      </c>
    </row>
    <row r="148" spans="1:11" x14ac:dyDescent="0.35">
      <c r="A148" s="21" t="s">
        <v>113</v>
      </c>
      <c r="G148" s="17">
        <v>2351.9299999999998</v>
      </c>
      <c r="I148" s="32">
        <v>6.88</v>
      </c>
      <c r="K148" s="9">
        <f t="shared" si="4"/>
        <v>16181.278399999999</v>
      </c>
    </row>
    <row r="149" spans="1:11" x14ac:dyDescent="0.35">
      <c r="A149" s="21" t="s">
        <v>114</v>
      </c>
      <c r="G149" s="17">
        <v>3324.29</v>
      </c>
      <c r="I149" s="32">
        <v>6.88</v>
      </c>
      <c r="K149" s="9">
        <f t="shared" si="4"/>
        <v>22871.1152</v>
      </c>
    </row>
    <row r="150" spans="1:11" x14ac:dyDescent="0.35">
      <c r="A150" s="21" t="s">
        <v>115</v>
      </c>
      <c r="G150" s="17">
        <v>246.32</v>
      </c>
      <c r="I150" s="32">
        <v>6.88</v>
      </c>
      <c r="K150" s="9">
        <f t="shared" si="4"/>
        <v>1694.6815999999999</v>
      </c>
    </row>
    <row r="151" spans="1:11" x14ac:dyDescent="0.35">
      <c r="A151" s="21" t="s">
        <v>116</v>
      </c>
      <c r="G151" s="17">
        <v>4409.92</v>
      </c>
      <c r="I151" s="32">
        <v>6.88</v>
      </c>
      <c r="K151" s="9">
        <f t="shared" si="4"/>
        <v>30340.249599999999</v>
      </c>
    </row>
    <row r="152" spans="1:11" x14ac:dyDescent="0.35">
      <c r="A152" s="21" t="s">
        <v>117</v>
      </c>
      <c r="G152" s="17">
        <v>435.03</v>
      </c>
      <c r="I152" s="32">
        <v>6.88</v>
      </c>
      <c r="K152" s="9">
        <f t="shared" si="4"/>
        <v>2993.0063999999998</v>
      </c>
    </row>
    <row r="153" spans="1:11" x14ac:dyDescent="0.35">
      <c r="A153" s="21" t="s">
        <v>185</v>
      </c>
      <c r="G153" s="17">
        <v>709.2</v>
      </c>
      <c r="I153" s="32">
        <v>6.88</v>
      </c>
      <c r="K153" s="9">
        <f t="shared" si="4"/>
        <v>4879.2960000000003</v>
      </c>
    </row>
    <row r="154" spans="1:11" x14ac:dyDescent="0.35">
      <c r="A154" s="21" t="s">
        <v>119</v>
      </c>
      <c r="G154" s="17">
        <v>734.67375000000004</v>
      </c>
      <c r="I154" s="32">
        <v>6.88</v>
      </c>
      <c r="K154" s="9">
        <f t="shared" si="4"/>
        <v>5054.5554000000002</v>
      </c>
    </row>
    <row r="155" spans="1:11" x14ac:dyDescent="0.35">
      <c r="A155" s="21" t="s">
        <v>120</v>
      </c>
      <c r="G155" s="17">
        <v>881.60850000000005</v>
      </c>
      <c r="I155" s="32">
        <v>6.88</v>
      </c>
      <c r="K155" s="9">
        <f t="shared" si="4"/>
        <v>6065.46648</v>
      </c>
    </row>
    <row r="156" spans="1:11" x14ac:dyDescent="0.35">
      <c r="A156" s="21" t="s">
        <v>121</v>
      </c>
      <c r="G156" s="17">
        <v>1322.41275</v>
      </c>
      <c r="I156" s="32">
        <v>6.88</v>
      </c>
      <c r="K156" s="9">
        <f t="shared" si="4"/>
        <v>9098.1997199999987</v>
      </c>
    </row>
    <row r="157" spans="1:11" x14ac:dyDescent="0.35">
      <c r="A157" s="21" t="s">
        <v>122</v>
      </c>
      <c r="G157" s="17">
        <v>1974.3643958333332</v>
      </c>
      <c r="I157" s="32">
        <v>2.61</v>
      </c>
      <c r="K157" s="9">
        <f t="shared" si="4"/>
        <v>5153.0910731249996</v>
      </c>
    </row>
    <row r="158" spans="1:11" x14ac:dyDescent="0.35">
      <c r="A158" s="21" t="s">
        <v>123</v>
      </c>
      <c r="G158" s="17">
        <v>7126.9739166666668</v>
      </c>
      <c r="I158" s="32">
        <v>2.61</v>
      </c>
      <c r="K158" s="9">
        <f t="shared" si="4"/>
        <v>18601.401922500001</v>
      </c>
    </row>
    <row r="159" spans="1:11" x14ac:dyDescent="0.35">
      <c r="A159" s="21" t="s">
        <v>186</v>
      </c>
      <c r="G159" s="17">
        <v>144.4656875</v>
      </c>
      <c r="I159" s="32">
        <v>2.61</v>
      </c>
      <c r="K159" s="9">
        <f t="shared" si="4"/>
        <v>377.05544437499998</v>
      </c>
    </row>
    <row r="160" spans="1:11" x14ac:dyDescent="0.35">
      <c r="A160" s="21" t="s">
        <v>187</v>
      </c>
      <c r="G160" s="17">
        <f>90146420.4709274/1000</f>
        <v>90146.420470927405</v>
      </c>
      <c r="I160" s="32">
        <v>4.3</v>
      </c>
      <c r="K160" s="9">
        <f t="shared" si="4"/>
        <v>387629.6080249878</v>
      </c>
    </row>
    <row r="161" spans="1:11" x14ac:dyDescent="0.35">
      <c r="A161" s="21" t="s">
        <v>126</v>
      </c>
      <c r="G161" s="17">
        <f>105035612.20567/1000</f>
        <v>105035.61220567</v>
      </c>
      <c r="I161" s="32">
        <v>4.3</v>
      </c>
      <c r="K161" s="9">
        <f t="shared" si="4"/>
        <v>451653.13248438097</v>
      </c>
    </row>
    <row r="162" spans="1:11" x14ac:dyDescent="0.35">
      <c r="A162" s="21" t="s">
        <v>127</v>
      </c>
      <c r="G162" s="17">
        <f>715826.525708794/1000</f>
        <v>715.82652570879407</v>
      </c>
      <c r="I162" s="32">
        <v>4.3</v>
      </c>
      <c r="K162" s="9">
        <f t="shared" si="4"/>
        <v>3078.0540605478145</v>
      </c>
    </row>
    <row r="163" spans="1:11" x14ac:dyDescent="0.35">
      <c r="A163" s="21" t="s">
        <v>128</v>
      </c>
      <c r="G163" s="17">
        <f>238608.841902931/1000</f>
        <v>238.60884190293098</v>
      </c>
      <c r="I163" s="32">
        <v>4.3</v>
      </c>
      <c r="K163" s="9">
        <f t="shared" si="4"/>
        <v>1026.0180201826031</v>
      </c>
    </row>
    <row r="164" spans="1:11" x14ac:dyDescent="0.35">
      <c r="A164" s="21" t="s">
        <v>129</v>
      </c>
      <c r="G164" s="17">
        <v>0</v>
      </c>
      <c r="I164" s="32">
        <v>4.3</v>
      </c>
      <c r="K164" s="9">
        <f t="shared" si="4"/>
        <v>0</v>
      </c>
    </row>
    <row r="165" spans="1:11" x14ac:dyDescent="0.35">
      <c r="A165" s="21" t="s">
        <v>130</v>
      </c>
      <c r="G165" s="17">
        <v>0</v>
      </c>
      <c r="I165" s="32">
        <v>4.3</v>
      </c>
      <c r="K165" s="9">
        <f t="shared" si="4"/>
        <v>0</v>
      </c>
    </row>
    <row r="166" spans="1:11" x14ac:dyDescent="0.35">
      <c r="A166" s="21" t="s">
        <v>188</v>
      </c>
      <c r="G166" s="17">
        <v>0</v>
      </c>
      <c r="I166" s="32">
        <v>18.350000000000001</v>
      </c>
      <c r="K166" s="9">
        <f t="shared" si="4"/>
        <v>0</v>
      </c>
    </row>
    <row r="167" spans="1:11" x14ac:dyDescent="0.35">
      <c r="A167" s="21" t="s">
        <v>189</v>
      </c>
      <c r="G167" s="17">
        <v>2481.5300000000002</v>
      </c>
      <c r="I167" s="32">
        <v>4.3</v>
      </c>
      <c r="K167" s="9">
        <f t="shared" si="4"/>
        <v>10670.579</v>
      </c>
    </row>
    <row r="168" spans="1:11" x14ac:dyDescent="0.35">
      <c r="A168" s="21" t="s">
        <v>190</v>
      </c>
      <c r="G168" s="17">
        <v>2482</v>
      </c>
      <c r="I168" s="32">
        <v>1.52</v>
      </c>
      <c r="K168" s="9">
        <f t="shared" si="4"/>
        <v>3772.64</v>
      </c>
    </row>
    <row r="169" spans="1:11" x14ac:dyDescent="0.35">
      <c r="A169" s="21" t="s">
        <v>133</v>
      </c>
      <c r="G169" s="17">
        <f>7958825/1000</f>
        <v>7958.8249999999998</v>
      </c>
      <c r="I169" s="32">
        <v>4.3</v>
      </c>
      <c r="K169" s="9">
        <f t="shared" si="4"/>
        <v>34222.947499999995</v>
      </c>
    </row>
    <row r="170" spans="1:11" x14ac:dyDescent="0.35">
      <c r="A170" s="21" t="s">
        <v>134</v>
      </c>
      <c r="G170" s="17">
        <f>8612975/1000</f>
        <v>8612.9750000000004</v>
      </c>
      <c r="I170" s="32">
        <v>4.3</v>
      </c>
      <c r="K170" s="9">
        <f t="shared" si="4"/>
        <v>37035.792500000003</v>
      </c>
    </row>
    <row r="171" spans="1:11" x14ac:dyDescent="0.35">
      <c r="A171" s="21" t="s">
        <v>135</v>
      </c>
      <c r="G171" s="17">
        <f>14064225/1000</f>
        <v>14064.225</v>
      </c>
      <c r="I171" s="32">
        <v>4.3</v>
      </c>
      <c r="K171" s="9">
        <f t="shared" si="4"/>
        <v>60476.167499999996</v>
      </c>
    </row>
    <row r="172" spans="1:11" x14ac:dyDescent="0.35">
      <c r="A172" s="21" t="s">
        <v>136</v>
      </c>
      <c r="G172" s="17">
        <f>20387675/1000</f>
        <v>20387.674999999999</v>
      </c>
      <c r="I172" s="32">
        <v>4.3</v>
      </c>
      <c r="K172" s="9">
        <f t="shared" si="4"/>
        <v>87667.002499999988</v>
      </c>
    </row>
    <row r="173" spans="1:11" x14ac:dyDescent="0.35">
      <c r="A173" s="21" t="s">
        <v>137</v>
      </c>
      <c r="G173" s="17">
        <f>436100/1000</f>
        <v>436.1</v>
      </c>
      <c r="I173" s="32">
        <v>4.3</v>
      </c>
      <c r="K173" s="9">
        <f t="shared" si="4"/>
        <v>1875.23</v>
      </c>
    </row>
    <row r="174" spans="1:11" x14ac:dyDescent="0.35">
      <c r="A174" s="21" t="s">
        <v>191</v>
      </c>
      <c r="G174" s="17">
        <f>872200/1000</f>
        <v>872.2</v>
      </c>
      <c r="I174" s="32">
        <v>4.3</v>
      </c>
      <c r="K174" s="9">
        <f t="shared" si="4"/>
        <v>3750.46</v>
      </c>
    </row>
    <row r="175" spans="1:11" x14ac:dyDescent="0.35">
      <c r="A175" s="21" t="s">
        <v>192</v>
      </c>
      <c r="G175" s="17">
        <f>1770/18.35</f>
        <v>96.457765667574918</v>
      </c>
      <c r="I175" s="32">
        <v>18.350000000000001</v>
      </c>
      <c r="K175" s="9">
        <f t="shared" si="4"/>
        <v>1769.9999999999998</v>
      </c>
    </row>
    <row r="176" spans="1:11" x14ac:dyDescent="0.35">
      <c r="A176" s="21" t="s">
        <v>193</v>
      </c>
      <c r="G176" s="17">
        <f>10338000/1000</f>
        <v>10338</v>
      </c>
      <c r="I176" s="32">
        <v>1.52</v>
      </c>
      <c r="K176" s="9">
        <f t="shared" si="4"/>
        <v>15713.76</v>
      </c>
    </row>
    <row r="177" spans="1:11" x14ac:dyDescent="0.35">
      <c r="A177" s="21" t="s">
        <v>138</v>
      </c>
      <c r="G177" s="17">
        <f>2083909.09090909/1000</f>
        <v>2083.9090909090901</v>
      </c>
      <c r="I177" s="32">
        <v>4.3</v>
      </c>
      <c r="K177" s="9">
        <f t="shared" si="4"/>
        <v>8960.8090909090861</v>
      </c>
    </row>
    <row r="178" spans="1:11" x14ac:dyDescent="0.35">
      <c r="A178" s="21" t="s">
        <v>139</v>
      </c>
      <c r="G178" s="17">
        <f>1389272.72727273/1000</f>
        <v>1389.27272727273</v>
      </c>
      <c r="I178" s="32">
        <v>4.3</v>
      </c>
      <c r="K178" s="9">
        <f t="shared" si="4"/>
        <v>5973.8727272727383</v>
      </c>
    </row>
    <row r="179" spans="1:11" x14ac:dyDescent="0.35">
      <c r="A179" s="21" t="s">
        <v>140</v>
      </c>
      <c r="G179" s="17">
        <f>4167818.18181818/1000</f>
        <v>4167.8181818181802</v>
      </c>
      <c r="I179" s="32">
        <v>4.3</v>
      </c>
      <c r="K179" s="9">
        <f t="shared" si="4"/>
        <v>17921.618181818172</v>
      </c>
    </row>
    <row r="180" spans="1:11" x14ac:dyDescent="0.35">
      <c r="A180" s="21" t="s">
        <v>194</v>
      </c>
      <c r="G180" s="17">
        <f>102573000/1000</f>
        <v>102573</v>
      </c>
      <c r="I180" s="32">
        <v>1.52</v>
      </c>
      <c r="K180" s="9">
        <f t="shared" si="4"/>
        <v>155910.96</v>
      </c>
    </row>
    <row r="181" spans="1:11" x14ac:dyDescent="0.35">
      <c r="A181" s="21" t="s">
        <v>141</v>
      </c>
      <c r="G181" s="17">
        <f>56500/1000</f>
        <v>56.5</v>
      </c>
      <c r="I181" s="32">
        <v>4.3</v>
      </c>
      <c r="K181" s="9">
        <f t="shared" si="4"/>
        <v>242.95</v>
      </c>
    </row>
    <row r="182" spans="1:11" x14ac:dyDescent="0.35">
      <c r="A182" s="21" t="s">
        <v>142</v>
      </c>
      <c r="G182" s="17">
        <f>56500/1000</f>
        <v>56.5</v>
      </c>
      <c r="I182" s="32">
        <v>4.3</v>
      </c>
      <c r="K182" s="9">
        <f t="shared" ref="K182:K220" si="5">G182*I182</f>
        <v>242.95</v>
      </c>
    </row>
    <row r="183" spans="1:11" x14ac:dyDescent="0.35">
      <c r="A183" s="21" t="s">
        <v>195</v>
      </c>
      <c r="G183" s="17">
        <f>710000/1000</f>
        <v>710</v>
      </c>
      <c r="I183" s="32">
        <v>1.52</v>
      </c>
      <c r="K183" s="9">
        <f t="shared" si="5"/>
        <v>1079.2</v>
      </c>
    </row>
    <row r="184" spans="1:11" x14ac:dyDescent="0.35">
      <c r="A184" s="44" t="s">
        <v>143</v>
      </c>
      <c r="B184" s="1"/>
      <c r="C184" s="1"/>
      <c r="D184" s="1"/>
      <c r="E184" s="1"/>
      <c r="F184" s="1"/>
      <c r="G184" s="48">
        <v>255.08332999999999</v>
      </c>
      <c r="H184" s="1"/>
      <c r="I184" s="49">
        <v>4.3</v>
      </c>
      <c r="J184" s="1"/>
      <c r="K184" s="93">
        <f t="shared" si="5"/>
        <v>1096.8583189999999</v>
      </c>
    </row>
    <row r="185" spans="1:11" x14ac:dyDescent="0.35">
      <c r="A185" s="44" t="s">
        <v>144</v>
      </c>
      <c r="B185" s="1"/>
      <c r="C185" s="1"/>
      <c r="D185" s="1"/>
      <c r="E185" s="1"/>
      <c r="F185" s="1"/>
      <c r="G185" s="48">
        <v>127.54167</v>
      </c>
      <c r="H185" s="1"/>
      <c r="I185" s="49">
        <v>4.3</v>
      </c>
      <c r="J185" s="1"/>
      <c r="K185" s="93">
        <f t="shared" si="5"/>
        <v>548.42918099999997</v>
      </c>
    </row>
    <row r="186" spans="1:11" x14ac:dyDescent="0.35">
      <c r="A186" s="44" t="s">
        <v>145</v>
      </c>
      <c r="B186" s="1"/>
      <c r="C186" s="1"/>
      <c r="D186" s="1"/>
      <c r="E186" s="1"/>
      <c r="F186" s="1"/>
      <c r="G186" s="48">
        <v>127.54167</v>
      </c>
      <c r="H186" s="1"/>
      <c r="I186" s="49">
        <v>4.3</v>
      </c>
      <c r="J186" s="1"/>
      <c r="K186" s="93">
        <f t="shared" si="5"/>
        <v>548.42918099999997</v>
      </c>
    </row>
    <row r="187" spans="1:11" x14ac:dyDescent="0.35">
      <c r="A187" s="44" t="s">
        <v>146</v>
      </c>
      <c r="B187" s="1"/>
      <c r="C187" s="1"/>
      <c r="D187" s="1"/>
      <c r="E187" s="1"/>
      <c r="F187" s="1"/>
      <c r="G187" s="48">
        <v>382.625</v>
      </c>
      <c r="H187" s="1"/>
      <c r="I187" s="49">
        <v>4.3</v>
      </c>
      <c r="J187" s="1"/>
      <c r="K187" s="93">
        <f t="shared" si="5"/>
        <v>1645.2874999999999</v>
      </c>
    </row>
    <row r="188" spans="1:11" x14ac:dyDescent="0.35">
      <c r="A188" s="44" t="s">
        <v>147</v>
      </c>
      <c r="B188" s="1"/>
      <c r="C188" s="1"/>
      <c r="D188" s="1"/>
      <c r="E188" s="1"/>
      <c r="F188" s="1"/>
      <c r="G188" s="48">
        <v>637.70833000000005</v>
      </c>
      <c r="H188" s="1"/>
      <c r="I188" s="49">
        <v>4.3</v>
      </c>
      <c r="J188" s="1"/>
      <c r="K188" s="93">
        <f t="shared" si="5"/>
        <v>2742.1458190000003</v>
      </c>
    </row>
    <row r="189" spans="1:11" x14ac:dyDescent="0.35">
      <c r="A189" s="44" t="s">
        <v>148</v>
      </c>
      <c r="B189" s="1"/>
      <c r="C189" s="1"/>
      <c r="D189" s="1"/>
      <c r="E189" s="1"/>
      <c r="F189" s="1"/>
      <c r="G189" s="48">
        <v>892.79166999999995</v>
      </c>
      <c r="H189" s="1"/>
      <c r="I189" s="49">
        <v>4.3</v>
      </c>
      <c r="J189" s="1"/>
      <c r="K189" s="93">
        <f t="shared" si="5"/>
        <v>3839.0041809999998</v>
      </c>
    </row>
    <row r="190" spans="1:11" x14ac:dyDescent="0.35">
      <c r="A190" s="94" t="s">
        <v>149</v>
      </c>
      <c r="B190" s="1"/>
      <c r="C190" s="1"/>
      <c r="D190" s="1"/>
      <c r="E190" s="1"/>
      <c r="F190" s="1"/>
      <c r="G190" s="48">
        <v>637.70833000000005</v>
      </c>
      <c r="H190" s="1"/>
      <c r="I190" s="49">
        <v>4.3</v>
      </c>
      <c r="J190" s="1"/>
      <c r="K190" s="93">
        <f t="shared" si="5"/>
        <v>2742.1458190000003</v>
      </c>
    </row>
    <row r="191" spans="1:11" x14ac:dyDescent="0.35">
      <c r="A191" s="21" t="s">
        <v>196</v>
      </c>
      <c r="G191" s="17">
        <f>6650000/1000</f>
        <v>6650</v>
      </c>
      <c r="I191" s="32">
        <v>1.52</v>
      </c>
      <c r="K191" s="9">
        <f t="shared" si="5"/>
        <v>10108</v>
      </c>
    </row>
    <row r="192" spans="1:11" x14ac:dyDescent="0.35">
      <c r="A192" s="21" t="s">
        <v>197</v>
      </c>
      <c r="G192" s="17">
        <v>0</v>
      </c>
      <c r="I192" s="32">
        <v>0</v>
      </c>
      <c r="K192" s="9">
        <f t="shared" si="5"/>
        <v>0</v>
      </c>
    </row>
    <row r="193" spans="1:11" x14ac:dyDescent="0.35">
      <c r="A193" s="21" t="s">
        <v>153</v>
      </c>
      <c r="G193" s="17">
        <v>1819.8947000000001</v>
      </c>
      <c r="I193" s="32">
        <v>3.39</v>
      </c>
      <c r="K193" s="9">
        <f t="shared" si="5"/>
        <v>6169.4430330000005</v>
      </c>
    </row>
    <row r="194" spans="1:11" x14ac:dyDescent="0.35">
      <c r="A194" s="21" t="s">
        <v>154</v>
      </c>
      <c r="G194" s="17">
        <v>67.403499999999994</v>
      </c>
      <c r="I194" s="32">
        <v>3.39</v>
      </c>
      <c r="K194" s="9">
        <f t="shared" si="5"/>
        <v>228.49786499999999</v>
      </c>
    </row>
    <row r="195" spans="1:11" x14ac:dyDescent="0.35">
      <c r="A195" s="21" t="s">
        <v>155</v>
      </c>
      <c r="G195" s="17">
        <v>33.701749999999997</v>
      </c>
      <c r="I195" s="32">
        <v>3.39</v>
      </c>
      <c r="K195" s="9">
        <f t="shared" si="5"/>
        <v>114.2489325</v>
      </c>
    </row>
    <row r="196" spans="1:11" x14ac:dyDescent="0.35">
      <c r="A196" s="21" t="s">
        <v>156</v>
      </c>
      <c r="G196" s="17">
        <v>755.35130000000004</v>
      </c>
      <c r="I196" s="32">
        <v>5.63</v>
      </c>
      <c r="K196" s="9">
        <f t="shared" si="5"/>
        <v>4252.6278190000003</v>
      </c>
    </row>
    <row r="197" spans="1:11" x14ac:dyDescent="0.35">
      <c r="A197" s="21" t="s">
        <v>157</v>
      </c>
      <c r="G197" s="17">
        <v>7.7069999999999999</v>
      </c>
      <c r="I197" s="32">
        <v>5.63</v>
      </c>
      <c r="K197" s="9">
        <f t="shared" si="5"/>
        <v>43.390409999999996</v>
      </c>
    </row>
    <row r="198" spans="1:11" x14ac:dyDescent="0.35">
      <c r="A198" s="21" t="s">
        <v>158</v>
      </c>
      <c r="G198" s="17">
        <v>189.69499999999999</v>
      </c>
      <c r="I198" s="32">
        <v>3.67</v>
      </c>
      <c r="K198" s="9">
        <f t="shared" si="5"/>
        <v>696.18065000000001</v>
      </c>
    </row>
    <row r="199" spans="1:11" x14ac:dyDescent="0.35">
      <c r="A199" s="21" t="s">
        <v>159</v>
      </c>
      <c r="G199" s="17">
        <v>603.57575999999995</v>
      </c>
      <c r="I199" s="32">
        <v>3.67</v>
      </c>
      <c r="K199" s="9">
        <f t="shared" si="5"/>
        <v>2215.1230391999998</v>
      </c>
    </row>
    <row r="200" spans="1:11" x14ac:dyDescent="0.35">
      <c r="A200" s="21" t="s">
        <v>160</v>
      </c>
      <c r="G200" s="17">
        <f>2158.13+1240.92</f>
        <v>3399.05</v>
      </c>
      <c r="I200" s="32">
        <v>3.56</v>
      </c>
      <c r="K200" s="9">
        <f t="shared" si="5"/>
        <v>12100.618</v>
      </c>
    </row>
    <row r="201" spans="1:11" x14ac:dyDescent="0.35">
      <c r="A201" s="21" t="s">
        <v>161</v>
      </c>
      <c r="G201" s="17">
        <v>53.95</v>
      </c>
      <c r="I201" s="32">
        <v>3.56</v>
      </c>
      <c r="K201" s="9">
        <f t="shared" si="5"/>
        <v>192.06200000000001</v>
      </c>
    </row>
    <row r="202" spans="1:11" x14ac:dyDescent="0.35">
      <c r="A202" s="21" t="s">
        <v>162</v>
      </c>
      <c r="G202" s="17">
        <v>5084.28</v>
      </c>
      <c r="I202" s="32">
        <v>4.71</v>
      </c>
      <c r="K202" s="9">
        <f t="shared" si="5"/>
        <v>23946.9588</v>
      </c>
    </row>
    <row r="203" spans="1:11" x14ac:dyDescent="0.35">
      <c r="A203" s="21" t="s">
        <v>163</v>
      </c>
      <c r="G203" s="17">
        <f>236.48+118.24</f>
        <v>354.71999999999997</v>
      </c>
      <c r="I203" s="32">
        <v>4.71</v>
      </c>
      <c r="K203" s="9">
        <f t="shared" si="5"/>
        <v>1670.7311999999999</v>
      </c>
    </row>
    <row r="204" spans="1:11" x14ac:dyDescent="0.35">
      <c r="A204" s="21" t="s">
        <v>164</v>
      </c>
      <c r="G204" s="17">
        <v>340.85</v>
      </c>
      <c r="I204" s="32">
        <v>10.31</v>
      </c>
      <c r="K204" s="9">
        <f t="shared" si="5"/>
        <v>3514.1635000000006</v>
      </c>
    </row>
    <row r="205" spans="1:11" x14ac:dyDescent="0.35">
      <c r="A205" s="21" t="s">
        <v>165</v>
      </c>
      <c r="G205" s="17">
        <v>790.15</v>
      </c>
      <c r="I205" s="32">
        <v>10.31</v>
      </c>
      <c r="K205" s="9">
        <f t="shared" si="5"/>
        <v>8146.4465</v>
      </c>
    </row>
    <row r="206" spans="1:11" x14ac:dyDescent="0.35">
      <c r="A206" s="21" t="s">
        <v>166</v>
      </c>
      <c r="G206" s="17">
        <v>12699.15</v>
      </c>
      <c r="I206" s="32">
        <v>2.08</v>
      </c>
      <c r="K206" s="9">
        <f t="shared" si="5"/>
        <v>26414.232</v>
      </c>
    </row>
    <row r="207" spans="1:11" x14ac:dyDescent="0.35">
      <c r="A207" s="21" t="s">
        <v>167</v>
      </c>
      <c r="G207" s="17">
        <v>577.23</v>
      </c>
      <c r="I207" s="32">
        <v>2.08</v>
      </c>
      <c r="K207" s="9">
        <f t="shared" si="5"/>
        <v>1200.6384</v>
      </c>
    </row>
    <row r="208" spans="1:11" x14ac:dyDescent="0.35">
      <c r="A208" s="21" t="s">
        <v>168</v>
      </c>
      <c r="G208" s="17">
        <v>824.62</v>
      </c>
      <c r="I208" s="32">
        <v>2.08</v>
      </c>
      <c r="K208" s="9">
        <f t="shared" si="5"/>
        <v>1715.2096000000001</v>
      </c>
    </row>
    <row r="209" spans="1:11" x14ac:dyDescent="0.35">
      <c r="A209" s="21" t="s">
        <v>169</v>
      </c>
      <c r="G209" s="17">
        <v>17612.07</v>
      </c>
      <c r="I209" s="32">
        <v>5.63</v>
      </c>
      <c r="K209" s="9">
        <f t="shared" si="5"/>
        <v>99155.954100000003</v>
      </c>
    </row>
    <row r="210" spans="1:11" x14ac:dyDescent="0.35">
      <c r="A210" s="21" t="s">
        <v>170</v>
      </c>
      <c r="G210" s="17">
        <v>5788.8176100628898</v>
      </c>
      <c r="I210" s="32">
        <v>5.63</v>
      </c>
      <c r="K210" s="9">
        <f t="shared" si="5"/>
        <v>32591.043144654068</v>
      </c>
    </row>
    <row r="211" spans="1:11" x14ac:dyDescent="0.35">
      <c r="A211" s="21" t="s">
        <v>171</v>
      </c>
      <c r="G211" s="17">
        <v>0</v>
      </c>
      <c r="I211" s="32">
        <v>5.63</v>
      </c>
      <c r="K211" s="9">
        <f t="shared" si="5"/>
        <v>0</v>
      </c>
    </row>
    <row r="212" spans="1:11" x14ac:dyDescent="0.35">
      <c r="A212" s="21" t="s">
        <v>172</v>
      </c>
      <c r="G212" s="17">
        <v>30.6</v>
      </c>
      <c r="I212" s="32">
        <v>5.63</v>
      </c>
      <c r="K212" s="9">
        <f t="shared" si="5"/>
        <v>172.27799999999999</v>
      </c>
    </row>
    <row r="213" spans="1:11" x14ac:dyDescent="0.35">
      <c r="A213" s="21" t="s">
        <v>173</v>
      </c>
      <c r="G213" s="17">
        <v>10.199999999999999</v>
      </c>
      <c r="I213" s="32">
        <v>5.63</v>
      </c>
      <c r="K213" s="9">
        <f t="shared" si="5"/>
        <v>57.425999999999995</v>
      </c>
    </row>
    <row r="214" spans="1:11" x14ac:dyDescent="0.35">
      <c r="A214" s="21" t="s">
        <v>174</v>
      </c>
      <c r="G214" s="17">
        <v>10.199999999999999</v>
      </c>
      <c r="I214" s="32">
        <v>5.63</v>
      </c>
      <c r="K214" s="9">
        <f t="shared" si="5"/>
        <v>57.425999999999995</v>
      </c>
    </row>
    <row r="215" spans="1:11" x14ac:dyDescent="0.35">
      <c r="A215" s="21" t="s">
        <v>175</v>
      </c>
      <c r="G215" s="17">
        <v>0</v>
      </c>
      <c r="I215" s="32">
        <v>5.63</v>
      </c>
      <c r="K215" s="9">
        <f t="shared" si="5"/>
        <v>0</v>
      </c>
    </row>
    <row r="216" spans="1:11" x14ac:dyDescent="0.35">
      <c r="A216" s="21" t="s">
        <v>176</v>
      </c>
      <c r="G216" s="17">
        <v>0</v>
      </c>
      <c r="I216" s="32">
        <v>5.63</v>
      </c>
      <c r="K216" s="9">
        <f t="shared" si="5"/>
        <v>0</v>
      </c>
    </row>
    <row r="217" spans="1:11" x14ac:dyDescent="0.35">
      <c r="A217" s="21" t="s">
        <v>177</v>
      </c>
      <c r="G217" s="17">
        <f>1387+1254</f>
        <v>2641</v>
      </c>
      <c r="I217" s="32">
        <v>2.12</v>
      </c>
      <c r="K217" s="9">
        <f t="shared" si="5"/>
        <v>5598.92</v>
      </c>
    </row>
    <row r="218" spans="1:11" x14ac:dyDescent="0.35">
      <c r="A218" s="21" t="s">
        <v>178</v>
      </c>
      <c r="G218" s="17">
        <v>132</v>
      </c>
      <c r="I218" s="32">
        <v>2.12</v>
      </c>
      <c r="K218" s="9">
        <f t="shared" si="5"/>
        <v>279.84000000000003</v>
      </c>
    </row>
    <row r="219" spans="1:11" x14ac:dyDescent="0.35">
      <c r="A219" s="21" t="s">
        <v>179</v>
      </c>
      <c r="G219" s="17">
        <v>267</v>
      </c>
      <c r="I219" s="32">
        <v>2.12</v>
      </c>
      <c r="K219" s="9">
        <f t="shared" si="5"/>
        <v>566.04000000000008</v>
      </c>
    </row>
    <row r="220" spans="1:11" x14ac:dyDescent="0.35">
      <c r="A220" s="21" t="s">
        <v>180</v>
      </c>
      <c r="G220" s="17">
        <v>267</v>
      </c>
      <c r="I220" s="32">
        <v>2.12</v>
      </c>
      <c r="K220" s="9">
        <f t="shared" si="5"/>
        <v>566.04000000000008</v>
      </c>
    </row>
    <row r="221" spans="1:11" x14ac:dyDescent="0.35">
      <c r="A221" s="6"/>
      <c r="E221" s="19" t="s">
        <v>198</v>
      </c>
      <c r="G221" s="33">
        <f>SUM(G117:G220)</f>
        <v>566185.10142993939</v>
      </c>
      <c r="H221" s="26"/>
      <c r="I221" s="26"/>
      <c r="J221" s="26"/>
      <c r="K221" s="29">
        <f>SUM(K117:K220)</f>
        <v>2187392.1443234528</v>
      </c>
    </row>
    <row r="222" spans="1:11" x14ac:dyDescent="0.35">
      <c r="A222" s="6" t="s">
        <v>199</v>
      </c>
    </row>
    <row r="223" spans="1:11" ht="19" thickBot="1" x14ac:dyDescent="0.5">
      <c r="A223" s="125" t="s">
        <v>33</v>
      </c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</row>
    <row r="225" spans="1:11" x14ac:dyDescent="0.35">
      <c r="A225" t="s">
        <v>34</v>
      </c>
      <c r="G225" s="3">
        <f>27654.7091925466-14411.275</f>
        <v>13243.434192546601</v>
      </c>
    </row>
    <row r="226" spans="1:11" x14ac:dyDescent="0.35">
      <c r="A226" t="s">
        <v>200</v>
      </c>
      <c r="G226" s="3">
        <f>44457.1013043478-312.5</f>
        <v>44144.601304347801</v>
      </c>
    </row>
    <row r="227" spans="1:11" x14ac:dyDescent="0.35">
      <c r="A227" t="s">
        <v>35</v>
      </c>
      <c r="G227" s="3">
        <f>89840.68-31694.055</f>
        <v>58146.624999999993</v>
      </c>
    </row>
    <row r="228" spans="1:11" x14ac:dyDescent="0.35">
      <c r="A228" t="s">
        <v>36</v>
      </c>
      <c r="G228" s="3">
        <f>3087.60869565217+2370.21739130435-625</f>
        <v>4832.8260869565202</v>
      </c>
    </row>
    <row r="229" spans="1:11" ht="15.5" x14ac:dyDescent="0.35">
      <c r="A229" s="4" t="s">
        <v>37</v>
      </c>
      <c r="G229" s="34">
        <f>SUM(G225:G228)+1</f>
        <v>120368.4865838509</v>
      </c>
    </row>
    <row r="231" spans="1:11" ht="19" thickBot="1" x14ac:dyDescent="0.5">
      <c r="A231" s="125" t="s">
        <v>4</v>
      </c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</row>
    <row r="233" spans="1:11" x14ac:dyDescent="0.35">
      <c r="A233" t="s">
        <v>38</v>
      </c>
      <c r="G233" s="9">
        <f>K110</f>
        <v>1886141.1200000008</v>
      </c>
    </row>
    <row r="234" spans="1:11" x14ac:dyDescent="0.35">
      <c r="A234" t="s">
        <v>39</v>
      </c>
      <c r="G234" s="35">
        <f>K221</f>
        <v>2187392.1443234528</v>
      </c>
    </row>
    <row r="235" spans="1:11" ht="15.5" x14ac:dyDescent="0.35">
      <c r="A235" s="4" t="s">
        <v>40</v>
      </c>
      <c r="G235" s="36">
        <f>SUM(G233:G234)+5.5</f>
        <v>4073538.7643234534</v>
      </c>
    </row>
    <row r="236" spans="1:11" ht="15.5" x14ac:dyDescent="0.35">
      <c r="A236" s="4" t="s">
        <v>33</v>
      </c>
      <c r="G236" s="37">
        <f>G229</f>
        <v>120368.4865838509</v>
      </c>
    </row>
    <row r="237" spans="1:11" ht="16" thickBot="1" x14ac:dyDescent="0.4">
      <c r="A237" s="4" t="s">
        <v>4</v>
      </c>
      <c r="G237" s="38">
        <f>SUM(G235:G236)</f>
        <v>4193907.2509073042</v>
      </c>
    </row>
    <row r="238" spans="1:11" ht="15" thickTop="1" x14ac:dyDescent="0.35"/>
    <row r="239" spans="1:11" x14ac:dyDescent="0.35">
      <c r="K239" s="9"/>
    </row>
  </sheetData>
  <mergeCells count="7">
    <mergeCell ref="A231:K231"/>
    <mergeCell ref="A1:K1"/>
    <mergeCell ref="A2:K2"/>
    <mergeCell ref="A4:K4"/>
    <mergeCell ref="A6:K6"/>
    <mergeCell ref="A114:K114"/>
    <mergeCell ref="A223:K223"/>
  </mergeCells>
  <pageMargins left="0.7" right="0.7" top="0.75" bottom="0.75" header="0.3" footer="0.3"/>
  <pageSetup scale="93" firstPageNumber="6" fitToHeight="0" orientation="portrait" r:id="rId1"/>
  <headerFooter>
    <oddFooter>&amp;RCase No. WR-2024-0104
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37"/>
  <sheetViews>
    <sheetView topLeftCell="A93" zoomScaleNormal="100" workbookViewId="0">
      <selection activeCell="E123" sqref="E123"/>
    </sheetView>
  </sheetViews>
  <sheetFormatPr defaultRowHeight="14.5" x14ac:dyDescent="0.35"/>
  <cols>
    <col min="1" max="1" width="31.54296875" customWidth="1"/>
    <col min="2" max="2" width="3.1796875" customWidth="1"/>
    <col min="3" max="3" width="12.54296875" bestFit="1" customWidth="1"/>
    <col min="4" max="4" width="3.26953125" customWidth="1"/>
    <col min="5" max="5" width="13.54296875" customWidth="1"/>
    <col min="6" max="6" width="3.453125" customWidth="1"/>
    <col min="7" max="7" width="12.453125" customWidth="1"/>
    <col min="8" max="8" width="4.26953125" customWidth="1"/>
    <col min="9" max="9" width="12.7265625" bestFit="1" customWidth="1"/>
  </cols>
  <sheetData>
    <row r="1" spans="1:9" ht="21.5" thickBot="1" x14ac:dyDescent="0.55000000000000004">
      <c r="A1" s="123" t="str">
        <f>'Income Statement'!A1:D1</f>
        <v>Liberty Utilities (Missouri Water), LLC - Water, All Other Service Areas</v>
      </c>
      <c r="B1" s="123"/>
      <c r="C1" s="123"/>
      <c r="D1" s="123"/>
      <c r="E1" s="123"/>
      <c r="F1" s="123"/>
      <c r="G1" s="123"/>
      <c r="H1" s="123"/>
      <c r="I1" s="123"/>
    </row>
    <row r="2" spans="1:9" ht="19.5" thickTop="1" thickBot="1" x14ac:dyDescent="0.5">
      <c r="A2" s="124" t="s">
        <v>41</v>
      </c>
      <c r="B2" s="124"/>
      <c r="C2" s="124"/>
      <c r="D2" s="124"/>
      <c r="E2" s="124"/>
      <c r="F2" s="124"/>
      <c r="G2" s="124"/>
      <c r="H2" s="124"/>
      <c r="I2" s="124"/>
    </row>
    <row r="3" spans="1:9" ht="15" thickTop="1" x14ac:dyDescent="0.35"/>
    <row r="4" spans="1:9" ht="15.5" x14ac:dyDescent="0.35">
      <c r="A4" s="4" t="s">
        <v>42</v>
      </c>
      <c r="B4" s="4"/>
      <c r="C4" s="4"/>
      <c r="D4" s="4"/>
      <c r="E4" s="4"/>
      <c r="F4" s="4"/>
      <c r="G4" s="4"/>
      <c r="H4" s="4"/>
      <c r="I4" s="37">
        <f>'Revenues - Current Rates'!G235</f>
        <v>4073538.7643234534</v>
      </c>
    </row>
    <row r="5" spans="1:9" ht="15.5" x14ac:dyDescent="0.35">
      <c r="A5" s="4" t="s">
        <v>43</v>
      </c>
      <c r="B5" s="4"/>
      <c r="C5" s="4"/>
      <c r="D5" s="4"/>
      <c r="E5" s="4"/>
      <c r="F5" s="4"/>
      <c r="G5" s="4"/>
      <c r="H5" s="4"/>
      <c r="I5" s="36">
        <f>'Income Statement'!D13</f>
        <v>4706117.7490926962</v>
      </c>
    </row>
    <row r="6" spans="1:9" ht="15.5" x14ac:dyDescent="0.35">
      <c r="A6" s="4" t="s">
        <v>44</v>
      </c>
      <c r="B6" s="4"/>
      <c r="C6" s="4"/>
      <c r="D6" s="4"/>
      <c r="E6" s="4"/>
      <c r="F6" s="4"/>
      <c r="G6" s="4"/>
      <c r="H6" s="4"/>
      <c r="I6" s="39">
        <f>I5/I4</f>
        <v>1.1552897913503233</v>
      </c>
    </row>
    <row r="8" spans="1:9" ht="19" thickBot="1" x14ac:dyDescent="0.5">
      <c r="A8" s="125" t="s">
        <v>45</v>
      </c>
      <c r="B8" s="125"/>
      <c r="C8" s="125"/>
      <c r="D8" s="125"/>
      <c r="E8" s="125"/>
      <c r="F8" s="125"/>
      <c r="G8" s="125"/>
      <c r="H8" s="125"/>
      <c r="I8" s="125"/>
    </row>
    <row r="9" spans="1:9" ht="15.5" x14ac:dyDescent="0.35">
      <c r="C9" s="7" t="s">
        <v>46</v>
      </c>
      <c r="D9" s="7"/>
      <c r="E9" s="7" t="s">
        <v>47</v>
      </c>
      <c r="G9" s="7" t="s">
        <v>46</v>
      </c>
      <c r="H9" s="7"/>
      <c r="I9" s="7" t="s">
        <v>47</v>
      </c>
    </row>
    <row r="10" spans="1:9" ht="15.5" x14ac:dyDescent="0.35">
      <c r="A10" s="7" t="s">
        <v>17</v>
      </c>
      <c r="C10" s="7" t="s">
        <v>7</v>
      </c>
      <c r="D10" s="7"/>
      <c r="E10" s="7" t="s">
        <v>7</v>
      </c>
      <c r="G10" s="7" t="s">
        <v>48</v>
      </c>
      <c r="H10" s="7"/>
      <c r="I10" s="7" t="s">
        <v>48</v>
      </c>
    </row>
    <row r="11" spans="1:9" ht="15.5" x14ac:dyDescent="0.35">
      <c r="A11" s="81" t="s">
        <v>22</v>
      </c>
      <c r="B11" s="81"/>
      <c r="C11" s="81" t="s">
        <v>9</v>
      </c>
      <c r="D11" s="81"/>
      <c r="E11" s="81" t="s">
        <v>9</v>
      </c>
      <c r="F11" s="31"/>
      <c r="G11" s="81" t="s">
        <v>32</v>
      </c>
      <c r="H11" s="81"/>
      <c r="I11" s="81" t="s">
        <v>32</v>
      </c>
    </row>
    <row r="12" spans="1:9" x14ac:dyDescent="0.35">
      <c r="A12" s="24" t="str">
        <f>'Revenues - Current Rates'!A9</f>
        <v>Noel Residential 5/8"</v>
      </c>
      <c r="B12" s="24"/>
      <c r="C12" s="24">
        <f>'Revenues - Current Rates'!I9</f>
        <v>23.86</v>
      </c>
      <c r="E12" s="24">
        <f t="shared" ref="E12:E22" si="0">IF(ISNUMBER(SEARCH("*"&amp;$A$116&amp;"*",A12)), $I$116, "0")+IF(ISNUMBER(SEARCH("*"&amp;$A$115&amp;"*",A12)), $I$115, "0")+IF(ISNUMBER(SEARCH("*"&amp;$A$117&amp;"*",A12)), $I$117, "0")+IF(ISNUMBER(SEARCH("*"&amp;$A$118&amp;"*",A12)), $I$118, "0")+IF(ISNUMBER(SEARCH("*"&amp;$A$119&amp;"*",A12)), $I$119, "0")+IF(ISNUMBER(SEARCH("*"&amp;$A$120&amp;"*",A12)), $I$120, "0")+IF(ISNUMBER(SEARCH("*"&amp;$A$121&amp;"*",A12)), $I$121, "0")+IF(ISNUMBER(SEARCH("*"&amp;$A$122&amp;"*",A12)), $I$122, "0")+IF(ISNUMBER(SEARCH("*"&amp;$A$123&amp;"*",A12)), $I$123, "0")</f>
        <v>26.00218247825001</v>
      </c>
      <c r="G12" s="24">
        <f>'Revenues - Current Rates'!I117</f>
        <v>3.08</v>
      </c>
      <c r="I12" s="32">
        <f t="shared" ref="I12:I75" ca="1" si="1">$E$130</f>
        <v>10.518214419364604</v>
      </c>
    </row>
    <row r="13" spans="1:9" x14ac:dyDescent="0.35">
      <c r="A13" s="24" t="str">
        <f>'Revenues - Current Rates'!A10</f>
        <v>Noel Residential 3/4"</v>
      </c>
      <c r="C13" s="24">
        <f>'Revenues - Current Rates'!I10</f>
        <v>33.409999999999997</v>
      </c>
      <c r="E13" s="24">
        <f t="shared" si="0"/>
        <v>26.00218247825001</v>
      </c>
      <c r="G13" s="24">
        <f>'Revenues - Current Rates'!I118</f>
        <v>3.08</v>
      </c>
      <c r="I13" s="32">
        <f t="shared" ca="1" si="1"/>
        <v>10.518214419364604</v>
      </c>
    </row>
    <row r="14" spans="1:9" x14ac:dyDescent="0.35">
      <c r="A14" s="24" t="str">
        <f>'Revenues - Current Rates'!A11</f>
        <v>Noel Residential 1"</v>
      </c>
      <c r="C14" s="24">
        <f>'Revenues - Current Rates'!I11</f>
        <v>40.56</v>
      </c>
      <c r="E14" s="24">
        <f t="shared" si="0"/>
        <v>45.503819336937518</v>
      </c>
      <c r="G14" s="24">
        <f>'Revenues - Current Rates'!I119</f>
        <v>3.08</v>
      </c>
      <c r="I14" s="32">
        <f t="shared" ca="1" si="1"/>
        <v>10.518214419364604</v>
      </c>
    </row>
    <row r="15" spans="1:9" x14ac:dyDescent="0.35">
      <c r="A15" s="24" t="str">
        <f>'Revenues - Current Rates'!A12</f>
        <v>Noel Residential 2"</v>
      </c>
      <c r="C15" s="24">
        <f>'Revenues - Current Rates'!I12</f>
        <v>126.46</v>
      </c>
      <c r="E15" s="24">
        <f t="shared" si="0"/>
        <v>91.007638673875036</v>
      </c>
      <c r="G15" s="24">
        <f>'Revenues - Current Rates'!I120</f>
        <v>3.08</v>
      </c>
      <c r="I15" s="32">
        <f t="shared" ca="1" si="1"/>
        <v>10.518214419364604</v>
      </c>
    </row>
    <row r="16" spans="1:9" x14ac:dyDescent="0.35">
      <c r="A16" s="24" t="str">
        <f>'Revenues - Current Rates'!A13</f>
        <v>Noel Residential 4"</v>
      </c>
      <c r="C16" s="24">
        <f>'Revenues - Current Rates'!I13</f>
        <v>334.05</v>
      </c>
      <c r="E16" s="24">
        <f t="shared" si="0"/>
        <v>260.02182478250012</v>
      </c>
      <c r="G16" s="24">
        <f>'Revenues - Current Rates'!I121</f>
        <v>3.08</v>
      </c>
      <c r="I16" s="32">
        <f t="shared" ca="1" si="1"/>
        <v>10.518214419364604</v>
      </c>
    </row>
    <row r="17" spans="1:9" x14ac:dyDescent="0.35">
      <c r="A17" s="24" t="str">
        <f>'Revenues - Current Rates'!A14</f>
        <v>Noel Commercial 1"</v>
      </c>
      <c r="C17" s="24">
        <f>'Revenues - Current Rates'!I14</f>
        <v>40.56</v>
      </c>
      <c r="E17" s="24">
        <f t="shared" si="0"/>
        <v>45.503819336937518</v>
      </c>
      <c r="G17" s="24">
        <f>'Revenues - Current Rates'!I122</f>
        <v>3.08</v>
      </c>
      <c r="I17" s="32">
        <f t="shared" ca="1" si="1"/>
        <v>10.518214419364604</v>
      </c>
    </row>
    <row r="18" spans="1:9" x14ac:dyDescent="0.35">
      <c r="A18" s="24" t="str">
        <f>'Revenues - Current Rates'!A15</f>
        <v>Noel Commercial 2"</v>
      </c>
      <c r="C18" s="24">
        <f>'Revenues - Current Rates'!I15</f>
        <v>126.46</v>
      </c>
      <c r="E18" s="24">
        <f t="shared" si="0"/>
        <v>91.007638673875036</v>
      </c>
      <c r="G18" s="24">
        <f>'Revenues - Current Rates'!I123</f>
        <v>3.08</v>
      </c>
      <c r="I18" s="32">
        <f t="shared" ca="1" si="1"/>
        <v>10.518214419364604</v>
      </c>
    </row>
    <row r="19" spans="1:9" x14ac:dyDescent="0.35">
      <c r="A19" s="24" t="str">
        <f>'Revenues - Current Rates'!A16</f>
        <v>Noel Commercial 3/4"</v>
      </c>
      <c r="C19" s="24">
        <f>'Revenues - Current Rates'!I16</f>
        <v>33.409999999999997</v>
      </c>
      <c r="E19" s="24">
        <f t="shared" si="0"/>
        <v>26.00218247825001</v>
      </c>
      <c r="G19" s="24">
        <f>'Revenues - Current Rates'!I124</f>
        <v>3.08</v>
      </c>
      <c r="I19" s="32">
        <f t="shared" ca="1" si="1"/>
        <v>10.518214419364604</v>
      </c>
    </row>
    <row r="20" spans="1:9" x14ac:dyDescent="0.35">
      <c r="A20" s="24" t="str">
        <f>'Revenues - Current Rates'!A17</f>
        <v>Noel Commercial 4"</v>
      </c>
      <c r="C20" s="24">
        <f>'Revenues - Current Rates'!I17</f>
        <v>334.05</v>
      </c>
      <c r="E20" s="24">
        <f t="shared" si="0"/>
        <v>260.02182478250012</v>
      </c>
      <c r="G20" s="24">
        <f>'Revenues - Current Rates'!I125</f>
        <v>3.08</v>
      </c>
      <c r="I20" s="32">
        <f t="shared" ca="1" si="1"/>
        <v>10.518214419364604</v>
      </c>
    </row>
    <row r="21" spans="1:9" x14ac:dyDescent="0.35">
      <c r="A21" s="24" t="str">
        <f>'Revenues - Current Rates'!A18</f>
        <v>Noel Commercial 5/8"</v>
      </c>
      <c r="C21" s="24">
        <f>'Revenues - Current Rates'!I18</f>
        <v>23.86</v>
      </c>
      <c r="E21" s="24">
        <f t="shared" si="0"/>
        <v>26.00218247825001</v>
      </c>
      <c r="G21" s="24">
        <f>'Revenues - Current Rates'!I126</f>
        <v>3.08</v>
      </c>
      <c r="I21" s="32">
        <f t="shared" ca="1" si="1"/>
        <v>10.518214419364604</v>
      </c>
    </row>
    <row r="22" spans="1:9" x14ac:dyDescent="0.35">
      <c r="A22" s="24" t="str">
        <f>'Revenues - Current Rates'!A19</f>
        <v>Noel Commercial 6"</v>
      </c>
      <c r="C22" s="24">
        <f>'Revenues - Current Rates'!I19</f>
        <v>501.08</v>
      </c>
      <c r="E22" s="24">
        <f t="shared" si="0"/>
        <v>520.04364956500024</v>
      </c>
      <c r="G22" s="24">
        <f>'Revenues - Current Rates'!I127</f>
        <v>3.08</v>
      </c>
      <c r="I22" s="32">
        <f t="shared" ca="1" si="1"/>
        <v>10.518214419364604</v>
      </c>
    </row>
    <row r="23" spans="1:9" x14ac:dyDescent="0.35">
      <c r="A23" s="24" t="str">
        <f>'Revenues - Current Rates'!A20</f>
        <v>Noel Sprinkler*</v>
      </c>
      <c r="C23" s="24">
        <f>'Revenues - Current Rates'!I20</f>
        <v>23.86</v>
      </c>
      <c r="E23" s="24">
        <f>IF(ISNUMBER(SEARCH("*"&amp;$A$116&amp;"*",A23)), $I$116, "0")+IF(ISNUMBER(SEARCH("*"&amp;$A$115&amp;"*",A23)), $I$115, "0")+IF(ISNUMBER(SEARCH("*"&amp;$A$117&amp;"*",A23)), $I$117, "0")+IF(ISNUMBER(SEARCH("*"&amp;$A$118&amp;"*",A23)), $I$118, "0")+IF(ISNUMBER(SEARCH("*"&amp;$A$119&amp;"*",A23)), $I$119, "0")+IF(ISNUMBER(SEARCH("*"&amp;$A$120&amp;"*",A23)), $I$120, "0")+IF(ISNUMBER(SEARCH("*"&amp;$A$121&amp;"*",A23)), $I$121, "0")+IF(ISNUMBER(SEARCH("*"&amp;$A$122&amp;"*",A23)), $I$122, "0")+IF(ISNUMBER(SEARCH("*"&amp;$A$123&amp;"*",A23)), $I$123, $I$124)</f>
        <v>45.503819336937518</v>
      </c>
      <c r="G23" s="24">
        <f>'Revenues - Current Rates'!I128</f>
        <v>3.08</v>
      </c>
      <c r="I23" s="32">
        <f t="shared" ca="1" si="1"/>
        <v>10.518214419364604</v>
      </c>
    </row>
    <row r="24" spans="1:9" x14ac:dyDescent="0.35">
      <c r="A24" s="24" t="str">
        <f>'Revenues - Current Rates'!A21</f>
        <v>Noel Industrial 5/8"</v>
      </c>
      <c r="C24" s="24">
        <f>'Revenues - Current Rates'!I21</f>
        <v>23.86</v>
      </c>
      <c r="E24" s="24">
        <f t="shared" ref="E24:E32" si="2">IF(ISNUMBER(SEARCH("*"&amp;$A$116&amp;"*",A24)), $I$116, "0")+IF(ISNUMBER(SEARCH("*"&amp;$A$115&amp;"*",A24)), $I$115, "0")+IF(ISNUMBER(SEARCH("*"&amp;$A$117&amp;"*",A24)), $I$117, "0")+IF(ISNUMBER(SEARCH("*"&amp;$A$118&amp;"*",A24)), $I$118, "0")+IF(ISNUMBER(SEARCH("*"&amp;$A$119&amp;"*",A24)), $I$119, "0")+IF(ISNUMBER(SEARCH("*"&amp;$A$120&amp;"*",A24)), $I$120, "0")+IF(ISNUMBER(SEARCH("*"&amp;$A$121&amp;"*",A24)), $I$121, "0")+IF(ISNUMBER(SEARCH("*"&amp;$A$122&amp;"*",A24)), $I$122, "0")+IF(ISNUMBER(SEARCH("*"&amp;$A$123&amp;"*",A24)), $I$123, "0")</f>
        <v>26.00218247825001</v>
      </c>
      <c r="G24" s="24">
        <f>'Revenues - Current Rates'!I129</f>
        <v>2.86</v>
      </c>
      <c r="I24" s="32">
        <f t="shared" ca="1" si="1"/>
        <v>10.518214419364604</v>
      </c>
    </row>
    <row r="25" spans="1:9" x14ac:dyDescent="0.35">
      <c r="A25" s="24" t="str">
        <f>'Revenues - Current Rates'!A22</f>
        <v>Noel Industrial 3/4"</v>
      </c>
      <c r="C25" s="24">
        <f>'Revenues - Current Rates'!I22</f>
        <v>33.409999999999997</v>
      </c>
      <c r="E25" s="24">
        <f t="shared" si="2"/>
        <v>26.00218247825001</v>
      </c>
      <c r="G25" s="24">
        <f>'Revenues - Current Rates'!I130</f>
        <v>2.86</v>
      </c>
      <c r="I25" s="32">
        <f t="shared" ca="1" si="1"/>
        <v>10.518214419364604</v>
      </c>
    </row>
    <row r="26" spans="1:9" x14ac:dyDescent="0.35">
      <c r="A26" s="24" t="str">
        <f>'Revenues - Current Rates'!A23</f>
        <v>Noel Industrial 1"</v>
      </c>
      <c r="C26" s="24">
        <f>'Revenues - Current Rates'!I23</f>
        <v>40.56</v>
      </c>
      <c r="E26" s="24">
        <f t="shared" si="2"/>
        <v>45.503819336937518</v>
      </c>
      <c r="G26" s="24">
        <f>'Revenues - Current Rates'!I131</f>
        <v>2.86</v>
      </c>
      <c r="I26" s="32">
        <f t="shared" ca="1" si="1"/>
        <v>10.518214419364604</v>
      </c>
    </row>
    <row r="27" spans="1:9" x14ac:dyDescent="0.35">
      <c r="A27" s="24" t="str">
        <f>'Revenues - Current Rates'!A24</f>
        <v>Noel Industrial 2"</v>
      </c>
      <c r="C27" s="24">
        <f>'Revenues - Current Rates'!I24</f>
        <v>126.46</v>
      </c>
      <c r="E27" s="24">
        <f t="shared" si="2"/>
        <v>91.007638673875036</v>
      </c>
      <c r="G27" s="24">
        <f>'Revenues - Current Rates'!I132</f>
        <v>2.86</v>
      </c>
      <c r="I27" s="32">
        <f t="shared" ca="1" si="1"/>
        <v>10.518214419364604</v>
      </c>
    </row>
    <row r="28" spans="1:9" x14ac:dyDescent="0.35">
      <c r="A28" s="24" t="str">
        <f>'Revenues - Current Rates'!A25</f>
        <v>Noel Industrial 4"</v>
      </c>
      <c r="C28" s="24">
        <f>'Revenues - Current Rates'!I25</f>
        <v>334.05</v>
      </c>
      <c r="E28" s="24">
        <f t="shared" si="2"/>
        <v>260.02182478250012</v>
      </c>
      <c r="G28" s="24">
        <f>'Revenues - Current Rates'!I133</f>
        <v>2.86</v>
      </c>
      <c r="I28" s="32">
        <f t="shared" ca="1" si="1"/>
        <v>10.518214419364604</v>
      </c>
    </row>
    <row r="29" spans="1:9" x14ac:dyDescent="0.35">
      <c r="A29" s="24" t="str">
        <f>'Revenues - Current Rates'!A26</f>
        <v>Noel Industrial 6"</v>
      </c>
      <c r="C29" s="24">
        <f>'Revenues - Current Rates'!I26</f>
        <v>501.08</v>
      </c>
      <c r="E29" s="24">
        <f t="shared" si="2"/>
        <v>520.04364956500024</v>
      </c>
      <c r="G29" s="24">
        <f>'Revenues - Current Rates'!I134</f>
        <v>2.86</v>
      </c>
      <c r="I29" s="32">
        <f t="shared" ca="1" si="1"/>
        <v>10.518214419364604</v>
      </c>
    </row>
    <row r="30" spans="1:9" x14ac:dyDescent="0.35">
      <c r="A30" s="24" t="str">
        <f>'Revenues - Current Rates'!A27</f>
        <v>KMB Residential 5/8"</v>
      </c>
      <c r="C30" s="24">
        <f>'Revenues - Current Rates'!I27</f>
        <v>30.04</v>
      </c>
      <c r="E30" s="24">
        <f t="shared" si="2"/>
        <v>26.00218247825001</v>
      </c>
      <c r="G30" s="24">
        <f>'Revenues - Current Rates'!I135</f>
        <v>6.87</v>
      </c>
      <c r="I30" s="32">
        <f t="shared" ca="1" si="1"/>
        <v>10.518214419364604</v>
      </c>
    </row>
    <row r="31" spans="1:9" x14ac:dyDescent="0.35">
      <c r="A31" s="24" t="str">
        <f>'Revenues - Current Rates'!A28</f>
        <v>KMB Residential 3/4"</v>
      </c>
      <c r="C31" s="24">
        <f>'Revenues - Current Rates'!I28</f>
        <v>30.04</v>
      </c>
      <c r="E31" s="24">
        <f t="shared" si="2"/>
        <v>26.00218247825001</v>
      </c>
      <c r="G31" s="24">
        <f>'Revenues - Current Rates'!I136</f>
        <v>6.87</v>
      </c>
      <c r="I31" s="32">
        <f t="shared" ca="1" si="1"/>
        <v>10.518214419364604</v>
      </c>
    </row>
    <row r="32" spans="1:9" x14ac:dyDescent="0.35">
      <c r="A32" s="24" t="str">
        <f>'Revenues - Current Rates'!A29</f>
        <v>KMB Residential 1"</v>
      </c>
      <c r="C32" s="24">
        <f>'Revenues - Current Rates'!I29</f>
        <v>60.08</v>
      </c>
      <c r="E32" s="24">
        <f t="shared" si="2"/>
        <v>45.503819336937518</v>
      </c>
      <c r="G32" s="24">
        <f>'Revenues - Current Rates'!I137</f>
        <v>6.87</v>
      </c>
      <c r="I32" s="32">
        <f t="shared" ca="1" si="1"/>
        <v>10.518214419364604</v>
      </c>
    </row>
    <row r="33" spans="1:9" x14ac:dyDescent="0.35">
      <c r="A33" s="24" t="str">
        <f>'Revenues - Current Rates'!A30</f>
        <v>KMB Sprinkler*</v>
      </c>
      <c r="C33" s="24">
        <f>'Revenues - Current Rates'!I30</f>
        <v>30.04</v>
      </c>
      <c r="E33" s="24">
        <f>IF(ISNUMBER(SEARCH("*"&amp;$A$116&amp;"*",A33)), $I$116, "0")+IF(ISNUMBER(SEARCH("*"&amp;$A$115&amp;"*",A33)), $I$115, "0")+IF(ISNUMBER(SEARCH("*"&amp;$A$117&amp;"*",A33)), $I$117, "0")+IF(ISNUMBER(SEARCH("*"&amp;$A$118&amp;"*",A33)), $I$118, "0")+IF(ISNUMBER(SEARCH("*"&amp;$A$119&amp;"*",A33)), $I$119, "0")+IF(ISNUMBER(SEARCH("*"&amp;$A$120&amp;"*",A33)), $I$120, "0")+IF(ISNUMBER(SEARCH("*"&amp;$A$121&amp;"*",A33)), $I$121, "0")+IF(ISNUMBER(SEARCH("*"&amp;$A$122&amp;"*",A33)), $I$122, "0")+IF(ISNUMBER(SEARCH("*"&amp;$A$123&amp;"*",A33)), $I$123, $I$124)</f>
        <v>45.503819336937518</v>
      </c>
      <c r="G33" s="24">
        <f>'Revenues - Current Rates'!I138</f>
        <v>6.87</v>
      </c>
      <c r="I33" s="32">
        <f t="shared" ca="1" si="1"/>
        <v>10.518214419364604</v>
      </c>
    </row>
    <row r="34" spans="1:9" x14ac:dyDescent="0.35">
      <c r="A34" s="24" t="str">
        <f>'Revenues - Current Rates'!A31</f>
        <v>KMB Commercial 5/8"</v>
      </c>
      <c r="C34" s="24">
        <f>'Revenues - Current Rates'!I31</f>
        <v>30.04</v>
      </c>
      <c r="E34" s="24">
        <f t="shared" ref="E34:E53" si="3">IF(ISNUMBER(SEARCH("*"&amp;$A$116&amp;"*",A34)), $I$116, "0")+IF(ISNUMBER(SEARCH("*"&amp;$A$115&amp;"*",A34)), $I$115, "0")+IF(ISNUMBER(SEARCH("*"&amp;$A$117&amp;"*",A34)), $I$117, "0")+IF(ISNUMBER(SEARCH("*"&amp;$A$118&amp;"*",A34)), $I$118, "0")+IF(ISNUMBER(SEARCH("*"&amp;$A$119&amp;"*",A34)), $I$119, "0")+IF(ISNUMBER(SEARCH("*"&amp;$A$120&amp;"*",A34)), $I$120, "0")+IF(ISNUMBER(SEARCH("*"&amp;$A$121&amp;"*",A34)), $I$121, "0")+IF(ISNUMBER(SEARCH("*"&amp;$A$122&amp;"*",A34)), $I$122, "0")+IF(ISNUMBER(SEARCH("*"&amp;$A$123&amp;"*",A34)), $I$123, "0")</f>
        <v>26.00218247825001</v>
      </c>
      <c r="G34" s="24">
        <f>'Revenues - Current Rates'!I139</f>
        <v>6.87</v>
      </c>
      <c r="I34" s="32">
        <f t="shared" ca="1" si="1"/>
        <v>10.518214419364604</v>
      </c>
    </row>
    <row r="35" spans="1:9" x14ac:dyDescent="0.35">
      <c r="A35" s="24" t="str">
        <f>'Revenues - Current Rates'!A32</f>
        <v>KMB Commercial 3/4"</v>
      </c>
      <c r="C35" s="24">
        <f>'Revenues - Current Rates'!I32</f>
        <v>30.04</v>
      </c>
      <c r="E35" s="24">
        <f t="shared" si="3"/>
        <v>26.00218247825001</v>
      </c>
      <c r="G35" s="24">
        <f>'Revenues - Current Rates'!I140</f>
        <v>6.87</v>
      </c>
      <c r="I35" s="32">
        <f t="shared" ca="1" si="1"/>
        <v>10.518214419364604</v>
      </c>
    </row>
    <row r="36" spans="1:9" x14ac:dyDescent="0.35">
      <c r="A36" s="24" t="str">
        <f>'Revenues - Current Rates'!A33</f>
        <v>KMB Commercial 1"</v>
      </c>
      <c r="C36" s="24">
        <f>'Revenues - Current Rates'!I33</f>
        <v>60.08</v>
      </c>
      <c r="E36" s="24">
        <f t="shared" si="3"/>
        <v>45.503819336937518</v>
      </c>
      <c r="G36" s="24">
        <f>'Revenues - Current Rates'!I141</f>
        <v>6.87</v>
      </c>
      <c r="I36" s="32">
        <f t="shared" ca="1" si="1"/>
        <v>10.518214419364604</v>
      </c>
    </row>
    <row r="37" spans="1:9" x14ac:dyDescent="0.35">
      <c r="A37" s="24" t="str">
        <f>'Revenues - Current Rates'!A34</f>
        <v>Silverleaf Residential 3/4"</v>
      </c>
      <c r="C37" s="24">
        <f>'Revenues - Current Rates'!I34</f>
        <v>26.65</v>
      </c>
      <c r="E37" s="24">
        <f t="shared" si="3"/>
        <v>26.00218247825001</v>
      </c>
      <c r="G37" s="24">
        <f>'Revenues - Current Rates'!I142</f>
        <v>6.88</v>
      </c>
      <c r="I37" s="32">
        <f t="shared" ca="1" si="1"/>
        <v>10.518214419364604</v>
      </c>
    </row>
    <row r="38" spans="1:9" x14ac:dyDescent="0.35">
      <c r="A38" s="24" t="str">
        <f>'Revenues - Current Rates'!A35</f>
        <v>Silverleaf Residential 1"</v>
      </c>
      <c r="C38" s="24">
        <f>'Revenues - Current Rates'!I35</f>
        <v>45.31</v>
      </c>
      <c r="E38" s="24">
        <f t="shared" si="3"/>
        <v>45.503819336937518</v>
      </c>
      <c r="G38" s="24">
        <f>'Revenues - Current Rates'!I143</f>
        <v>6.88</v>
      </c>
      <c r="I38" s="32">
        <f t="shared" ca="1" si="1"/>
        <v>10.518214419364604</v>
      </c>
    </row>
    <row r="39" spans="1:9" x14ac:dyDescent="0.35">
      <c r="A39" s="24" t="str">
        <f>'Revenues - Current Rates'!A36</f>
        <v>Silverleaf Residential 2"</v>
      </c>
      <c r="C39" s="24">
        <f>'Revenues - Current Rates'!I36</f>
        <v>106.61</v>
      </c>
      <c r="E39" s="24">
        <f t="shared" si="3"/>
        <v>91.007638673875036</v>
      </c>
      <c r="G39" s="24">
        <f>'Revenues - Current Rates'!I144</f>
        <v>6.88</v>
      </c>
      <c r="I39" s="32">
        <f t="shared" ca="1" si="1"/>
        <v>10.518214419364604</v>
      </c>
    </row>
    <row r="40" spans="1:9" x14ac:dyDescent="0.35">
      <c r="A40" s="24" t="str">
        <f>'Revenues - Current Rates'!A37</f>
        <v>Silverleaf Residential 3"</v>
      </c>
      <c r="C40" s="24">
        <f>'Revenues - Current Rates'!I37</f>
        <v>293.17</v>
      </c>
      <c r="E40" s="24">
        <f t="shared" si="3"/>
        <v>130.01091239125006</v>
      </c>
      <c r="G40" s="24">
        <f>'Revenues - Current Rates'!I145</f>
        <v>6.88</v>
      </c>
      <c r="I40" s="32">
        <f t="shared" ca="1" si="1"/>
        <v>10.518214419364604</v>
      </c>
    </row>
    <row r="41" spans="1:9" x14ac:dyDescent="0.35">
      <c r="A41" s="24" t="str">
        <f>'Revenues - Current Rates'!A38</f>
        <v>Silverleaf Residential 4"</v>
      </c>
      <c r="C41" s="24">
        <f>'Revenues - Current Rates'!I38</f>
        <v>373.13</v>
      </c>
      <c r="E41" s="24">
        <f t="shared" si="3"/>
        <v>260.02182478250012</v>
      </c>
      <c r="G41" s="24">
        <f>'Revenues - Current Rates'!I146</f>
        <v>6.88</v>
      </c>
      <c r="I41" s="32">
        <f t="shared" ca="1" si="1"/>
        <v>10.518214419364604</v>
      </c>
    </row>
    <row r="42" spans="1:9" x14ac:dyDescent="0.35">
      <c r="A42" s="24" t="str">
        <f>'Revenues - Current Rates'!A39</f>
        <v>Silverleaf Residential 5/8"*</v>
      </c>
      <c r="C42" s="24">
        <f>'Revenues - Current Rates'!I39</f>
        <v>26.65</v>
      </c>
      <c r="E42" s="24">
        <f t="shared" si="3"/>
        <v>26.00218247825001</v>
      </c>
      <c r="G42" s="24">
        <f>'Revenues - Current Rates'!I147</f>
        <v>6.88</v>
      </c>
      <c r="I42" s="32">
        <f t="shared" ca="1" si="1"/>
        <v>10.518214419364604</v>
      </c>
    </row>
    <row r="43" spans="1:9" x14ac:dyDescent="0.35">
      <c r="A43" s="24" t="str">
        <f>'Revenues - Current Rates'!A40</f>
        <v>Silverleaf Commercial 1"</v>
      </c>
      <c r="C43" s="24">
        <f>'Revenues - Current Rates'!I40</f>
        <v>45.31</v>
      </c>
      <c r="E43" s="24">
        <f t="shared" si="3"/>
        <v>45.503819336937518</v>
      </c>
      <c r="G43" s="24">
        <f>'Revenues - Current Rates'!I148</f>
        <v>6.88</v>
      </c>
      <c r="I43" s="32">
        <f t="shared" ca="1" si="1"/>
        <v>10.518214419364604</v>
      </c>
    </row>
    <row r="44" spans="1:9" x14ac:dyDescent="0.35">
      <c r="A44" s="24" t="str">
        <f>'Revenues - Current Rates'!A41</f>
        <v>Silverleaf Commercial 2"</v>
      </c>
      <c r="C44" s="24">
        <f>'Revenues - Current Rates'!I41</f>
        <v>106.61</v>
      </c>
      <c r="E44" s="24">
        <f t="shared" si="3"/>
        <v>91.007638673875036</v>
      </c>
      <c r="G44" s="24">
        <f>'Revenues - Current Rates'!I149</f>
        <v>6.88</v>
      </c>
      <c r="I44" s="32">
        <f t="shared" ca="1" si="1"/>
        <v>10.518214419364604</v>
      </c>
    </row>
    <row r="45" spans="1:9" x14ac:dyDescent="0.35">
      <c r="A45" s="24" t="str">
        <f>'Revenues - Current Rates'!A42</f>
        <v>Silverleaf Commercial 3"</v>
      </c>
      <c r="C45" s="24">
        <f>'Revenues - Current Rates'!I42</f>
        <v>293.17</v>
      </c>
      <c r="E45" s="24">
        <f t="shared" si="3"/>
        <v>130.01091239125006</v>
      </c>
      <c r="G45" s="24">
        <f>'Revenues - Current Rates'!I150</f>
        <v>6.88</v>
      </c>
      <c r="I45" s="32">
        <f t="shared" ca="1" si="1"/>
        <v>10.518214419364604</v>
      </c>
    </row>
    <row r="46" spans="1:9" x14ac:dyDescent="0.35">
      <c r="A46" s="24" t="str">
        <f>'Revenues - Current Rates'!A43</f>
        <v>Silverleaf Commercial 3/4"</v>
      </c>
      <c r="C46" s="24">
        <f>'Revenues - Current Rates'!I43</f>
        <v>26.65</v>
      </c>
      <c r="E46" s="24">
        <f t="shared" si="3"/>
        <v>26.00218247825001</v>
      </c>
      <c r="G46" s="24">
        <f>'Revenues - Current Rates'!I151</f>
        <v>6.88</v>
      </c>
      <c r="I46" s="32">
        <f t="shared" ca="1" si="1"/>
        <v>10.518214419364604</v>
      </c>
    </row>
    <row r="47" spans="1:9" x14ac:dyDescent="0.35">
      <c r="A47" s="24" t="str">
        <f>'Revenues - Current Rates'!A44</f>
        <v>Silverleaf Commercial 4"</v>
      </c>
      <c r="C47" s="24">
        <f>'Revenues - Current Rates'!I44</f>
        <v>373.13</v>
      </c>
      <c r="E47" s="24">
        <f t="shared" si="3"/>
        <v>260.02182478250012</v>
      </c>
      <c r="G47" s="24">
        <f>'Revenues - Current Rates'!I152</f>
        <v>6.88</v>
      </c>
      <c r="I47" s="32">
        <f t="shared" ca="1" si="1"/>
        <v>10.518214419364604</v>
      </c>
    </row>
    <row r="48" spans="1:9" x14ac:dyDescent="0.35">
      <c r="A48" s="24" t="str">
        <f>'Revenues - Current Rates'!A45</f>
        <v>Silverleaf Commercial 5/8"*</v>
      </c>
      <c r="C48" s="24">
        <f>'Revenues - Current Rates'!I45</f>
        <v>26.65</v>
      </c>
      <c r="E48" s="24">
        <f t="shared" si="3"/>
        <v>26.00218247825001</v>
      </c>
      <c r="G48" s="24">
        <f>'Revenues - Current Rates'!I153</f>
        <v>6.88</v>
      </c>
      <c r="I48" s="32">
        <f t="shared" ca="1" si="1"/>
        <v>10.518214419364604</v>
      </c>
    </row>
    <row r="49" spans="1:9" x14ac:dyDescent="0.35">
      <c r="A49" s="24" t="str">
        <f>'Revenues - Current Rates'!A46</f>
        <v>Silverleaf Industrial 1"</v>
      </c>
      <c r="C49" s="24">
        <f>'Revenues - Current Rates'!I46</f>
        <v>45.31</v>
      </c>
      <c r="E49" s="24">
        <f t="shared" si="3"/>
        <v>45.503819336937518</v>
      </c>
      <c r="G49" s="24">
        <f>'Revenues - Current Rates'!I154</f>
        <v>6.88</v>
      </c>
      <c r="I49" s="32">
        <f t="shared" ca="1" si="1"/>
        <v>10.518214419364604</v>
      </c>
    </row>
    <row r="50" spans="1:9" x14ac:dyDescent="0.35">
      <c r="A50" s="24" t="str">
        <f>'Revenues - Current Rates'!A47</f>
        <v>Silverleaf Industrial 2"</v>
      </c>
      <c r="C50" s="24">
        <f>'Revenues - Current Rates'!I47</f>
        <v>106.61</v>
      </c>
      <c r="E50" s="24">
        <f t="shared" si="3"/>
        <v>91.007638673875036</v>
      </c>
      <c r="G50" s="24">
        <f>'Revenues - Current Rates'!I155</f>
        <v>6.88</v>
      </c>
      <c r="I50" s="32">
        <f t="shared" ca="1" si="1"/>
        <v>10.518214419364604</v>
      </c>
    </row>
    <row r="51" spans="1:9" x14ac:dyDescent="0.35">
      <c r="A51" s="24" t="str">
        <f>'Revenues - Current Rates'!A48</f>
        <v>Silverleaf Industrial 3/4"</v>
      </c>
      <c r="C51" s="24">
        <f>'Revenues - Current Rates'!I48</f>
        <v>26.65</v>
      </c>
      <c r="E51" s="24">
        <f t="shared" si="3"/>
        <v>26.00218247825001</v>
      </c>
      <c r="G51" s="24">
        <f>'Revenues - Current Rates'!I156</f>
        <v>6.88</v>
      </c>
      <c r="I51" s="32">
        <f t="shared" ca="1" si="1"/>
        <v>10.518214419364604</v>
      </c>
    </row>
    <row r="52" spans="1:9" x14ac:dyDescent="0.35">
      <c r="A52" s="24" t="str">
        <f>'Revenues - Current Rates'!A49</f>
        <v>Franklin Residential 3/4"</v>
      </c>
      <c r="C52" s="24">
        <f>'Revenues - Current Rates'!I49</f>
        <v>5.7</v>
      </c>
      <c r="E52" s="24">
        <f t="shared" si="3"/>
        <v>26.00218247825001</v>
      </c>
      <c r="G52" s="24">
        <f>'Revenues - Current Rates'!I157</f>
        <v>2.61</v>
      </c>
      <c r="I52" s="32">
        <f t="shared" ca="1" si="1"/>
        <v>10.518214419364604</v>
      </c>
    </row>
    <row r="53" spans="1:9" x14ac:dyDescent="0.35">
      <c r="A53" s="24" t="str">
        <f>'Revenues - Current Rates'!A50</f>
        <v>Franklin Residential 5/8"</v>
      </c>
      <c r="C53" s="24">
        <f>'Revenues - Current Rates'!I50</f>
        <v>5.7</v>
      </c>
      <c r="E53" s="24">
        <f t="shared" si="3"/>
        <v>26.00218247825001</v>
      </c>
      <c r="G53" s="24">
        <f>'Revenues - Current Rates'!I158</f>
        <v>2.61</v>
      </c>
      <c r="I53" s="32">
        <f t="shared" ca="1" si="1"/>
        <v>10.518214419364604</v>
      </c>
    </row>
    <row r="54" spans="1:9" x14ac:dyDescent="0.35">
      <c r="A54" s="24" t="str">
        <f>'Revenues - Current Rates'!A51</f>
        <v>Franklin Sprinkler*</v>
      </c>
      <c r="C54" s="24">
        <f>'Revenues - Current Rates'!I51</f>
        <v>5.7</v>
      </c>
      <c r="E54" s="24">
        <f>IF(ISNUMBER(SEARCH("*"&amp;$A$116&amp;"*",A54)), $I$116, "0")+IF(ISNUMBER(SEARCH("*"&amp;$A$115&amp;"*",A54)), $I$115, "0")+IF(ISNUMBER(SEARCH("*"&amp;$A$117&amp;"*",A54)), $I$117, "0")+IF(ISNUMBER(SEARCH("*"&amp;$A$118&amp;"*",A54)), $I$118, "0")+IF(ISNUMBER(SEARCH("*"&amp;$A$119&amp;"*",A54)), $I$119, "0")+IF(ISNUMBER(SEARCH("*"&amp;$A$120&amp;"*",A54)), $I$120, "0")+IF(ISNUMBER(SEARCH("*"&amp;$A$121&amp;"*",A54)), $I$121, "0")+IF(ISNUMBER(SEARCH("*"&amp;$A$122&amp;"*",A54)), $I$122, "0")+IF(ISNUMBER(SEARCH("*"&amp;$A$123&amp;"*",A54)), $I$123, $I$124)</f>
        <v>45.503819336937518</v>
      </c>
      <c r="G54" s="24">
        <f>'Revenues - Current Rates'!I159</f>
        <v>2.61</v>
      </c>
      <c r="I54" s="32">
        <f t="shared" ca="1" si="1"/>
        <v>10.518214419364604</v>
      </c>
    </row>
    <row r="55" spans="1:9" x14ac:dyDescent="0.35">
      <c r="A55" s="24" t="str">
        <f>'Revenues - Current Rates'!A52</f>
        <v>Empire Residential 3/4"*</v>
      </c>
      <c r="C55" s="24">
        <f>'Revenues - Current Rates'!I52</f>
        <v>12.93</v>
      </c>
      <c r="E55" s="24">
        <f t="shared" ref="E55:E60" si="4">IF(ISNUMBER(SEARCH("*"&amp;$A$116&amp;"*",A55)), $I$116, "0")+IF(ISNUMBER(SEARCH("*"&amp;$A$115&amp;"*",A55)), $I$115, "0")+IF(ISNUMBER(SEARCH("*"&amp;$A$117&amp;"*",A55)), $I$117, "0")+IF(ISNUMBER(SEARCH("*"&amp;$A$118&amp;"*",A55)), $I$118, "0")+IF(ISNUMBER(SEARCH("*"&amp;$A$119&amp;"*",A55)), $I$119, "0")+IF(ISNUMBER(SEARCH("*"&amp;$A$120&amp;"*",A55)), $I$120, "0")+IF(ISNUMBER(SEARCH("*"&amp;$A$121&amp;"*",A55)), $I$121, "0")+IF(ISNUMBER(SEARCH("*"&amp;$A$122&amp;"*",A55)), $I$122, "0")+IF(ISNUMBER(SEARCH("*"&amp;$A$123&amp;"*",A55)), $I$123, "0")</f>
        <v>26.00218247825001</v>
      </c>
      <c r="G55" s="24">
        <f>'Revenues - Current Rates'!I160</f>
        <v>4.3</v>
      </c>
      <c r="I55" s="32">
        <f t="shared" ca="1" si="1"/>
        <v>10.518214419364604</v>
      </c>
    </row>
    <row r="56" spans="1:9" x14ac:dyDescent="0.35">
      <c r="A56" s="24" t="str">
        <f>'Revenues - Current Rates'!A53</f>
        <v>Empire Residential 5/8"</v>
      </c>
      <c r="C56" s="24">
        <f>'Revenues - Current Rates'!I53</f>
        <v>12.93</v>
      </c>
      <c r="E56" s="24">
        <f t="shared" si="4"/>
        <v>26.00218247825001</v>
      </c>
      <c r="G56" s="24">
        <f>'Revenues - Current Rates'!I161</f>
        <v>4.3</v>
      </c>
      <c r="I56" s="32">
        <f t="shared" ca="1" si="1"/>
        <v>10.518214419364604</v>
      </c>
    </row>
    <row r="57" spans="1:9" x14ac:dyDescent="0.35">
      <c r="A57" s="24" t="str">
        <f>'Revenues - Current Rates'!A54</f>
        <v>Empire Residential 1"</v>
      </c>
      <c r="C57" s="24">
        <f>'Revenues - Current Rates'!I54</f>
        <v>28.32</v>
      </c>
      <c r="E57" s="24">
        <f t="shared" si="4"/>
        <v>45.503819336937518</v>
      </c>
      <c r="G57" s="24">
        <f>'Revenues - Current Rates'!I162</f>
        <v>4.3</v>
      </c>
      <c r="I57" s="32">
        <f t="shared" ca="1" si="1"/>
        <v>10.518214419364604</v>
      </c>
    </row>
    <row r="58" spans="1:9" x14ac:dyDescent="0.35">
      <c r="A58" s="24" t="str">
        <f>'Revenues - Current Rates'!A55</f>
        <v>Empire Residential 2"</v>
      </c>
      <c r="C58" s="24">
        <f>'Revenues - Current Rates'!I55</f>
        <v>84.76</v>
      </c>
      <c r="E58" s="24">
        <f t="shared" si="4"/>
        <v>91.007638673875036</v>
      </c>
      <c r="G58" s="24">
        <f>'Revenues - Current Rates'!I163</f>
        <v>4.3</v>
      </c>
      <c r="I58" s="32">
        <f t="shared" ca="1" si="1"/>
        <v>10.518214419364604</v>
      </c>
    </row>
    <row r="59" spans="1:9" x14ac:dyDescent="0.35">
      <c r="A59" s="24" t="str">
        <f>'Revenues - Current Rates'!A56</f>
        <v>Empire Residential 4"</v>
      </c>
      <c r="C59" s="24">
        <f>'Revenues - Current Rates'!I56</f>
        <v>259.14</v>
      </c>
      <c r="E59" s="24">
        <f t="shared" si="4"/>
        <v>260.02182478250012</v>
      </c>
      <c r="G59" s="24">
        <f>'Revenues - Current Rates'!I164</f>
        <v>4.3</v>
      </c>
      <c r="I59" s="32">
        <f t="shared" ca="1" si="1"/>
        <v>10.518214419364604</v>
      </c>
    </row>
    <row r="60" spans="1:9" x14ac:dyDescent="0.35">
      <c r="A60" s="24" t="str">
        <f>'Revenues - Current Rates'!A57</f>
        <v>Empire Residential 6"</v>
      </c>
      <c r="C60" s="24">
        <f>'Revenues - Current Rates'!I57</f>
        <v>515.46</v>
      </c>
      <c r="E60" s="24">
        <f t="shared" si="4"/>
        <v>520.04364956500024</v>
      </c>
      <c r="G60" s="24">
        <f>'Revenues - Current Rates'!I165</f>
        <v>4.3</v>
      </c>
      <c r="I60" s="32">
        <f t="shared" ca="1" si="1"/>
        <v>10.518214419364604</v>
      </c>
    </row>
    <row r="61" spans="1:9" x14ac:dyDescent="0.35">
      <c r="A61" s="24" t="str">
        <f>'Revenues - Current Rates'!A58</f>
        <v>Empire Tank</v>
      </c>
      <c r="C61" s="24">
        <f>'Revenues - Current Rates'!I58</f>
        <v>18.350000000000001</v>
      </c>
      <c r="E61" s="24">
        <f>IF(ISNUMBER(SEARCH("*"&amp;$A$116&amp;"*",A61)), $I$116, "0")+IF(ISNUMBER(SEARCH("*"&amp;$A$115&amp;"*",A61)), $I$115, "0")+IF(ISNUMBER(SEARCH("*"&amp;$A$117&amp;"*",A61)), $I$117, "0")+IF(ISNUMBER(SEARCH("*"&amp;$A$118&amp;"*",A61)), $I$118, "0")+IF(ISNUMBER(SEARCH("*"&amp;$A$119&amp;"*",A61)), $I$119, "0")+IF(ISNUMBER(SEARCH("*"&amp;$A$120&amp;"*",A61)), $I$120, "0")+IF(ISNUMBER(SEARCH("*"&amp;$A$121&amp;"*",A61)), $I$121, "0")+IF(ISNUMBER(SEARCH("*"&amp;$A$122&amp;"*",A61)), $I$122, "0")+IF(ISNUMBER(SEARCH("*"&amp;$A$123&amp;"*",A61)), $I$123, $I$124)</f>
        <v>45.503819336937518</v>
      </c>
      <c r="G61" s="24">
        <f>'Revenues - Current Rates'!I166</f>
        <v>18.350000000000001</v>
      </c>
      <c r="I61" s="32">
        <f t="shared" ca="1" si="1"/>
        <v>10.518214419364604</v>
      </c>
    </row>
    <row r="62" spans="1:9" x14ac:dyDescent="0.35">
      <c r="A62" s="24" t="str">
        <f>'Revenues - Current Rates'!A59</f>
        <v>Empire Sprinkler*</v>
      </c>
      <c r="C62" s="24">
        <f>'Revenues - Current Rates'!I59</f>
        <v>12.93</v>
      </c>
      <c r="E62" s="24">
        <f>IF(ISNUMBER(SEARCH("*"&amp;$A$116&amp;"*",A62)), $I$116, "0")+IF(ISNUMBER(SEARCH("*"&amp;$A$115&amp;"*",A62)), $I$115, "0")+IF(ISNUMBER(SEARCH("*"&amp;$A$117&amp;"*",A62)), $I$117, "0")+IF(ISNUMBER(SEARCH("*"&amp;$A$118&amp;"*",A62)), $I$118, "0")+IF(ISNUMBER(SEARCH("*"&amp;$A$119&amp;"*",A62)), $I$119, "0")+IF(ISNUMBER(SEARCH("*"&amp;$A$120&amp;"*",A62)), $I$120, "0")+IF(ISNUMBER(SEARCH("*"&amp;$A$121&amp;"*",A62)), $I$121, "0")+IF(ISNUMBER(SEARCH("*"&amp;$A$122&amp;"*",A62)), $I$122, "0")+IF(ISNUMBER(SEARCH("*"&amp;$A$123&amp;"*",A62)), $I$123, $I$124)</f>
        <v>45.503819336937518</v>
      </c>
      <c r="G62" s="24">
        <f>'Revenues - Current Rates'!I167</f>
        <v>4.3</v>
      </c>
      <c r="I62" s="32">
        <f t="shared" ca="1" si="1"/>
        <v>10.518214419364604</v>
      </c>
    </row>
    <row r="63" spans="1:9" x14ac:dyDescent="0.35">
      <c r="A63" s="24" t="str">
        <f>'Revenues - Current Rates'!A60</f>
        <v>Empire Commercial 1"</v>
      </c>
      <c r="C63" s="24">
        <f>'Revenues - Current Rates'!I60</f>
        <v>28.32</v>
      </c>
      <c r="E63" s="24">
        <f>IF(ISNUMBER(SEARCH("*"&amp;$A$116&amp;"*",A63)), $I$116, "0")+IF(ISNUMBER(SEARCH("*"&amp;$A$115&amp;"*",A63)), $I$115, "0")+IF(ISNUMBER(SEARCH("*"&amp;$A$117&amp;"*",A63)), $I$117, "0")+IF(ISNUMBER(SEARCH("*"&amp;$A$118&amp;"*",A63)), $I$118, "0")+IF(ISNUMBER(SEARCH("*"&amp;$A$119&amp;"*",A63)), $I$119, "0")+IF(ISNUMBER(SEARCH("*"&amp;$A$120&amp;"*",A63)), $I$120, "0")+IF(ISNUMBER(SEARCH("*"&amp;$A$121&amp;"*",A63)), $I$121, "0")+IF(ISNUMBER(SEARCH("*"&amp;$A$122&amp;"*",A63)), $I$122, "0")+IF(ISNUMBER(SEARCH("*"&amp;$A$123&amp;"*",A63)), $I$123, "0")</f>
        <v>45.503819336937518</v>
      </c>
      <c r="G63" s="24">
        <f>'Revenues - Current Rates'!I168</f>
        <v>1.52</v>
      </c>
      <c r="I63" s="32">
        <f t="shared" ca="1" si="1"/>
        <v>10.518214419364604</v>
      </c>
    </row>
    <row r="64" spans="1:9" x14ac:dyDescent="0.35">
      <c r="A64" s="24" t="str">
        <f>'Revenues - Current Rates'!A61</f>
        <v>Empire Commercial 2"</v>
      </c>
      <c r="C64" s="24">
        <f>'Revenues - Current Rates'!I61</f>
        <v>84.76</v>
      </c>
      <c r="E64" s="24">
        <f>IF(ISNUMBER(SEARCH("*"&amp;$A$116&amp;"*",A64)), $I$116, "0")+IF(ISNUMBER(SEARCH("*"&amp;$A$115&amp;"*",A64)), $I$115, "0")+IF(ISNUMBER(SEARCH("*"&amp;$A$117&amp;"*",A64)), $I$117, "0")+IF(ISNUMBER(SEARCH("*"&amp;$A$118&amp;"*",A64)), $I$118, "0")+IF(ISNUMBER(SEARCH("*"&amp;$A$119&amp;"*",A64)), $I$119, "0")+IF(ISNUMBER(SEARCH("*"&amp;$A$120&amp;"*",A64)), $I$120, "0")+IF(ISNUMBER(SEARCH("*"&amp;$A$121&amp;"*",A64)), $I$121, "0")+IF(ISNUMBER(SEARCH("*"&amp;$A$122&amp;"*",A64)), $I$122, "0")+IF(ISNUMBER(SEARCH("*"&amp;$A$123&amp;"*",A64)), $I$123, "0")</f>
        <v>91.007638673875036</v>
      </c>
      <c r="G64" s="24">
        <f>'Revenues - Current Rates'!I169</f>
        <v>4.3</v>
      </c>
      <c r="I64" s="32">
        <f t="shared" ca="1" si="1"/>
        <v>10.518214419364604</v>
      </c>
    </row>
    <row r="65" spans="1:9" x14ac:dyDescent="0.35">
      <c r="A65" s="24" t="str">
        <f>'Revenues - Current Rates'!A62</f>
        <v>Empire Commercial 3/4"</v>
      </c>
      <c r="C65" s="24">
        <f>'Revenues - Current Rates'!I62</f>
        <v>12.93</v>
      </c>
      <c r="E65" s="24">
        <f>IF(ISNUMBER(SEARCH("*"&amp;$A$116&amp;"*",A65)), $I$116, "0")+IF(ISNUMBER(SEARCH("*"&amp;$A$115&amp;"*",A65)), $I$115, "0")+IF(ISNUMBER(SEARCH("*"&amp;$A$117&amp;"*",A65)), $I$117, "0")+IF(ISNUMBER(SEARCH("*"&amp;$A$118&amp;"*",A65)), $I$118, "0")+IF(ISNUMBER(SEARCH("*"&amp;$A$119&amp;"*",A65)), $I$119, "0")+IF(ISNUMBER(SEARCH("*"&amp;$A$120&amp;"*",A65)), $I$120, "0")+IF(ISNUMBER(SEARCH("*"&amp;$A$121&amp;"*",A65)), $I$121, "0")+IF(ISNUMBER(SEARCH("*"&amp;$A$122&amp;"*",A65)), $I$122, "0")+IF(ISNUMBER(SEARCH("*"&amp;$A$123&amp;"*",A65)), $I$123, "0")</f>
        <v>26.00218247825001</v>
      </c>
      <c r="G65" s="24">
        <f>'Revenues - Current Rates'!I170</f>
        <v>4.3</v>
      </c>
      <c r="I65" s="32">
        <f t="shared" ca="1" si="1"/>
        <v>10.518214419364604</v>
      </c>
    </row>
    <row r="66" spans="1:9" x14ac:dyDescent="0.35">
      <c r="A66" s="24" t="str">
        <f>'Revenues - Current Rates'!A63</f>
        <v>Empire Commercial 5/8"</v>
      </c>
      <c r="C66" s="24">
        <f>'Revenues - Current Rates'!I63</f>
        <v>12.93</v>
      </c>
      <c r="E66" s="24">
        <f>IF(ISNUMBER(SEARCH("*"&amp;$A$116&amp;"*",A66)), $I$116, "0")+IF(ISNUMBER(SEARCH("*"&amp;$A$115&amp;"*",A66)), $I$115, "0")+IF(ISNUMBER(SEARCH("*"&amp;$A$117&amp;"*",A66)), $I$117, "0")+IF(ISNUMBER(SEARCH("*"&amp;$A$118&amp;"*",A66)), $I$118, "0")+IF(ISNUMBER(SEARCH("*"&amp;$A$119&amp;"*",A66)), $I$119, "0")+IF(ISNUMBER(SEARCH("*"&amp;$A$120&amp;"*",A66)), $I$120, "0")+IF(ISNUMBER(SEARCH("*"&amp;$A$121&amp;"*",A66)), $I$121, "0")+IF(ISNUMBER(SEARCH("*"&amp;$A$122&amp;"*",A66)), $I$122, "0")+IF(ISNUMBER(SEARCH("*"&amp;$A$123&amp;"*",A66)), $I$123, "0")</f>
        <v>26.00218247825001</v>
      </c>
      <c r="G66" s="24">
        <f>'Revenues - Current Rates'!I171</f>
        <v>4.3</v>
      </c>
      <c r="I66" s="32">
        <f t="shared" ca="1" si="1"/>
        <v>10.518214419364604</v>
      </c>
    </row>
    <row r="67" spans="1:9" x14ac:dyDescent="0.35">
      <c r="A67" s="24" t="str">
        <f>'Revenues - Current Rates'!A64</f>
        <v>Empire Commercial 4"</v>
      </c>
      <c r="C67" s="24">
        <f>'Revenues - Current Rates'!I64</f>
        <v>259.14</v>
      </c>
      <c r="E67" s="24">
        <f>IF(ISNUMBER(SEARCH("*"&amp;$A$116&amp;"*",A67)), $I$116, "0")+IF(ISNUMBER(SEARCH("*"&amp;$A$115&amp;"*",A67)), $I$115, "0")+IF(ISNUMBER(SEARCH("*"&amp;$A$117&amp;"*",A67)), $I$117, "0")+IF(ISNUMBER(SEARCH("*"&amp;$A$118&amp;"*",A67)), $I$118, "0")+IF(ISNUMBER(SEARCH("*"&amp;$A$119&amp;"*",A67)), $I$119, "0")+IF(ISNUMBER(SEARCH("*"&amp;$A$120&amp;"*",A67)), $I$120, "0")+IF(ISNUMBER(SEARCH("*"&amp;$A$121&amp;"*",A67)), $I$121, "0")+IF(ISNUMBER(SEARCH("*"&amp;$A$122&amp;"*",A67)), $I$122, "0")+IF(ISNUMBER(SEARCH("*"&amp;$A$123&amp;"*",A67)), $I$123, "0")</f>
        <v>260.02182478250012</v>
      </c>
      <c r="G67" s="24">
        <f>'Revenues - Current Rates'!I172</f>
        <v>4.3</v>
      </c>
      <c r="I67" s="32">
        <f t="shared" ca="1" si="1"/>
        <v>10.518214419364604</v>
      </c>
    </row>
    <row r="68" spans="1:9" x14ac:dyDescent="0.35">
      <c r="A68" s="24" t="str">
        <f>'Revenues - Current Rates'!A65</f>
        <v>Empire Sprinkler*</v>
      </c>
      <c r="C68" s="24">
        <f>'Revenues - Current Rates'!I65</f>
        <v>12.93</v>
      </c>
      <c r="E68" s="24">
        <f>IF(ISNUMBER(SEARCH("*"&amp;$A$116&amp;"*",A68)), $I$116, "0")+IF(ISNUMBER(SEARCH("*"&amp;$A$115&amp;"*",A68)), $I$115, "0")+IF(ISNUMBER(SEARCH("*"&amp;$A$117&amp;"*",A68)), $I$117, "0")+IF(ISNUMBER(SEARCH("*"&amp;$A$118&amp;"*",A68)), $I$118, "0")+IF(ISNUMBER(SEARCH("*"&amp;$A$119&amp;"*",A68)), $I$119, "0")+IF(ISNUMBER(SEARCH("*"&amp;$A$120&amp;"*",A68)), $I$120, "0")+IF(ISNUMBER(SEARCH("*"&amp;$A$121&amp;"*",A68)), $I$121, "0")+IF(ISNUMBER(SEARCH("*"&amp;$A$122&amp;"*",A68)), $I$122, "0")+IF(ISNUMBER(SEARCH("*"&amp;$A$123&amp;"*",A68)), $I$123, $I$124)</f>
        <v>45.503819336937518</v>
      </c>
      <c r="G68" s="24">
        <f>'Revenues - Current Rates'!I173</f>
        <v>4.3</v>
      </c>
      <c r="I68" s="32">
        <f t="shared" ca="1" si="1"/>
        <v>10.518214419364604</v>
      </c>
    </row>
    <row r="69" spans="1:9" x14ac:dyDescent="0.35">
      <c r="A69" s="24" t="str">
        <f>'Revenues - Current Rates'!A66</f>
        <v>Empire Tank</v>
      </c>
      <c r="C69" s="24">
        <f>'Revenues - Current Rates'!I66</f>
        <v>18.350000000000001</v>
      </c>
      <c r="E69" s="24">
        <f>IF(ISNUMBER(SEARCH("*"&amp;$A$116&amp;"*",A69)), $I$116, "0")+IF(ISNUMBER(SEARCH("*"&amp;$A$115&amp;"*",A69)), $I$115, "0")+IF(ISNUMBER(SEARCH("*"&amp;$A$117&amp;"*",A69)), $I$117, "0")+IF(ISNUMBER(SEARCH("*"&amp;$A$118&amp;"*",A69)), $I$118, "0")+IF(ISNUMBER(SEARCH("*"&amp;$A$119&amp;"*",A69)), $I$119, "0")+IF(ISNUMBER(SEARCH("*"&amp;$A$120&amp;"*",A69)), $I$120, "0")+IF(ISNUMBER(SEARCH("*"&amp;$A$121&amp;"*",A69)), $I$121, "0")+IF(ISNUMBER(SEARCH("*"&amp;$A$122&amp;"*",A69)), $I$122, "0")+IF(ISNUMBER(SEARCH("*"&amp;$A$123&amp;"*",A69)), $I$123, $I$124)</f>
        <v>45.503819336937518</v>
      </c>
      <c r="G69" s="24">
        <f>'Revenues - Current Rates'!I175</f>
        <v>18.350000000000001</v>
      </c>
      <c r="I69" s="32">
        <f t="shared" ca="1" si="1"/>
        <v>10.518214419364604</v>
      </c>
    </row>
    <row r="70" spans="1:9" x14ac:dyDescent="0.35">
      <c r="A70" s="24" t="str">
        <f>'Revenues - Current Rates'!A67</f>
        <v>Empire Industrial 2"</v>
      </c>
      <c r="C70" s="24">
        <f>'Revenues - Current Rates'!I67</f>
        <v>84.76</v>
      </c>
      <c r="E70" s="24">
        <f t="shared" ref="E70:E81" si="5">IF(ISNUMBER(SEARCH("*"&amp;$A$116&amp;"*",A70)), $I$116, "0")+IF(ISNUMBER(SEARCH("*"&amp;$A$115&amp;"*",A70)), $I$115, "0")+IF(ISNUMBER(SEARCH("*"&amp;$A$117&amp;"*",A70)), $I$117, "0")+IF(ISNUMBER(SEARCH("*"&amp;$A$118&amp;"*",A70)), $I$118, "0")+IF(ISNUMBER(SEARCH("*"&amp;$A$119&amp;"*",A70)), $I$119, "0")+IF(ISNUMBER(SEARCH("*"&amp;$A$120&amp;"*",A70)), $I$120, "0")+IF(ISNUMBER(SEARCH("*"&amp;$A$121&amp;"*",A70)), $I$121, "0")+IF(ISNUMBER(SEARCH("*"&amp;$A$122&amp;"*",A70)), $I$122, "0")+IF(ISNUMBER(SEARCH("*"&amp;$A$123&amp;"*",A70)), $I$123, "0")</f>
        <v>91.007638673875036</v>
      </c>
      <c r="G70" s="24">
        <f>'Revenues - Current Rates'!I177</f>
        <v>4.3</v>
      </c>
      <c r="I70" s="32">
        <f t="shared" ca="1" si="1"/>
        <v>10.518214419364604</v>
      </c>
    </row>
    <row r="71" spans="1:9" x14ac:dyDescent="0.35">
      <c r="A71" s="24" t="str">
        <f>'Revenues - Current Rates'!A68</f>
        <v>Empire Industrial 5/8"</v>
      </c>
      <c r="C71" s="24">
        <f>'Revenues - Current Rates'!I68</f>
        <v>12.93</v>
      </c>
      <c r="E71" s="24">
        <f t="shared" si="5"/>
        <v>26.00218247825001</v>
      </c>
      <c r="G71" s="24">
        <f>'Revenues - Current Rates'!I176</f>
        <v>1.52</v>
      </c>
      <c r="I71" s="32">
        <f t="shared" ca="1" si="1"/>
        <v>10.518214419364604</v>
      </c>
    </row>
    <row r="72" spans="1:9" x14ac:dyDescent="0.35">
      <c r="A72" s="24" t="str">
        <f>'Revenues - Current Rates'!A69</f>
        <v>Empire Industrial 4"</v>
      </c>
      <c r="C72" s="24">
        <f>'Revenues - Current Rates'!I69</f>
        <v>259.14</v>
      </c>
      <c r="E72" s="24">
        <f t="shared" si="5"/>
        <v>260.02182478250012</v>
      </c>
      <c r="G72" s="24">
        <f>'Revenues - Current Rates'!I177</f>
        <v>4.3</v>
      </c>
      <c r="I72" s="32">
        <f t="shared" ca="1" si="1"/>
        <v>10.518214419364604</v>
      </c>
    </row>
    <row r="73" spans="1:9" x14ac:dyDescent="0.35">
      <c r="A73" s="24" t="str">
        <f>'Revenues - Current Rates'!A70</f>
        <v>Empire Interdepartmental 2"</v>
      </c>
      <c r="C73" s="24">
        <f>'Revenues - Current Rates'!I70</f>
        <v>84.76</v>
      </c>
      <c r="E73" s="24">
        <f t="shared" si="5"/>
        <v>91.007638673875036</v>
      </c>
      <c r="G73" s="24">
        <f>'Revenues - Current Rates'!I178</f>
        <v>4.3</v>
      </c>
      <c r="I73" s="32">
        <f t="shared" ca="1" si="1"/>
        <v>10.518214419364604</v>
      </c>
    </row>
    <row r="74" spans="1:9" x14ac:dyDescent="0.35">
      <c r="A74" s="24" t="str">
        <f>'Revenues - Current Rates'!A71</f>
        <v>Empire Interdepartmental 5/8"</v>
      </c>
      <c r="C74" s="24">
        <f>'Revenues - Current Rates'!I71</f>
        <v>12.93</v>
      </c>
      <c r="E74" s="24">
        <f t="shared" si="5"/>
        <v>26.00218247825001</v>
      </c>
      <c r="G74" s="24">
        <f>'Revenues - Current Rates'!I179</f>
        <v>4.3</v>
      </c>
      <c r="I74" s="32">
        <f t="shared" ca="1" si="1"/>
        <v>10.518214419364604</v>
      </c>
    </row>
    <row r="75" spans="1:9" x14ac:dyDescent="0.35">
      <c r="A75" s="24" t="str">
        <f>'Revenues - Current Rates'!A72</f>
        <v>Empire Municipal Bldg 1"</v>
      </c>
      <c r="C75" s="24">
        <f>'Revenues - Current Rates'!I72</f>
        <v>28.32</v>
      </c>
      <c r="E75" s="24">
        <f t="shared" si="5"/>
        <v>45.503819336937518</v>
      </c>
      <c r="G75" s="24">
        <f>'Revenues - Current Rates'!I180</f>
        <v>1.52</v>
      </c>
      <c r="I75" s="32">
        <f t="shared" ca="1" si="1"/>
        <v>10.518214419364604</v>
      </c>
    </row>
    <row r="76" spans="1:9" x14ac:dyDescent="0.35">
      <c r="A76" s="24" t="str">
        <f>'Revenues - Current Rates'!A73</f>
        <v>Empire Municipal Bldg 2"</v>
      </c>
      <c r="C76" s="24">
        <f>'Revenues - Current Rates'!I73</f>
        <v>84.76</v>
      </c>
      <c r="E76" s="24">
        <f t="shared" si="5"/>
        <v>91.007638673875036</v>
      </c>
      <c r="G76" s="24">
        <f>'Revenues - Current Rates'!I181</f>
        <v>4.3</v>
      </c>
      <c r="I76" s="32">
        <f t="shared" ref="I76:I110" ca="1" si="6">$E$130</f>
        <v>10.518214419364604</v>
      </c>
    </row>
    <row r="77" spans="1:9" x14ac:dyDescent="0.35">
      <c r="A77" s="24" t="str">
        <f>'Revenues - Current Rates'!A74</f>
        <v>Empire Municipal Bldg 5/8"</v>
      </c>
      <c r="C77" s="24">
        <f>'Revenues - Current Rates'!I74</f>
        <v>12.93</v>
      </c>
      <c r="E77" s="24">
        <f t="shared" si="5"/>
        <v>26.00218247825001</v>
      </c>
      <c r="G77" s="24">
        <f>'Revenues - Current Rates'!I182</f>
        <v>4.3</v>
      </c>
      <c r="I77" s="32">
        <f t="shared" ca="1" si="6"/>
        <v>10.518214419364604</v>
      </c>
    </row>
    <row r="78" spans="1:9" x14ac:dyDescent="0.35">
      <c r="A78" s="24" t="str">
        <f>'Revenues - Current Rates'!A75</f>
        <v>Empire Municipal Pump 1"</v>
      </c>
      <c r="C78" s="24">
        <f>'Revenues - Current Rates'!I75</f>
        <v>28.32</v>
      </c>
      <c r="E78" s="24">
        <f t="shared" si="5"/>
        <v>45.503819336937518</v>
      </c>
      <c r="G78" s="24">
        <f>'Revenues - Current Rates'!I183</f>
        <v>1.52</v>
      </c>
      <c r="I78" s="32">
        <f t="shared" ca="1" si="6"/>
        <v>10.518214419364604</v>
      </c>
    </row>
    <row r="79" spans="1:9" x14ac:dyDescent="0.35">
      <c r="A79" s="24" t="str">
        <f>'Revenues - Current Rates'!A76</f>
        <v>Empire Municipal Pump 2"</v>
      </c>
      <c r="C79" s="24">
        <f>'Revenues - Current Rates'!I76</f>
        <v>84.76</v>
      </c>
      <c r="E79" s="24">
        <f t="shared" si="5"/>
        <v>91.007638673875036</v>
      </c>
      <c r="G79" s="24">
        <f>'Revenues - Current Rates'!I184</f>
        <v>4.3</v>
      </c>
      <c r="I79" s="32">
        <f t="shared" ca="1" si="6"/>
        <v>10.518214419364604</v>
      </c>
    </row>
    <row r="80" spans="1:9" x14ac:dyDescent="0.35">
      <c r="A80" s="24" t="str">
        <f>'Revenues - Current Rates'!A77</f>
        <v>Empire Municipal Pump 3/4"</v>
      </c>
      <c r="C80" s="24">
        <f>'Revenues - Current Rates'!I77</f>
        <v>12.93</v>
      </c>
      <c r="E80" s="24">
        <f t="shared" si="5"/>
        <v>26.00218247825001</v>
      </c>
      <c r="G80" s="24">
        <f>'Revenues - Current Rates'!I185</f>
        <v>4.3</v>
      </c>
      <c r="I80" s="32">
        <f t="shared" ca="1" si="6"/>
        <v>10.518214419364604</v>
      </c>
    </row>
    <row r="81" spans="1:9" x14ac:dyDescent="0.35">
      <c r="A81" s="24" t="str">
        <f>'Revenues - Current Rates'!A78</f>
        <v>Empire Municipal Pump 5/8"</v>
      </c>
      <c r="C81" s="24">
        <f>'Revenues - Current Rates'!I78</f>
        <v>12.93</v>
      </c>
      <c r="E81" s="24">
        <f t="shared" si="5"/>
        <v>26.00218247825001</v>
      </c>
      <c r="G81" s="24">
        <f>'Revenues - Current Rates'!I186</f>
        <v>4.3</v>
      </c>
      <c r="I81" s="32">
        <f t="shared" ca="1" si="6"/>
        <v>10.518214419364604</v>
      </c>
    </row>
    <row r="82" spans="1:9" x14ac:dyDescent="0.35">
      <c r="A82" s="24" t="str">
        <f>'Revenues - Current Rates'!A79</f>
        <v>Empire Fire Hydrant*</v>
      </c>
      <c r="C82" s="24">
        <f>'Revenues - Current Rates'!I79</f>
        <v>31.93</v>
      </c>
      <c r="E82" s="24">
        <f>IF(ISNUMBER(SEARCH("*"&amp;$A$116&amp;"*",A82)), $I$116, "0")+IF(ISNUMBER(SEARCH("*"&amp;$A$115&amp;"*",A82)), $I$115, "0")+IF(ISNUMBER(SEARCH("*"&amp;$A$117&amp;"*",A82)), $I$117, "0")+IF(ISNUMBER(SEARCH("*"&amp;$A$118&amp;"*",A82)), $I$118, "0")+IF(ISNUMBER(SEARCH("*"&amp;$A$119&amp;"*",A82)), $I$119, "0")+IF(ISNUMBER(SEARCH("*"&amp;$A$120&amp;"*",A82)), $I$120, "0")+IF(ISNUMBER(SEARCH("*"&amp;$A$121&amp;"*",A82)), $I$121, "0")+IF(ISNUMBER(SEARCH("*"&amp;$A$122&amp;"*",A82)), $I$122, "0")+IF(ISNUMBER(SEARCH("*"&amp;$A$123&amp;"*",A82)), $I$123, $I$124)</f>
        <v>45.503819336937518</v>
      </c>
      <c r="G82" s="24">
        <f>'Revenues - Current Rates'!I187</f>
        <v>4.3</v>
      </c>
      <c r="I82" s="32">
        <f t="shared" ca="1" si="6"/>
        <v>10.518214419364604</v>
      </c>
    </row>
    <row r="83" spans="1:9" x14ac:dyDescent="0.35">
      <c r="A83" s="24" t="str">
        <f>'Revenues - Current Rates'!A82</f>
        <v>Oakbrier Residential 5/8"</v>
      </c>
      <c r="C83" s="24">
        <f>'Revenues - Current Rates'!I82</f>
        <v>15.07</v>
      </c>
      <c r="E83" s="24">
        <f>IF(ISNUMBER(SEARCH("*"&amp;$A$116&amp;"*",A83)), $I$116, "0")+IF(ISNUMBER(SEARCH("*"&amp;$A$115&amp;"*",A83)), $I$115, "0")+IF(ISNUMBER(SEARCH("*"&amp;$A$117&amp;"*",A83)), $I$117, "0")+IF(ISNUMBER(SEARCH("*"&amp;$A$118&amp;"*",A83)), $I$118, "0")+IF(ISNUMBER(SEARCH("*"&amp;$A$119&amp;"*",A83)), $I$119, "0")+IF(ISNUMBER(SEARCH("*"&amp;$A$120&amp;"*",A83)), $I$120, "0")+IF(ISNUMBER(SEARCH("*"&amp;$A$121&amp;"*",A83)), $I$121, "0")+IF(ISNUMBER(SEARCH("*"&amp;$A$122&amp;"*",A83)), $I$122, "0")+IF(ISNUMBER(SEARCH("*"&amp;$A$123&amp;"*",A83)), $I$123, "0")</f>
        <v>26.00218247825001</v>
      </c>
      <c r="G83" s="24">
        <f>'Revenues - Current Rates'!I188</f>
        <v>4.3</v>
      </c>
      <c r="I83" s="32">
        <f t="shared" ca="1" si="6"/>
        <v>10.518214419364604</v>
      </c>
    </row>
    <row r="84" spans="1:9" x14ac:dyDescent="0.35">
      <c r="A84" s="24" t="str">
        <f>'Revenues - Current Rates'!A83</f>
        <v>Oakbrier Residential 1/2"</v>
      </c>
      <c r="C84" s="24">
        <f>'Revenues - Current Rates'!I83</f>
        <v>15.07</v>
      </c>
      <c r="E84" s="24">
        <f>IF(ISNUMBER(SEARCH("*"&amp;$A$116&amp;"*",A84)), $I$116, "0")+IF(ISNUMBER(SEARCH("*"&amp;$A$115&amp;"*",A84)), $I$115, "0")+IF(ISNUMBER(SEARCH("*"&amp;$A$117&amp;"*",A84)), $I$117, "0")+IF(ISNUMBER(SEARCH("*"&amp;$A$118&amp;"*",A84)), $I$118, "0")+IF(ISNUMBER(SEARCH("*"&amp;$A$119&amp;"*",A84)), $I$119, "0")+IF(ISNUMBER(SEARCH("*"&amp;$A$120&amp;"*",A84)), $I$120, "0")+IF(ISNUMBER(SEARCH("*"&amp;$A$121&amp;"*",A84)), $I$121, "0")+IF(ISNUMBER(SEARCH("*"&amp;$A$122&amp;"*",A84)), $I$122, "0")+IF(ISNUMBER(SEARCH("*"&amp;$A$123&amp;"*",A84)), $I$123, "0")</f>
        <v>26.00218247825001</v>
      </c>
      <c r="G84" s="24">
        <f>'Revenues - Current Rates'!I189</f>
        <v>4.3</v>
      </c>
      <c r="I84" s="32">
        <f t="shared" ca="1" si="6"/>
        <v>10.518214419364604</v>
      </c>
    </row>
    <row r="85" spans="1:9" x14ac:dyDescent="0.35">
      <c r="A85" s="24" t="str">
        <f>'Revenues - Current Rates'!A84</f>
        <v>Oakbrier Sprinkler</v>
      </c>
      <c r="C85" s="24">
        <f>'Revenues - Current Rates'!I84</f>
        <v>15.07</v>
      </c>
      <c r="E85" s="24">
        <f>IF(ISNUMBER(SEARCH("*"&amp;$A$116&amp;"*",A85)), $I$116, "0")+IF(ISNUMBER(SEARCH("*"&amp;$A$115&amp;"*",A85)), $I$115, "0")+IF(ISNUMBER(SEARCH("*"&amp;$A$117&amp;"*",A85)), $I$117, "0")+IF(ISNUMBER(SEARCH("*"&amp;$A$118&amp;"*",A85)), $I$118, "0")+IF(ISNUMBER(SEARCH("*"&amp;$A$119&amp;"*",A85)), $I$119, "0")+IF(ISNUMBER(SEARCH("*"&amp;$A$120&amp;"*",A85)), $I$120, "0")+IF(ISNUMBER(SEARCH("*"&amp;$A$121&amp;"*",A85)), $I$121, "0")+IF(ISNUMBER(SEARCH("*"&amp;$A$122&amp;"*",A85)), $I$122, "0")+IF(ISNUMBER(SEARCH("*"&amp;$A$123&amp;"*",A85)), $I$123, $I$124)</f>
        <v>45.503819336937518</v>
      </c>
      <c r="G85" s="24">
        <f>'Revenues - Current Rates'!I190</f>
        <v>4.3</v>
      </c>
      <c r="I85" s="32">
        <f t="shared" ca="1" si="6"/>
        <v>10.518214419364604</v>
      </c>
    </row>
    <row r="86" spans="1:9" x14ac:dyDescent="0.35">
      <c r="A86" s="24" t="str">
        <f>'Revenues - Current Rates'!A85</f>
        <v>Lakeland Heights Residential 5/8"</v>
      </c>
      <c r="C86" s="24">
        <f>'Revenues - Current Rates'!I85</f>
        <v>15.5</v>
      </c>
      <c r="E86" s="24">
        <f t="shared" ref="E86:E110" si="7">IF(ISNUMBER(SEARCH("*"&amp;$A$116&amp;"*",A86)), $I$116, "0")+IF(ISNUMBER(SEARCH("*"&amp;$A$115&amp;"*",A86)), $I$115, "0")+IF(ISNUMBER(SEARCH("*"&amp;$A$117&amp;"*",A86)), $I$117, "0")+IF(ISNUMBER(SEARCH("*"&amp;$A$118&amp;"*",A86)), $I$118, "0")+IF(ISNUMBER(SEARCH("*"&amp;$A$119&amp;"*",A86)), $I$119, "0")+IF(ISNUMBER(SEARCH("*"&amp;$A$120&amp;"*",A86)), $I$120, "0")+IF(ISNUMBER(SEARCH("*"&amp;$A$121&amp;"*",A86)), $I$121, "0")+IF(ISNUMBER(SEARCH("*"&amp;$A$122&amp;"*",A86)), $I$122, "0")+IF(ISNUMBER(SEARCH("*"&amp;$A$123&amp;"*",A86)), $I$123, "0")</f>
        <v>26.00218247825001</v>
      </c>
      <c r="G86" s="24">
        <f>'Revenues - Current Rates'!I191</f>
        <v>1.52</v>
      </c>
      <c r="I86" s="32">
        <f t="shared" ca="1" si="6"/>
        <v>10.518214419364604</v>
      </c>
    </row>
    <row r="87" spans="1:9" x14ac:dyDescent="0.35">
      <c r="A87" s="24" t="str">
        <f>'Revenues - Current Rates'!A86</f>
        <v>Lakeland Heights Residential 1/2"</v>
      </c>
      <c r="C87" s="24">
        <f>'Revenues - Current Rates'!I86</f>
        <v>15.5</v>
      </c>
      <c r="E87" s="24">
        <f t="shared" si="7"/>
        <v>26.00218247825001</v>
      </c>
      <c r="G87" s="24">
        <f>'Revenues - Current Rates'!I192</f>
        <v>0</v>
      </c>
      <c r="I87" s="32">
        <f t="shared" ca="1" si="6"/>
        <v>10.518214419364604</v>
      </c>
    </row>
    <row r="88" spans="1:9" x14ac:dyDescent="0.35">
      <c r="A88" s="24" t="str">
        <f>'Revenues - Current Rates'!A87</f>
        <v>Whispering Hills Residential 5/8"</v>
      </c>
      <c r="C88" s="24">
        <f>'Revenues - Current Rates'!I87</f>
        <v>20.69</v>
      </c>
      <c r="E88" s="24">
        <f t="shared" si="7"/>
        <v>26.00218247825001</v>
      </c>
      <c r="G88" s="24">
        <f>'Revenues - Current Rates'!I193</f>
        <v>3.39</v>
      </c>
      <c r="I88" s="32">
        <f t="shared" ca="1" si="6"/>
        <v>10.518214419364604</v>
      </c>
    </row>
    <row r="89" spans="1:9" x14ac:dyDescent="0.35">
      <c r="A89" s="24" t="str">
        <f>'Revenues - Current Rates'!A88</f>
        <v>Whispering Hills Residential 1/2"</v>
      </c>
      <c r="C89" s="24">
        <f>'Revenues - Current Rates'!I88</f>
        <v>20.69</v>
      </c>
      <c r="E89" s="24">
        <f t="shared" si="7"/>
        <v>26.00218247825001</v>
      </c>
      <c r="G89" s="24">
        <f>'Revenues - Current Rates'!I194</f>
        <v>3.39</v>
      </c>
      <c r="I89" s="32">
        <f t="shared" ca="1" si="6"/>
        <v>10.518214419364604</v>
      </c>
    </row>
    <row r="90" spans="1:9" x14ac:dyDescent="0.35">
      <c r="A90" s="24" t="str">
        <f>'Revenues - Current Rates'!A89</f>
        <v>Bilyeu Ridge Residential 3/4"</v>
      </c>
      <c r="C90" s="24">
        <f>'Revenues - Current Rates'!I89</f>
        <v>17.22</v>
      </c>
      <c r="E90" s="24">
        <f t="shared" si="7"/>
        <v>26.00218247825001</v>
      </c>
      <c r="G90" s="24">
        <f>'Revenues - Current Rates'!I195</f>
        <v>3.39</v>
      </c>
      <c r="I90" s="32">
        <f t="shared" ca="1" si="6"/>
        <v>10.518214419364604</v>
      </c>
    </row>
    <row r="91" spans="1:9" x14ac:dyDescent="0.35">
      <c r="A91" s="24" t="str">
        <f>'Revenues - Current Rates'!A90</f>
        <v>Bilyeu Ridge Residential 5/8"</v>
      </c>
      <c r="C91" s="24">
        <f>'Revenues - Current Rates'!I90</f>
        <v>17.22</v>
      </c>
      <c r="E91" s="24">
        <f t="shared" si="7"/>
        <v>26.00218247825001</v>
      </c>
      <c r="G91" s="24">
        <f>'Revenues - Current Rates'!I196</f>
        <v>5.63</v>
      </c>
      <c r="I91" s="32">
        <f t="shared" ca="1" si="6"/>
        <v>10.518214419364604</v>
      </c>
    </row>
    <row r="92" spans="1:9" x14ac:dyDescent="0.35">
      <c r="A92" s="24" t="str">
        <f>'Revenues - Current Rates'!A91</f>
        <v>Hidden Meadows Residential 3/4"</v>
      </c>
      <c r="C92" s="24">
        <f>'Revenues - Current Rates'!I91</f>
        <v>9.49</v>
      </c>
      <c r="E92" s="24">
        <f t="shared" si="7"/>
        <v>26.00218247825001</v>
      </c>
      <c r="G92" s="24">
        <f>'Revenues - Current Rates'!I197</f>
        <v>5.63</v>
      </c>
      <c r="I92" s="32">
        <f t="shared" ca="1" si="6"/>
        <v>10.518214419364604</v>
      </c>
    </row>
    <row r="93" spans="1:9" x14ac:dyDescent="0.35">
      <c r="A93" s="24" t="str">
        <f>'Revenues - Current Rates'!A92</f>
        <v>Hidden Meadows Residential 5/8"</v>
      </c>
      <c r="C93" s="24">
        <f>'Revenues - Current Rates'!I92</f>
        <v>9.49</v>
      </c>
      <c r="E93" s="24">
        <f t="shared" si="7"/>
        <v>26.00218247825001</v>
      </c>
      <c r="G93" s="24">
        <f>'Revenues - Current Rates'!I198</f>
        <v>3.67</v>
      </c>
      <c r="I93" s="32">
        <f t="shared" ca="1" si="6"/>
        <v>10.518214419364604</v>
      </c>
    </row>
    <row r="94" spans="1:9" x14ac:dyDescent="0.35">
      <c r="A94" s="24" t="str">
        <f>'Revenues - Current Rates'!A93</f>
        <v>Moore Bend Residential 3/4"</v>
      </c>
      <c r="C94" s="24">
        <f>'Revenues - Current Rates'!I93</f>
        <v>28.13</v>
      </c>
      <c r="E94" s="24">
        <f t="shared" si="7"/>
        <v>26.00218247825001</v>
      </c>
      <c r="G94" s="24">
        <f>'Revenues - Current Rates'!I199</f>
        <v>3.67</v>
      </c>
      <c r="I94" s="32">
        <f t="shared" ca="1" si="6"/>
        <v>10.518214419364604</v>
      </c>
    </row>
    <row r="95" spans="1:9" x14ac:dyDescent="0.35">
      <c r="A95" s="24" t="str">
        <f>'Revenues - Current Rates'!A94</f>
        <v>Moore Bend Residential 5/8"</v>
      </c>
      <c r="C95" s="24">
        <f>'Revenues - Current Rates'!I94</f>
        <v>28.13</v>
      </c>
      <c r="E95" s="24">
        <f t="shared" si="7"/>
        <v>26.00218247825001</v>
      </c>
      <c r="G95" s="24">
        <f>'Revenues - Current Rates'!I200</f>
        <v>3.56</v>
      </c>
      <c r="I95" s="32">
        <f t="shared" ca="1" si="6"/>
        <v>10.518214419364604</v>
      </c>
    </row>
    <row r="96" spans="1:9" x14ac:dyDescent="0.35">
      <c r="A96" s="24" t="str">
        <f>'Revenues - Current Rates'!A95</f>
        <v>Riverfork Residential 3/4"</v>
      </c>
      <c r="C96" s="24">
        <f>'Revenues - Current Rates'!I95</f>
        <v>21.56</v>
      </c>
      <c r="E96" s="24">
        <f t="shared" si="7"/>
        <v>26.00218247825001</v>
      </c>
      <c r="G96" s="24">
        <f>'Revenues - Current Rates'!I201</f>
        <v>3.56</v>
      </c>
      <c r="I96" s="32">
        <f t="shared" ca="1" si="6"/>
        <v>10.518214419364604</v>
      </c>
    </row>
    <row r="97" spans="1:9" x14ac:dyDescent="0.35">
      <c r="A97" s="24" t="str">
        <f>'Revenues - Current Rates'!A96</f>
        <v>Riverfork Residential 5/8"</v>
      </c>
      <c r="C97" s="24">
        <f>'Revenues - Current Rates'!I96</f>
        <v>21.56</v>
      </c>
      <c r="E97" s="24">
        <f t="shared" si="7"/>
        <v>26.00218247825001</v>
      </c>
      <c r="G97" s="24">
        <f>'Revenues - Current Rates'!I202</f>
        <v>4.71</v>
      </c>
      <c r="I97" s="32">
        <f t="shared" ca="1" si="6"/>
        <v>10.518214419364604</v>
      </c>
    </row>
    <row r="98" spans="1:9" x14ac:dyDescent="0.35">
      <c r="A98" s="24" t="str">
        <f>'Revenues - Current Rates'!A97</f>
        <v>Riverfork Residential 1"</v>
      </c>
      <c r="C98" s="24">
        <f>'Revenues - Current Rates'!I97</f>
        <v>21.56</v>
      </c>
      <c r="E98" s="24">
        <f t="shared" si="7"/>
        <v>45.503819336937518</v>
      </c>
      <c r="G98" s="24">
        <f>'Revenues - Current Rates'!I203</f>
        <v>4.71</v>
      </c>
      <c r="I98" s="32">
        <f t="shared" ca="1" si="6"/>
        <v>10.518214419364604</v>
      </c>
    </row>
    <row r="99" spans="1:9" x14ac:dyDescent="0.35">
      <c r="A99" s="24" t="str">
        <f>'Revenues - Current Rates'!A98</f>
        <v>Taney County Residential 3/4"</v>
      </c>
      <c r="C99" s="24">
        <f>'Revenues - Current Rates'!I98</f>
        <v>12.55</v>
      </c>
      <c r="E99" s="24">
        <f t="shared" si="7"/>
        <v>26.00218247825001</v>
      </c>
      <c r="G99" s="24">
        <f>'Revenues - Current Rates'!I204</f>
        <v>10.31</v>
      </c>
      <c r="I99" s="32">
        <f t="shared" ca="1" si="6"/>
        <v>10.518214419364604</v>
      </c>
    </row>
    <row r="100" spans="1:9" x14ac:dyDescent="0.35">
      <c r="A100" s="24" t="str">
        <f>'Revenues - Current Rates'!A99</f>
        <v>Taney County Residential 5/8"</v>
      </c>
      <c r="C100" s="24">
        <f>'Revenues - Current Rates'!I99</f>
        <v>12.55</v>
      </c>
      <c r="E100" s="24">
        <f t="shared" si="7"/>
        <v>26.00218247825001</v>
      </c>
      <c r="G100" s="24">
        <f>'Revenues - Current Rates'!I205</f>
        <v>10.31</v>
      </c>
      <c r="I100" s="32">
        <f t="shared" ca="1" si="6"/>
        <v>10.518214419364604</v>
      </c>
    </row>
    <row r="101" spans="1:9" x14ac:dyDescent="0.35">
      <c r="A101" s="24" t="str">
        <f>'Revenues - Current Rates'!A100</f>
        <v>Taney County Residential 1"</v>
      </c>
      <c r="C101" s="24">
        <f>'Revenues - Current Rates'!I100</f>
        <v>12.55</v>
      </c>
      <c r="E101" s="24">
        <f t="shared" si="7"/>
        <v>45.503819336937518</v>
      </c>
      <c r="G101" s="24">
        <f>'Revenues - Current Rates'!I206</f>
        <v>2.08</v>
      </c>
      <c r="I101" s="32">
        <f t="shared" ca="1" si="6"/>
        <v>10.518214419364604</v>
      </c>
    </row>
    <row r="102" spans="1:9" x14ac:dyDescent="0.35">
      <c r="A102" s="24" t="str">
        <f>'Revenues - Current Rates'!A101</f>
        <v>Taney County Commercial 3/4"</v>
      </c>
      <c r="C102" s="24">
        <f>'Revenues - Current Rates'!I101</f>
        <v>12.55</v>
      </c>
      <c r="E102" s="24">
        <f t="shared" si="7"/>
        <v>26.00218247825001</v>
      </c>
      <c r="G102" s="24">
        <f>'Revenues - Current Rates'!I207</f>
        <v>2.08</v>
      </c>
      <c r="I102" s="32">
        <f t="shared" ca="1" si="6"/>
        <v>10.518214419364604</v>
      </c>
    </row>
    <row r="103" spans="1:9" x14ac:dyDescent="0.35">
      <c r="A103" s="24" t="str">
        <f>'Revenues - Current Rates'!A102</f>
        <v>Taney County Commercial 5/8"</v>
      </c>
      <c r="C103" s="24">
        <f>'Revenues - Current Rates'!I102</f>
        <v>12.55</v>
      </c>
      <c r="E103" s="24">
        <f t="shared" si="7"/>
        <v>26.00218247825001</v>
      </c>
      <c r="G103" s="24">
        <f>'Revenues - Current Rates'!I208</f>
        <v>2.08</v>
      </c>
      <c r="I103" s="32">
        <f t="shared" ca="1" si="6"/>
        <v>10.518214419364604</v>
      </c>
    </row>
    <row r="104" spans="1:9" x14ac:dyDescent="0.35">
      <c r="A104" s="24" t="str">
        <f>'Revenues - Current Rates'!A103</f>
        <v>Taney County Commercial 1"</v>
      </c>
      <c r="C104" s="24">
        <f>'Revenues - Current Rates'!I103</f>
        <v>12.55</v>
      </c>
      <c r="E104" s="24">
        <f t="shared" si="7"/>
        <v>45.503819336937518</v>
      </c>
      <c r="G104" s="24">
        <f>'Revenues - Current Rates'!I209</f>
        <v>5.63</v>
      </c>
      <c r="I104" s="32">
        <f t="shared" ca="1" si="6"/>
        <v>10.518214419364604</v>
      </c>
    </row>
    <row r="105" spans="1:9" x14ac:dyDescent="0.35">
      <c r="A105" s="24" t="str">
        <f>'Revenues - Current Rates'!A104</f>
        <v>Taney County Industrial 1"</v>
      </c>
      <c r="C105" s="24">
        <f>'Revenues - Current Rates'!I104</f>
        <v>12.55</v>
      </c>
      <c r="E105" s="24">
        <f t="shared" si="7"/>
        <v>45.503819336937518</v>
      </c>
      <c r="G105" s="24">
        <f>'Revenues - Current Rates'!I210</f>
        <v>5.63</v>
      </c>
      <c r="I105" s="32">
        <f t="shared" ca="1" si="6"/>
        <v>10.518214419364604</v>
      </c>
    </row>
    <row r="106" spans="1:9" x14ac:dyDescent="0.35">
      <c r="A106" s="24" t="str">
        <f>'Revenues - Current Rates'!A105</f>
        <v>Taney County Industrial 3/4"</v>
      </c>
      <c r="C106" s="24">
        <f>'Revenues - Current Rates'!I105</f>
        <v>12.55</v>
      </c>
      <c r="E106" s="24">
        <f t="shared" si="7"/>
        <v>26.00218247825001</v>
      </c>
      <c r="G106" s="24">
        <f>'Revenues - Current Rates'!I211</f>
        <v>5.63</v>
      </c>
      <c r="I106" s="32">
        <f t="shared" ca="1" si="6"/>
        <v>10.518214419364604</v>
      </c>
    </row>
    <row r="107" spans="1:9" x14ac:dyDescent="0.35">
      <c r="A107" s="24" t="str">
        <f>'Revenues - Current Rates'!A106</f>
        <v>Valley Woods Residential 3/4"</v>
      </c>
      <c r="C107" s="24">
        <f>'Revenues - Current Rates'!I106</f>
        <v>20.97</v>
      </c>
      <c r="E107" s="24">
        <f t="shared" si="7"/>
        <v>26.00218247825001</v>
      </c>
      <c r="G107" s="24">
        <f>'Revenues - Current Rates'!I212</f>
        <v>5.63</v>
      </c>
      <c r="I107" s="32">
        <f t="shared" ca="1" si="6"/>
        <v>10.518214419364604</v>
      </c>
    </row>
    <row r="108" spans="1:9" x14ac:dyDescent="0.35">
      <c r="A108" s="24" t="str">
        <f>'Revenues - Current Rates'!A107</f>
        <v>Valley Woods Residential 5/8"</v>
      </c>
      <c r="C108" s="24">
        <f>'Revenues - Current Rates'!I107</f>
        <v>20.97</v>
      </c>
      <c r="E108" s="24">
        <f t="shared" si="7"/>
        <v>26.00218247825001</v>
      </c>
      <c r="G108" s="24">
        <f>'Revenues - Current Rates'!I213</f>
        <v>5.63</v>
      </c>
      <c r="I108" s="32">
        <f t="shared" ca="1" si="6"/>
        <v>10.518214419364604</v>
      </c>
    </row>
    <row r="109" spans="1:9" x14ac:dyDescent="0.35">
      <c r="A109" s="24" t="str">
        <f>'Revenues - Current Rates'!A108</f>
        <v>Valley Woods Commercial 1"</v>
      </c>
      <c r="C109" s="24">
        <f>'Revenues - Current Rates'!I108</f>
        <v>20.97</v>
      </c>
      <c r="E109" s="24">
        <f t="shared" si="7"/>
        <v>45.503819336937518</v>
      </c>
      <c r="G109" s="24">
        <f>'Revenues - Current Rates'!I214</f>
        <v>5.63</v>
      </c>
      <c r="I109" s="32">
        <f t="shared" ca="1" si="6"/>
        <v>10.518214419364604</v>
      </c>
    </row>
    <row r="110" spans="1:9" x14ac:dyDescent="0.35">
      <c r="A110" s="24" t="str">
        <f>'Revenues - Current Rates'!A109</f>
        <v>Valley Woods Commercial 3/4"</v>
      </c>
      <c r="C110" s="24">
        <f>'Revenues - Current Rates'!I109</f>
        <v>20.97</v>
      </c>
      <c r="E110" s="24">
        <f t="shared" si="7"/>
        <v>26.00218247825001</v>
      </c>
      <c r="G110" s="24">
        <f>'Revenues - Current Rates'!I215</f>
        <v>5.63</v>
      </c>
      <c r="I110" s="32">
        <f t="shared" ca="1" si="6"/>
        <v>10.518214419364604</v>
      </c>
    </row>
    <row r="111" spans="1:9" x14ac:dyDescent="0.35">
      <c r="A111" s="24"/>
      <c r="C111" s="24"/>
      <c r="E111" s="24"/>
      <c r="G111" s="32"/>
    </row>
    <row r="112" spans="1:9" ht="15.5" x14ac:dyDescent="0.35">
      <c r="C112" s="7"/>
      <c r="D112" s="7"/>
      <c r="E112" s="7"/>
      <c r="G112" s="7"/>
      <c r="H112" s="7"/>
      <c r="I112" s="7" t="s">
        <v>47</v>
      </c>
    </row>
    <row r="113" spans="1:14" ht="15.5" x14ac:dyDescent="0.35">
      <c r="A113" s="7" t="s">
        <v>7</v>
      </c>
      <c r="C113" s="7" t="s">
        <v>49</v>
      </c>
      <c r="D113" s="7"/>
      <c r="E113" s="7"/>
      <c r="G113" s="7" t="s">
        <v>7</v>
      </c>
      <c r="H113" s="7"/>
      <c r="I113" s="7" t="s">
        <v>7</v>
      </c>
    </row>
    <row r="114" spans="1:14" ht="15.5" x14ac:dyDescent="0.35">
      <c r="A114" s="81" t="s">
        <v>9</v>
      </c>
      <c r="B114" s="81"/>
      <c r="C114" s="81" t="s">
        <v>23</v>
      </c>
      <c r="D114" s="81"/>
      <c r="E114" s="81" t="s">
        <v>201</v>
      </c>
      <c r="F114" s="31"/>
      <c r="G114" s="81" t="s">
        <v>51</v>
      </c>
      <c r="H114" s="81"/>
      <c r="I114" s="81" t="s">
        <v>9</v>
      </c>
    </row>
    <row r="115" spans="1:14" x14ac:dyDescent="0.35">
      <c r="A115" s="78" t="s">
        <v>52</v>
      </c>
      <c r="C115" s="78">
        <f>SUMIF('Revenues - Current Rates'!$A$9:$A$112,"*"&amp;A115&amp;"*",'Revenues - Current Rates'!$C$9:$C$112)</f>
        <v>38</v>
      </c>
      <c r="E115" s="78">
        <v>1</v>
      </c>
      <c r="G115" s="22">
        <f>C115*E115</f>
        <v>38</v>
      </c>
      <c r="I115" s="32">
        <f>E115*$G$127</f>
        <v>26.00218247825001</v>
      </c>
    </row>
    <row r="116" spans="1:14" x14ac:dyDescent="0.35">
      <c r="A116" s="78" t="s">
        <v>53</v>
      </c>
      <c r="C116" s="78">
        <f>SUMIF('Revenues - Current Rates'!$A$9:$A$112,"*"&amp;A116&amp;"*",'Revenues - Current Rates'!$C$9:$C$112)</f>
        <v>3937</v>
      </c>
      <c r="E116" s="78">
        <v>1</v>
      </c>
      <c r="G116" s="22">
        <f>C116*E116</f>
        <v>3937</v>
      </c>
      <c r="I116" s="32">
        <f>E116*$G$127</f>
        <v>26.00218247825001</v>
      </c>
    </row>
    <row r="117" spans="1:14" x14ac:dyDescent="0.35">
      <c r="A117" s="78" t="s">
        <v>54</v>
      </c>
      <c r="C117" s="78">
        <f>SUMIF('Revenues - Current Rates'!$A$9:$A$112,"*"&amp;A117&amp;"*",'Revenues - Current Rates'!$C$9:$C$112)</f>
        <v>3424</v>
      </c>
      <c r="E117" s="78">
        <v>1</v>
      </c>
      <c r="G117" s="22">
        <f>C117*E117</f>
        <v>3424</v>
      </c>
      <c r="I117" s="32">
        <f t="shared" ref="I117:I124" si="8">E117*$G$127</f>
        <v>26.00218247825001</v>
      </c>
    </row>
    <row r="118" spans="1:14" x14ac:dyDescent="0.35">
      <c r="A118" s="78" t="s">
        <v>55</v>
      </c>
      <c r="C118" s="78">
        <f>SUMIF('Revenues - Current Rates'!$A$9:$A$112,"*"&amp;A118&amp;"*",'Revenues - Current Rates'!$C$9:$C$112)</f>
        <v>150</v>
      </c>
      <c r="E118" s="78">
        <v>1.75</v>
      </c>
      <c r="G118" s="22">
        <f t="shared" ref="G118:G124" si="9">C118*E118</f>
        <v>262.5</v>
      </c>
      <c r="I118" s="32">
        <f t="shared" si="8"/>
        <v>45.503819336937518</v>
      </c>
    </row>
    <row r="119" spans="1:14" x14ac:dyDescent="0.35">
      <c r="A119" s="78" t="s">
        <v>56</v>
      </c>
      <c r="C119" s="78">
        <f>SUMIF('Revenues - Current Rates'!$A$9:$A$112,"*1.5*",'Revenues - Current Rates'!$C$9:$C$112)</f>
        <v>0</v>
      </c>
      <c r="E119" s="78">
        <v>3</v>
      </c>
      <c r="G119" s="22">
        <f t="shared" si="9"/>
        <v>0</v>
      </c>
      <c r="I119" s="32">
        <f t="shared" si="8"/>
        <v>78.006547434750033</v>
      </c>
    </row>
    <row r="120" spans="1:14" x14ac:dyDescent="0.35">
      <c r="A120" s="78" t="s">
        <v>57</v>
      </c>
      <c r="C120" s="78">
        <f>SUMIF('Revenues - Current Rates'!$A$9:$A$112,"*"&amp;A120&amp;"*",'Revenues - Current Rates'!$C$9:$C$112)</f>
        <v>180</v>
      </c>
      <c r="E120" s="78">
        <v>3.5</v>
      </c>
      <c r="G120" s="22">
        <f t="shared" si="9"/>
        <v>630</v>
      </c>
      <c r="I120" s="32">
        <f t="shared" si="8"/>
        <v>91.007638673875036</v>
      </c>
    </row>
    <row r="121" spans="1:14" x14ac:dyDescent="0.35">
      <c r="A121" s="78" t="s">
        <v>58</v>
      </c>
      <c r="C121" s="78">
        <f>SUMIF('Revenues - Current Rates'!$A$9:$A$112,"*"&amp;A121&amp;"*",'Revenues - Current Rates'!$C$9:$C$112)</f>
        <v>8</v>
      </c>
      <c r="E121" s="78">
        <v>5</v>
      </c>
      <c r="G121" s="22">
        <f t="shared" si="9"/>
        <v>40</v>
      </c>
      <c r="I121" s="32">
        <f t="shared" si="8"/>
        <v>130.01091239125006</v>
      </c>
    </row>
    <row r="122" spans="1:14" x14ac:dyDescent="0.35">
      <c r="A122" s="78" t="s">
        <v>59</v>
      </c>
      <c r="C122" s="78">
        <f>SUMIF('Revenues - Current Rates'!$A$9:$A$112,"*"&amp;A122&amp;"*",'Revenues - Current Rates'!$C$9:$C$112)</f>
        <v>15</v>
      </c>
      <c r="E122" s="78">
        <v>10</v>
      </c>
      <c r="G122" s="40">
        <f t="shared" si="9"/>
        <v>150</v>
      </c>
      <c r="I122" s="32">
        <f t="shared" si="8"/>
        <v>260.02182478250012</v>
      </c>
    </row>
    <row r="123" spans="1:14" x14ac:dyDescent="0.35">
      <c r="A123" s="78" t="s">
        <v>60</v>
      </c>
      <c r="C123" s="78">
        <f>SUMIF('Revenues - Current Rates'!$A$9:$A$112,"*"&amp;A123&amp;"*",'Revenues - Current Rates'!$C$9:$C$112)</f>
        <v>2</v>
      </c>
      <c r="E123" s="78">
        <v>20</v>
      </c>
      <c r="G123" s="40">
        <f t="shared" si="9"/>
        <v>40</v>
      </c>
      <c r="I123" s="32">
        <f t="shared" si="8"/>
        <v>520.04364956500024</v>
      </c>
    </row>
    <row r="124" spans="1:14" x14ac:dyDescent="0.35">
      <c r="A124" s="41" t="s">
        <v>61</v>
      </c>
      <c r="B124" s="31"/>
      <c r="C124" s="41">
        <f>SUMIF('Revenues - Current Rates'!$A$9:$A$112,"*tank*",'Revenues - Current Rates'!$C$9:$C$112)+SUMIF('Revenues - Current Rates'!$A$9:$A$112,"*sprinkler*",'Revenues - Current Rates'!$C$9:$C$112)+SUMIF('Revenues - Current Rates'!$A$9:$A$112,"*hydrant*",'Revenues - Current Rates'!$C$9:$C$112)+3</f>
        <v>250</v>
      </c>
      <c r="D124" s="31"/>
      <c r="E124" s="78">
        <v>1.75</v>
      </c>
      <c r="F124" s="31"/>
      <c r="G124" s="42">
        <f t="shared" si="9"/>
        <v>437.5</v>
      </c>
      <c r="H124" s="31"/>
      <c r="I124" s="32">
        <f t="shared" si="8"/>
        <v>45.503819336937518</v>
      </c>
    </row>
    <row r="125" spans="1:14" x14ac:dyDescent="0.35">
      <c r="C125" s="43">
        <f>SUM(C115:C124)</f>
        <v>8004</v>
      </c>
      <c r="E125" s="26"/>
      <c r="G125" s="43">
        <f>SUM(G115:G124)</f>
        <v>8959</v>
      </c>
      <c r="I125" s="26"/>
    </row>
    <row r="127" spans="1:14" x14ac:dyDescent="0.35">
      <c r="A127" s="44" t="s">
        <v>62</v>
      </c>
      <c r="B127" s="1"/>
      <c r="C127" s="1"/>
      <c r="D127" s="1"/>
      <c r="E127" s="45">
        <f>'Income Statement'!F12</f>
        <v>2795442.633871702</v>
      </c>
      <c r="F127" s="1"/>
      <c r="G127" s="46">
        <f>E127/12/G125</f>
        <v>26.00218247825001</v>
      </c>
      <c r="H127" s="1"/>
      <c r="I127" s="1"/>
      <c r="J127" s="47"/>
      <c r="K127" s="47"/>
      <c r="L127" s="47"/>
      <c r="M127" s="47"/>
      <c r="N127" s="47"/>
    </row>
    <row r="128" spans="1:14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47"/>
      <c r="K128" s="47"/>
      <c r="L128" s="47"/>
      <c r="M128" s="47"/>
      <c r="N128" s="47"/>
    </row>
    <row r="129" spans="1:14" ht="15.5" x14ac:dyDescent="0.35">
      <c r="A129" s="71" t="s">
        <v>8</v>
      </c>
      <c r="B129" s="71"/>
      <c r="C129" s="71" t="s">
        <v>202</v>
      </c>
      <c r="D129" s="71"/>
      <c r="E129" s="71" t="s">
        <v>47</v>
      </c>
      <c r="F129" s="1"/>
      <c r="G129" s="1"/>
      <c r="H129" s="1"/>
      <c r="I129" s="1"/>
      <c r="J129" s="47"/>
      <c r="K129" s="47"/>
      <c r="L129" s="47"/>
      <c r="M129" s="47"/>
      <c r="N129" s="47"/>
    </row>
    <row r="130" spans="1:14" x14ac:dyDescent="0.35">
      <c r="A130" s="45">
        <f ca="1">'Income Statement'!G12-A131</f>
        <v>5984213.4975171136</v>
      </c>
      <c r="B130" s="1"/>
      <c r="C130" s="48">
        <f>665911031-103.773+188-7504856-86625021-2843000-84</f>
        <v>568938154.227</v>
      </c>
      <c r="D130" s="1"/>
      <c r="E130" s="49">
        <f ca="1">(A130/C130)*1000</f>
        <v>10.518214419364604</v>
      </c>
      <c r="F130" s="1"/>
      <c r="G130" s="1"/>
      <c r="H130" s="1"/>
      <c r="I130" s="1"/>
      <c r="J130" s="47"/>
      <c r="K130" s="47"/>
      <c r="L130" s="47"/>
      <c r="M130" s="47"/>
      <c r="N130" s="47"/>
    </row>
    <row r="131" spans="1:14" x14ac:dyDescent="0.35">
      <c r="A131" s="45">
        <f ca="1">(C131*E131)/1000</f>
        <v>0.38202733272925304</v>
      </c>
      <c r="B131" s="1"/>
      <c r="C131" s="48">
        <v>103.773</v>
      </c>
      <c r="D131" s="1"/>
      <c r="E131" s="46">
        <f ca="1">0.35*E130</f>
        <v>3.6813750467776112</v>
      </c>
      <c r="F131" s="1"/>
      <c r="G131" s="1"/>
      <c r="H131" s="1"/>
      <c r="I131" s="1"/>
      <c r="J131" s="1"/>
      <c r="K131" s="1"/>
      <c r="L131" s="1"/>
      <c r="M131" s="1"/>
      <c r="N131" s="1"/>
    </row>
    <row r="133" spans="1:14" x14ac:dyDescent="0.35">
      <c r="A133" s="127" t="s">
        <v>203</v>
      </c>
      <c r="B133" s="127"/>
      <c r="C133" s="127"/>
      <c r="D133" s="127"/>
      <c r="E133" s="127"/>
      <c r="F133" s="127"/>
      <c r="G133" s="127"/>
      <c r="H133" s="127"/>
      <c r="I133" s="127"/>
      <c r="J133" s="127"/>
    </row>
    <row r="134" spans="1:14" x14ac:dyDescent="0.35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</row>
    <row r="135" spans="1:14" ht="15" customHeight="1" x14ac:dyDescent="0.35">
      <c r="A135" s="127"/>
      <c r="B135" s="127"/>
      <c r="C135" s="127"/>
      <c r="D135" s="127"/>
      <c r="E135" s="127"/>
      <c r="F135" s="127"/>
      <c r="G135" s="127"/>
      <c r="H135" s="127"/>
      <c r="I135" s="127"/>
      <c r="J135" s="127"/>
    </row>
    <row r="137" spans="1:14" x14ac:dyDescent="0.35">
      <c r="A137" s="128" t="s">
        <v>204</v>
      </c>
      <c r="B137" s="128"/>
      <c r="C137" s="128"/>
      <c r="D137" s="128"/>
      <c r="E137" s="128"/>
      <c r="F137" s="128"/>
      <c r="G137" s="128"/>
      <c r="H137" s="128"/>
      <c r="I137" s="128"/>
      <c r="J137" s="128"/>
    </row>
  </sheetData>
  <mergeCells count="5">
    <mergeCell ref="A1:I1"/>
    <mergeCell ref="A2:I2"/>
    <mergeCell ref="A8:I8"/>
    <mergeCell ref="A133:J135"/>
    <mergeCell ref="A137:J137"/>
  </mergeCells>
  <pageMargins left="0.7" right="0.7" top="0.75" bottom="0.75" header="0.3" footer="0.3"/>
  <pageSetup scale="86" firstPageNumber="11" fitToHeight="0" orientation="portrait" r:id="rId1"/>
  <headerFooter>
    <oddFooter>&amp;RCase No. WR-2024-0104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6"/>
  <sheetViews>
    <sheetView topLeftCell="A4" zoomScaleNormal="100" workbookViewId="0">
      <selection activeCell="R39" sqref="R39"/>
    </sheetView>
  </sheetViews>
  <sheetFormatPr defaultRowHeight="14.5" x14ac:dyDescent="0.35"/>
  <cols>
    <col min="1" max="1" width="20.453125" customWidth="1"/>
    <col min="2" max="2" width="2.453125" customWidth="1"/>
    <col min="3" max="3" width="11.453125" customWidth="1"/>
    <col min="4" max="4" width="2.26953125" customWidth="1"/>
    <col min="6" max="6" width="2.453125" customWidth="1"/>
    <col min="7" max="7" width="12.54296875" bestFit="1" customWidth="1"/>
    <col min="8" max="8" width="2.453125" customWidth="1"/>
    <col min="9" max="9" width="14" bestFit="1" customWidth="1"/>
    <col min="10" max="10" width="2.453125" customWidth="1"/>
    <col min="11" max="11" width="12.54296875" bestFit="1" customWidth="1"/>
  </cols>
  <sheetData>
    <row r="1" spans="1:11" ht="21.5" thickBot="1" x14ac:dyDescent="0.55000000000000004">
      <c r="A1" s="123" t="str">
        <f>'Income Statement'!A1:D1</f>
        <v>Liberty Utilities (Missouri Water), LLC - Water, All Other Service Areas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9.5" thickTop="1" thickBot="1" x14ac:dyDescent="0.5">
      <c r="A2" s="124" t="s">
        <v>63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15" thickTop="1" x14ac:dyDescent="0.35"/>
    <row r="4" spans="1:11" ht="19" thickBot="1" x14ac:dyDescent="0.5">
      <c r="A4" s="125" t="s">
        <v>15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6" spans="1:11" ht="15.5" x14ac:dyDescent="0.35">
      <c r="A6" s="7" t="s">
        <v>64</v>
      </c>
      <c r="C6" s="7" t="s">
        <v>65</v>
      </c>
      <c r="D6" s="7"/>
      <c r="E6" s="7" t="s">
        <v>19</v>
      </c>
      <c r="F6" s="7"/>
      <c r="G6" s="7" t="s">
        <v>20</v>
      </c>
      <c r="I6" s="7"/>
      <c r="J6" s="7"/>
      <c r="K6" s="7" t="s">
        <v>21</v>
      </c>
    </row>
    <row r="7" spans="1:11" ht="15.5" x14ac:dyDescent="0.35">
      <c r="A7" s="81" t="s">
        <v>66</v>
      </c>
      <c r="B7" s="31"/>
      <c r="C7" s="81" t="s">
        <v>23</v>
      </c>
      <c r="D7" s="81"/>
      <c r="E7" s="81" t="s">
        <v>24</v>
      </c>
      <c r="F7" s="81"/>
      <c r="G7" s="81" t="s">
        <v>25</v>
      </c>
      <c r="H7" s="31"/>
      <c r="I7" s="81" t="s">
        <v>26</v>
      </c>
      <c r="J7" s="81"/>
      <c r="K7" s="81" t="s">
        <v>27</v>
      </c>
    </row>
    <row r="8" spans="1:11" x14ac:dyDescent="0.35">
      <c r="A8" s="78" t="str">
        <f>'Rate Design'!A115</f>
        <v>1/2"</v>
      </c>
      <c r="C8" s="22">
        <f>'Rate Design'!C115</f>
        <v>38</v>
      </c>
      <c r="E8" s="50">
        <v>12</v>
      </c>
      <c r="G8" s="22">
        <f>C8*E8</f>
        <v>456</v>
      </c>
      <c r="I8" s="32">
        <f>'Rate Design'!I115</f>
        <v>26.00218247825001</v>
      </c>
      <c r="K8" s="3">
        <f>G8*I8</f>
        <v>11856.995210082005</v>
      </c>
    </row>
    <row r="9" spans="1:11" x14ac:dyDescent="0.35">
      <c r="A9" s="78" t="str">
        <f>'Rate Design'!A116</f>
        <v>5/8"</v>
      </c>
      <c r="C9" s="22">
        <f>'Rate Design'!C116</f>
        <v>3937</v>
      </c>
      <c r="E9" s="50">
        <v>12</v>
      </c>
      <c r="G9" s="22">
        <f>C9*E9</f>
        <v>47244</v>
      </c>
      <c r="I9" s="32">
        <f>'Rate Design'!I116</f>
        <v>26.00218247825001</v>
      </c>
      <c r="K9" s="3">
        <f t="shared" ref="K9:K17" si="0">G9*I9</f>
        <v>1228447.1090024435</v>
      </c>
    </row>
    <row r="10" spans="1:11" x14ac:dyDescent="0.35">
      <c r="A10" s="78" t="str">
        <f>'Rate Design'!A117</f>
        <v>3/4"</v>
      </c>
      <c r="C10" s="22">
        <f>'Rate Design'!C117</f>
        <v>3424</v>
      </c>
      <c r="E10" s="50">
        <v>12</v>
      </c>
      <c r="G10" s="22">
        <f t="shared" ref="G10:G17" si="1">C10*E10</f>
        <v>41088</v>
      </c>
      <c r="I10" s="32">
        <f>'Rate Design'!I117</f>
        <v>26.00218247825001</v>
      </c>
      <c r="K10" s="3">
        <f t="shared" si="0"/>
        <v>1068377.6736663363</v>
      </c>
    </row>
    <row r="11" spans="1:11" x14ac:dyDescent="0.35">
      <c r="A11" s="78" t="str">
        <f>'Rate Design'!A118</f>
        <v>1"</v>
      </c>
      <c r="C11" s="22">
        <f>'Rate Design'!C118</f>
        <v>150</v>
      </c>
      <c r="E11" s="50">
        <v>12</v>
      </c>
      <c r="G11" s="22">
        <f t="shared" si="1"/>
        <v>1800</v>
      </c>
      <c r="I11" s="32">
        <f>'Rate Design'!I118</f>
        <v>45.503819336937518</v>
      </c>
      <c r="K11" s="3">
        <f t="shared" si="0"/>
        <v>81906.874806487525</v>
      </c>
    </row>
    <row r="12" spans="1:11" x14ac:dyDescent="0.35">
      <c r="A12" s="78" t="str">
        <f>'Rate Design'!A119</f>
        <v>1  1/2"</v>
      </c>
      <c r="C12" s="22">
        <f>'Rate Design'!C119</f>
        <v>0</v>
      </c>
      <c r="E12" s="50">
        <v>12</v>
      </c>
      <c r="G12" s="22">
        <f t="shared" si="1"/>
        <v>0</v>
      </c>
      <c r="I12" s="32">
        <f>'Rate Design'!I119</f>
        <v>78.006547434750033</v>
      </c>
      <c r="K12" s="3">
        <f t="shared" si="0"/>
        <v>0</v>
      </c>
    </row>
    <row r="13" spans="1:11" x14ac:dyDescent="0.35">
      <c r="A13" s="78" t="str">
        <f>'Rate Design'!A120</f>
        <v xml:space="preserve"> 2"</v>
      </c>
      <c r="B13" s="51"/>
      <c r="C13" s="22">
        <f>'Rate Design'!C120</f>
        <v>180</v>
      </c>
      <c r="D13" s="51"/>
      <c r="E13" s="52">
        <v>12</v>
      </c>
      <c r="F13" s="51"/>
      <c r="G13" s="22">
        <f t="shared" si="1"/>
        <v>2160</v>
      </c>
      <c r="H13" s="51"/>
      <c r="I13" s="32">
        <f>'Rate Design'!I120</f>
        <v>91.007638673875036</v>
      </c>
      <c r="J13" s="51"/>
      <c r="K13" s="3">
        <f t="shared" si="0"/>
        <v>196576.49953557007</v>
      </c>
    </row>
    <row r="14" spans="1:11" x14ac:dyDescent="0.35">
      <c r="A14" s="78" t="str">
        <f>'Rate Design'!A121</f>
        <v>3"</v>
      </c>
      <c r="B14" s="51"/>
      <c r="C14" s="22">
        <f>'Rate Design'!C121</f>
        <v>8</v>
      </c>
      <c r="D14" s="51"/>
      <c r="E14" s="52">
        <v>12</v>
      </c>
      <c r="F14" s="51"/>
      <c r="G14" s="22">
        <f t="shared" si="1"/>
        <v>96</v>
      </c>
      <c r="H14" s="51"/>
      <c r="I14" s="32">
        <f>'Rate Design'!I121</f>
        <v>130.01091239125006</v>
      </c>
      <c r="J14" s="51"/>
      <c r="K14" s="3">
        <f t="shared" si="0"/>
        <v>12481.047589560007</v>
      </c>
    </row>
    <row r="15" spans="1:11" x14ac:dyDescent="0.35">
      <c r="A15" s="78" t="str">
        <f>'Rate Design'!A122</f>
        <v xml:space="preserve"> 4"</v>
      </c>
      <c r="B15" s="51"/>
      <c r="C15" s="22">
        <f>'Rate Design'!C122</f>
        <v>15</v>
      </c>
      <c r="D15" s="51"/>
      <c r="E15" s="52">
        <v>12</v>
      </c>
      <c r="F15" s="51"/>
      <c r="G15" s="22">
        <f t="shared" si="1"/>
        <v>180</v>
      </c>
      <c r="H15" s="51"/>
      <c r="I15" s="53">
        <f>'Rate Design'!I122</f>
        <v>260.02182478250012</v>
      </c>
      <c r="J15" s="51"/>
      <c r="K15" s="54">
        <f t="shared" si="0"/>
        <v>46803.928460850024</v>
      </c>
    </row>
    <row r="16" spans="1:11" x14ac:dyDescent="0.35">
      <c r="A16" s="78" t="str">
        <f>'Rate Design'!A123</f>
        <v xml:space="preserve"> 6"</v>
      </c>
      <c r="B16" s="51"/>
      <c r="C16" s="22">
        <f>'Rate Design'!C123</f>
        <v>2</v>
      </c>
      <c r="D16" s="51"/>
      <c r="E16" s="50">
        <v>12</v>
      </c>
      <c r="F16" s="51"/>
      <c r="G16" s="22">
        <f t="shared" si="1"/>
        <v>24</v>
      </c>
      <c r="H16" s="51"/>
      <c r="I16" s="53">
        <f>'Rate Design'!I123</f>
        <v>520.04364956500024</v>
      </c>
      <c r="J16" s="51"/>
      <c r="K16" s="54">
        <f t="shared" si="0"/>
        <v>12481.047589560007</v>
      </c>
    </row>
    <row r="17" spans="1:11" x14ac:dyDescent="0.35">
      <c r="A17" s="78" t="str">
        <f>'Rate Design'!A124</f>
        <v>Flat Rate - Unmetered</v>
      </c>
      <c r="B17" s="31"/>
      <c r="C17" s="22">
        <f>'Rate Design'!C124</f>
        <v>250</v>
      </c>
      <c r="D17" s="31"/>
      <c r="E17" s="55">
        <v>12</v>
      </c>
      <c r="F17" s="31"/>
      <c r="G17" s="42">
        <f t="shared" si="1"/>
        <v>3000</v>
      </c>
      <c r="H17" s="31"/>
      <c r="I17" s="56">
        <f>'Rate Design'!I124</f>
        <v>45.503819336937518</v>
      </c>
      <c r="J17" s="31"/>
      <c r="K17" s="57">
        <f t="shared" si="0"/>
        <v>136511.45801081255</v>
      </c>
    </row>
    <row r="18" spans="1:11" ht="15.5" x14ac:dyDescent="0.35">
      <c r="A18" s="58" t="s">
        <v>20</v>
      </c>
      <c r="C18" s="27">
        <f>SUM(C8:C17)</f>
        <v>8004</v>
      </c>
      <c r="G18" s="27">
        <f>SUM(G8:G17)</f>
        <v>96048</v>
      </c>
      <c r="K18" s="97">
        <f>SUM(K8:K17)</f>
        <v>2795442.633871702</v>
      </c>
    </row>
    <row r="19" spans="1:11" ht="15.5" x14ac:dyDescent="0.35">
      <c r="A19" s="59" t="s">
        <v>28</v>
      </c>
      <c r="C19" s="19"/>
      <c r="G19" s="60"/>
      <c r="K19" s="61"/>
    </row>
    <row r="20" spans="1:11" ht="19" thickBot="1" x14ac:dyDescent="0.5">
      <c r="A20" s="125" t="s">
        <v>29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1" x14ac:dyDescent="0.35">
      <c r="A21" s="6"/>
      <c r="G21" s="19"/>
      <c r="H21" s="19"/>
      <c r="I21" s="19"/>
      <c r="J21" s="19"/>
      <c r="K21" s="19" t="s">
        <v>21</v>
      </c>
    </row>
    <row r="22" spans="1:11" x14ac:dyDescent="0.35">
      <c r="A22" s="30"/>
      <c r="B22" s="31"/>
      <c r="C22" s="31"/>
      <c r="D22" s="31"/>
      <c r="E22" s="31"/>
      <c r="F22" s="31"/>
      <c r="G22" s="20" t="s">
        <v>67</v>
      </c>
      <c r="H22" s="20"/>
      <c r="I22" s="20" t="s">
        <v>32</v>
      </c>
      <c r="J22" s="20"/>
      <c r="K22" s="20" t="s">
        <v>27</v>
      </c>
    </row>
    <row r="23" spans="1:11" x14ac:dyDescent="0.35">
      <c r="A23" s="79" t="s">
        <v>205</v>
      </c>
      <c r="B23" s="51"/>
      <c r="C23" s="51"/>
      <c r="D23" s="51"/>
      <c r="E23" s="51"/>
      <c r="F23" s="51"/>
      <c r="G23" s="22">
        <v>0</v>
      </c>
      <c r="H23" s="80"/>
      <c r="I23" s="32">
        <f ca="1">'Rate Design'!E130</f>
        <v>10.518214419364604</v>
      </c>
      <c r="J23" s="80"/>
      <c r="K23" s="9">
        <f ca="1">G23*I23</f>
        <v>0</v>
      </c>
    </row>
    <row r="24" spans="1:11" x14ac:dyDescent="0.35">
      <c r="A24" s="79" t="s">
        <v>206</v>
      </c>
      <c r="B24" s="51"/>
      <c r="C24" s="51"/>
      <c r="D24" s="51"/>
      <c r="E24" s="51"/>
      <c r="F24" s="51"/>
      <c r="G24" s="22">
        <f>'Rate Design'!C131/1000</f>
        <v>0.10377299999999999</v>
      </c>
      <c r="H24" s="80"/>
      <c r="I24" s="32">
        <f ca="1">'Rate Design'!E131</f>
        <v>3.6813750467776112</v>
      </c>
      <c r="J24" s="80"/>
      <c r="K24" s="9">
        <f ca="1">G24*I24</f>
        <v>0.38202733272925299</v>
      </c>
    </row>
    <row r="25" spans="1:11" x14ac:dyDescent="0.35">
      <c r="A25" s="6" t="s">
        <v>207</v>
      </c>
      <c r="G25" s="17">
        <f>('Rate Design'!C130/1000)-G23</f>
        <v>568938.15422699996</v>
      </c>
      <c r="I25" s="32">
        <f ca="1">'Rate Design'!E130</f>
        <v>10.518214419364604</v>
      </c>
      <c r="K25" s="9">
        <f ca="1">G25*I25</f>
        <v>5984213.4975171136</v>
      </c>
    </row>
    <row r="26" spans="1:11" x14ac:dyDescent="0.35">
      <c r="A26" s="6"/>
      <c r="E26" s="19" t="s">
        <v>20</v>
      </c>
      <c r="G26" s="33">
        <f>SUM(G23:G25)</f>
        <v>568938.25799999991</v>
      </c>
      <c r="H26" s="26"/>
      <c r="I26" s="26"/>
      <c r="J26" s="26"/>
      <c r="K26" s="29">
        <f ca="1">SUM(K23:K25)</f>
        <v>5984213.8795444462</v>
      </c>
    </row>
    <row r="27" spans="1:11" x14ac:dyDescent="0.35">
      <c r="G27" s="17"/>
    </row>
    <row r="28" spans="1:11" ht="19" thickBot="1" x14ac:dyDescent="0.5">
      <c r="A28" s="125" t="s">
        <v>33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30" spans="1:11" ht="15.5" x14ac:dyDescent="0.35">
      <c r="A30" s="4" t="s">
        <v>37</v>
      </c>
      <c r="G30" s="62">
        <f>'Revenues - Current Rates'!G236</f>
        <v>120368.4865838509</v>
      </c>
    </row>
    <row r="32" spans="1:11" ht="19" thickBot="1" x14ac:dyDescent="0.5">
      <c r="A32" s="125" t="s">
        <v>4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4" spans="1:11" x14ac:dyDescent="0.35">
      <c r="A34" t="s">
        <v>38</v>
      </c>
      <c r="I34" s="3">
        <f>K18</f>
        <v>2795442.633871702</v>
      </c>
    </row>
    <row r="35" spans="1:11" x14ac:dyDescent="0.35">
      <c r="A35" t="s">
        <v>39</v>
      </c>
      <c r="I35" s="35">
        <f ca="1">K26</f>
        <v>5984213.8795444462</v>
      </c>
    </row>
    <row r="36" spans="1:11" ht="15.5" x14ac:dyDescent="0.35">
      <c r="A36" s="4" t="s">
        <v>40</v>
      </c>
      <c r="I36" s="37">
        <f ca="1">SUM(I34:I35)</f>
        <v>8779656.5134161487</v>
      </c>
    </row>
    <row r="37" spans="1:11" ht="15.5" x14ac:dyDescent="0.35">
      <c r="A37" s="4" t="s">
        <v>33</v>
      </c>
      <c r="I37" s="37">
        <f>G30</f>
        <v>120368.4865838509</v>
      </c>
    </row>
    <row r="38" spans="1:11" ht="16" thickBot="1" x14ac:dyDescent="0.4">
      <c r="A38" s="4" t="s">
        <v>68</v>
      </c>
      <c r="I38" s="38">
        <f ca="1">SUM(I36:I37)</f>
        <v>8900025</v>
      </c>
    </row>
    <row r="39" spans="1:11" ht="15" thickTop="1" x14ac:dyDescent="0.35"/>
    <row r="40" spans="1:11" x14ac:dyDescent="0.35">
      <c r="A40" s="129" t="s">
        <v>69</v>
      </c>
      <c r="B40" s="129"/>
      <c r="C40" s="129"/>
      <c r="D40" s="129"/>
      <c r="E40" s="129"/>
      <c r="F40" s="129"/>
      <c r="G40" s="129"/>
    </row>
    <row r="41" spans="1:11" x14ac:dyDescent="0.35">
      <c r="A41" s="6" t="s">
        <v>68</v>
      </c>
      <c r="G41" s="9">
        <f ca="1">I38</f>
        <v>8900025</v>
      </c>
    </row>
    <row r="42" spans="1:11" x14ac:dyDescent="0.35">
      <c r="A42" s="6" t="s">
        <v>70</v>
      </c>
      <c r="G42" s="9">
        <f>'Revenues - Current Rates'!G237</f>
        <v>4193907.2509073042</v>
      </c>
    </row>
    <row r="43" spans="1:11" x14ac:dyDescent="0.35">
      <c r="A43" s="6" t="s">
        <v>71</v>
      </c>
      <c r="G43" s="63">
        <f ca="1">G41-G42</f>
        <v>4706117.7490926962</v>
      </c>
    </row>
    <row r="44" spans="1:11" x14ac:dyDescent="0.35">
      <c r="A44" s="6" t="s">
        <v>72</v>
      </c>
      <c r="G44" s="35">
        <f>'Income Statement'!D13</f>
        <v>4706117.7490926962</v>
      </c>
    </row>
    <row r="46" spans="1:11" x14ac:dyDescent="0.35">
      <c r="I46" s="65">
        <f ca="1">G43-G44</f>
        <v>0</v>
      </c>
      <c r="K46" s="66" t="s">
        <v>270</v>
      </c>
    </row>
  </sheetData>
  <mergeCells count="7">
    <mergeCell ref="A40:G40"/>
    <mergeCell ref="A1:K1"/>
    <mergeCell ref="A2:K2"/>
    <mergeCell ref="A4:K4"/>
    <mergeCell ref="A20:K20"/>
    <mergeCell ref="A28:K28"/>
    <mergeCell ref="A32:K32"/>
  </mergeCells>
  <pageMargins left="0.7" right="0.7" top="0.75" bottom="0.75" header="0.3" footer="0.3"/>
  <pageSetup scale="98" firstPageNumber="14" orientation="portrait" r:id="rId1"/>
  <headerFooter>
    <oddFooter>&amp;RCase No. WR-2024-0104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8"/>
  <sheetViews>
    <sheetView topLeftCell="A10" zoomScale="90" zoomScaleNormal="90" workbookViewId="0">
      <selection activeCell="G6" sqref="G6"/>
    </sheetView>
  </sheetViews>
  <sheetFormatPr defaultRowHeight="14.5" x14ac:dyDescent="0.35"/>
  <cols>
    <col min="1" max="1" width="14" customWidth="1"/>
    <col min="2" max="2" width="4.54296875" customWidth="1"/>
    <col min="3" max="3" width="11.54296875" bestFit="1" customWidth="1"/>
    <col min="4" max="4" width="9.453125" customWidth="1"/>
    <col min="5" max="5" width="12.81640625" customWidth="1"/>
    <col min="6" max="6" width="4.7265625" customWidth="1"/>
    <col min="7" max="7" width="12.453125" customWidth="1"/>
    <col min="8" max="8" width="9.453125" customWidth="1"/>
    <col min="9" max="9" width="25.81640625" bestFit="1" customWidth="1"/>
    <col min="10" max="10" width="4.7265625" customWidth="1"/>
  </cols>
  <sheetData>
    <row r="1" spans="1:11" ht="21" x14ac:dyDescent="0.5">
      <c r="A1" s="123" t="str">
        <f>'Income Statement'!A1:D1</f>
        <v>Liberty Utilities (Missouri Water), LLC - Water, All Other Service Areas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8.5" x14ac:dyDescent="0.45">
      <c r="A2" s="130" t="s">
        <v>73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4" spans="1:11" ht="15.5" x14ac:dyDescent="0.35">
      <c r="E4" s="131" t="s">
        <v>208</v>
      </c>
      <c r="F4" s="131"/>
      <c r="G4" s="131"/>
    </row>
    <row r="5" spans="1:11" ht="15.5" x14ac:dyDescent="0.35">
      <c r="F5" s="51"/>
      <c r="G5" s="67"/>
      <c r="H5" s="51"/>
    </row>
    <row r="6" spans="1:11" x14ac:dyDescent="0.35">
      <c r="E6" t="s">
        <v>74</v>
      </c>
      <c r="G6" s="32">
        <f>'Rate Design'!G127</f>
        <v>26.00218247825001</v>
      </c>
    </row>
    <row r="7" spans="1:11" x14ac:dyDescent="0.35">
      <c r="E7" s="1" t="s">
        <v>75</v>
      </c>
      <c r="F7" s="1"/>
      <c r="G7" s="68">
        <f ca="1">'Rate Design'!E130*4</f>
        <v>42.072857677458416</v>
      </c>
    </row>
    <row r="8" spans="1:11" x14ac:dyDescent="0.35">
      <c r="E8" s="1" t="s">
        <v>76</v>
      </c>
      <c r="F8" s="1"/>
      <c r="G8" s="46">
        <f ca="1">SUM(G6:G7)</f>
        <v>68.075040155708422</v>
      </c>
    </row>
    <row r="10" spans="1:11" ht="18.5" x14ac:dyDescent="0.45">
      <c r="A10" s="132" t="s">
        <v>77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1" x14ac:dyDescent="0.35">
      <c r="A11" s="82" t="s">
        <v>209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5" x14ac:dyDescent="0.35">
      <c r="A12" s="83" t="s">
        <v>210</v>
      </c>
      <c r="B12" s="83"/>
      <c r="C12" s="1"/>
      <c r="D12" s="1"/>
      <c r="E12" s="83" t="s">
        <v>211</v>
      </c>
      <c r="F12" s="83"/>
      <c r="G12" s="1"/>
      <c r="H12" s="1"/>
      <c r="I12" s="83" t="s">
        <v>212</v>
      </c>
      <c r="J12" s="83"/>
      <c r="K12" s="1"/>
    </row>
    <row r="13" spans="1:11" x14ac:dyDescent="0.35">
      <c r="A13" s="1" t="s">
        <v>74</v>
      </c>
      <c r="B13" s="1"/>
      <c r="C13" s="46">
        <f>'Revenues - Current Rates'!I9</f>
        <v>23.86</v>
      </c>
      <c r="D13" s="1"/>
      <c r="E13" s="1" t="s">
        <v>74</v>
      </c>
      <c r="F13" s="1"/>
      <c r="G13" s="46">
        <f>'Revenues - Current Rates'!I53</f>
        <v>12.93</v>
      </c>
      <c r="H13" s="1"/>
      <c r="I13" s="1" t="s">
        <v>74</v>
      </c>
      <c r="J13" s="1"/>
      <c r="K13" s="46">
        <f>'Revenues - Current Rates'!I92</f>
        <v>9.49</v>
      </c>
    </row>
    <row r="14" spans="1:11" x14ac:dyDescent="0.35">
      <c r="A14" s="1" t="s">
        <v>75</v>
      </c>
      <c r="B14" s="1"/>
      <c r="C14" s="68">
        <f>'Revenues - Current Rates'!I117*(4000/1000)</f>
        <v>12.32</v>
      </c>
      <c r="D14" s="1"/>
      <c r="E14" s="1" t="s">
        <v>75</v>
      </c>
      <c r="F14" s="1"/>
      <c r="G14" s="68">
        <f>'Revenues - Current Rates'!I161*(4000/1000)</f>
        <v>17.2</v>
      </c>
      <c r="H14" s="1"/>
      <c r="I14" s="1" t="s">
        <v>75</v>
      </c>
      <c r="J14" s="1"/>
      <c r="K14" s="68">
        <f>'Revenues - Current Rates'!I203*(4000/1000)</f>
        <v>18.84</v>
      </c>
    </row>
    <row r="15" spans="1:11" x14ac:dyDescent="0.35">
      <c r="A15" s="1" t="s">
        <v>76</v>
      </c>
      <c r="B15" s="1"/>
      <c r="C15" s="46">
        <f>SUM(C13:C14)</f>
        <v>36.18</v>
      </c>
      <c r="D15" s="1"/>
      <c r="E15" s="1" t="s">
        <v>76</v>
      </c>
      <c r="F15" s="1"/>
      <c r="G15" s="46">
        <f>SUM(G13:G14)</f>
        <v>30.13</v>
      </c>
      <c r="H15" s="1"/>
      <c r="I15" s="1" t="s">
        <v>76</v>
      </c>
      <c r="J15" s="1"/>
      <c r="K15" s="46">
        <f>SUM(K13:K14)</f>
        <v>28.33</v>
      </c>
    </row>
    <row r="16" spans="1:1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5" x14ac:dyDescent="0.35">
      <c r="A17" s="83" t="s">
        <v>213</v>
      </c>
      <c r="B17" s="83"/>
      <c r="C17" s="1"/>
      <c r="D17" s="1"/>
      <c r="E17" s="83" t="s">
        <v>214</v>
      </c>
      <c r="F17" s="83"/>
      <c r="G17" s="1"/>
      <c r="H17" s="1"/>
      <c r="I17" s="83" t="s">
        <v>215</v>
      </c>
      <c r="J17" s="83"/>
      <c r="K17" s="1"/>
    </row>
    <row r="18" spans="1:11" x14ac:dyDescent="0.35">
      <c r="A18" s="1" t="s">
        <v>74</v>
      </c>
      <c r="B18" s="1"/>
      <c r="C18" s="46">
        <f>'Revenues - Current Rates'!I27</f>
        <v>30.04</v>
      </c>
      <c r="D18" s="1"/>
      <c r="E18" s="1" t="s">
        <v>74</v>
      </c>
      <c r="F18" s="1"/>
      <c r="G18" s="46">
        <f>'Revenues - Current Rates'!I82</f>
        <v>15.07</v>
      </c>
      <c r="H18" s="1"/>
      <c r="I18" s="1" t="s">
        <v>74</v>
      </c>
      <c r="J18" s="1"/>
      <c r="K18" s="46">
        <f>'Revenues - Current Rates'!I94</f>
        <v>28.13</v>
      </c>
    </row>
    <row r="19" spans="1:11" x14ac:dyDescent="0.35">
      <c r="A19" s="1" t="s">
        <v>75</v>
      </c>
      <c r="B19" s="1"/>
      <c r="C19" s="68">
        <f>'Revenues - Current Rates'!I135*(4000/1000)</f>
        <v>27.48</v>
      </c>
      <c r="D19" s="1"/>
      <c r="E19" s="1" t="s">
        <v>75</v>
      </c>
      <c r="F19" s="1"/>
      <c r="G19" s="68">
        <f>'Revenues - Current Rates'!I193*(2000/1000)</f>
        <v>6.78</v>
      </c>
      <c r="H19" s="1"/>
      <c r="I19" s="1" t="s">
        <v>75</v>
      </c>
      <c r="J19" s="1"/>
      <c r="K19" s="68">
        <f>'Revenues - Current Rates'!I205*(4000/1000)</f>
        <v>41.24</v>
      </c>
    </row>
    <row r="20" spans="1:11" x14ac:dyDescent="0.35">
      <c r="A20" s="1" t="s">
        <v>76</v>
      </c>
      <c r="B20" s="1"/>
      <c r="C20" s="46">
        <f>SUM(C18:C19)</f>
        <v>57.519999999999996</v>
      </c>
      <c r="D20" s="1"/>
      <c r="E20" s="1" t="s">
        <v>76</v>
      </c>
      <c r="F20" s="1"/>
      <c r="G20" s="46">
        <f>SUM(G18:G19)</f>
        <v>21.85</v>
      </c>
      <c r="H20" s="1"/>
      <c r="I20" s="1" t="s">
        <v>76</v>
      </c>
      <c r="J20" s="1"/>
      <c r="K20" s="46">
        <f>SUM(K18:K19)</f>
        <v>69.37</v>
      </c>
    </row>
    <row r="21" spans="1:11" x14ac:dyDescent="0.35">
      <c r="A21" s="1"/>
      <c r="B21" s="1"/>
      <c r="C21" s="46"/>
      <c r="D21" s="1"/>
      <c r="E21" s="1"/>
      <c r="F21" s="1"/>
      <c r="G21" s="1"/>
      <c r="H21" s="1"/>
      <c r="I21" s="1"/>
      <c r="J21" s="1"/>
      <c r="K21" s="1"/>
    </row>
    <row r="22" spans="1:11" ht="15.5" x14ac:dyDescent="0.35">
      <c r="A22" s="83" t="s">
        <v>216</v>
      </c>
      <c r="B22" s="83"/>
      <c r="C22" s="1"/>
      <c r="D22" s="1"/>
      <c r="E22" s="83" t="s">
        <v>217</v>
      </c>
      <c r="F22" s="83"/>
      <c r="G22" s="1"/>
      <c r="H22" s="1"/>
      <c r="I22" s="83" t="s">
        <v>218</v>
      </c>
      <c r="J22" s="83"/>
      <c r="K22" s="1"/>
    </row>
    <row r="23" spans="1:11" x14ac:dyDescent="0.35">
      <c r="A23" s="1" t="s">
        <v>74</v>
      </c>
      <c r="B23" s="1"/>
      <c r="C23" s="46">
        <f>'Revenues - Current Rates'!I39</f>
        <v>26.65</v>
      </c>
      <c r="D23" s="1"/>
      <c r="E23" s="1" t="s">
        <v>74</v>
      </c>
      <c r="F23" s="1"/>
      <c r="G23" s="46">
        <f>'Revenues - Current Rates'!I85</f>
        <v>15.5</v>
      </c>
      <c r="H23" s="1"/>
      <c r="I23" s="1" t="s">
        <v>74</v>
      </c>
      <c r="J23" s="1"/>
      <c r="K23" s="46">
        <f>'Revenues - Current Rates'!I96</f>
        <v>21.56</v>
      </c>
    </row>
    <row r="24" spans="1:11" x14ac:dyDescent="0.35">
      <c r="A24" s="1" t="s">
        <v>75</v>
      </c>
      <c r="B24" s="1"/>
      <c r="C24" s="68">
        <f>'Revenues - Current Rates'!I147*(4000/1000)</f>
        <v>27.52</v>
      </c>
      <c r="D24" s="1"/>
      <c r="E24" s="1" t="s">
        <v>75</v>
      </c>
      <c r="F24" s="1"/>
      <c r="G24" s="68">
        <f>'Revenues - Current Rates'!I196*(2000/1000)</f>
        <v>11.26</v>
      </c>
      <c r="H24" s="1"/>
      <c r="I24" s="1" t="s">
        <v>75</v>
      </c>
      <c r="J24" s="1"/>
      <c r="K24" s="68">
        <f>'Revenues - Current Rates'!I207*(4000/1000)</f>
        <v>8.32</v>
      </c>
    </row>
    <row r="25" spans="1:11" x14ac:dyDescent="0.35">
      <c r="A25" s="1" t="s">
        <v>76</v>
      </c>
      <c r="B25" s="1"/>
      <c r="C25" s="46">
        <f>SUM(C23:C24)</f>
        <v>54.17</v>
      </c>
      <c r="D25" s="1"/>
      <c r="E25" s="1" t="s">
        <v>76</v>
      </c>
      <c r="F25" s="1"/>
      <c r="G25" s="46">
        <f>SUM(G23:G24)</f>
        <v>26.759999999999998</v>
      </c>
      <c r="H25" s="1"/>
      <c r="I25" s="1" t="s">
        <v>76</v>
      </c>
      <c r="J25" s="1"/>
      <c r="K25" s="46">
        <f>SUM(K23:K24)</f>
        <v>29.88</v>
      </c>
    </row>
    <row r="26" spans="1:11" x14ac:dyDescent="0.35">
      <c r="A26" s="1"/>
      <c r="B26" s="1"/>
      <c r="C26" s="46"/>
      <c r="D26" s="1"/>
      <c r="E26" s="1"/>
      <c r="F26" s="1"/>
      <c r="G26" s="1"/>
      <c r="H26" s="1"/>
      <c r="I26" s="1"/>
      <c r="J26" s="1"/>
      <c r="K26" s="1"/>
    </row>
    <row r="27" spans="1:11" ht="15.5" x14ac:dyDescent="0.35">
      <c r="A27" s="83" t="s">
        <v>219</v>
      </c>
      <c r="B27" s="83"/>
      <c r="C27" s="1"/>
      <c r="D27" s="1"/>
      <c r="E27" s="83" t="s">
        <v>220</v>
      </c>
      <c r="F27" s="83"/>
      <c r="G27" s="1"/>
      <c r="H27" s="1"/>
      <c r="I27" s="83" t="s">
        <v>221</v>
      </c>
      <c r="J27" s="83"/>
      <c r="K27" s="1"/>
    </row>
    <row r="28" spans="1:11" x14ac:dyDescent="0.35">
      <c r="A28" s="1" t="s">
        <v>74</v>
      </c>
      <c r="B28" s="1"/>
      <c r="C28" s="46">
        <f>'Revenues - Current Rates'!I50</f>
        <v>5.7</v>
      </c>
      <c r="D28" s="1"/>
      <c r="E28" s="1" t="s">
        <v>74</v>
      </c>
      <c r="F28" s="1"/>
      <c r="G28" s="46">
        <f>'Revenues - Current Rates'!I87</f>
        <v>20.69</v>
      </c>
      <c r="H28" s="1"/>
      <c r="I28" s="1" t="s">
        <v>74</v>
      </c>
      <c r="J28" s="1"/>
      <c r="K28" s="46">
        <f>'Revenues - Current Rates'!I99</f>
        <v>12.55</v>
      </c>
    </row>
    <row r="29" spans="1:11" x14ac:dyDescent="0.35">
      <c r="A29" s="1" t="s">
        <v>75</v>
      </c>
      <c r="B29" s="1"/>
      <c r="C29" s="68">
        <f>'Revenues - Current Rates'!I158*(4000/1000)</f>
        <v>10.44</v>
      </c>
      <c r="D29" s="1"/>
      <c r="E29" s="1" t="s">
        <v>75</v>
      </c>
      <c r="F29" s="1"/>
      <c r="G29" s="68">
        <v>0</v>
      </c>
      <c r="H29" s="1"/>
      <c r="I29" s="1" t="s">
        <v>75</v>
      </c>
      <c r="J29" s="1"/>
      <c r="K29" s="68">
        <f>'Revenues - Current Rates'!I209*(4000/1000)</f>
        <v>22.52</v>
      </c>
    </row>
    <row r="30" spans="1:11" x14ac:dyDescent="0.35">
      <c r="A30" s="1" t="s">
        <v>76</v>
      </c>
      <c r="B30" s="1"/>
      <c r="C30" s="46">
        <f>SUM(C28:C29)</f>
        <v>16.14</v>
      </c>
      <c r="D30" s="1"/>
      <c r="E30" s="1" t="s">
        <v>76</v>
      </c>
      <c r="F30" s="1"/>
      <c r="G30" s="46">
        <f>SUM(G28:G29)</f>
        <v>20.69</v>
      </c>
      <c r="H30" s="1"/>
      <c r="I30" s="1" t="s">
        <v>76</v>
      </c>
      <c r="J30" s="1"/>
      <c r="K30" s="46">
        <f>SUM(K28:K29)</f>
        <v>35.07</v>
      </c>
    </row>
    <row r="31" spans="1:11" x14ac:dyDescent="0.35">
      <c r="A31" s="1"/>
      <c r="B31" s="1"/>
      <c r="C31" s="46"/>
      <c r="D31" s="1"/>
      <c r="E31" s="1"/>
      <c r="F31" s="1"/>
      <c r="G31" s="1"/>
      <c r="H31" s="1"/>
      <c r="I31" s="1"/>
      <c r="J31" s="1"/>
      <c r="K31" s="1"/>
    </row>
    <row r="32" spans="1:11" ht="15.5" x14ac:dyDescent="0.35">
      <c r="A32" s="83" t="s">
        <v>222</v>
      </c>
      <c r="B32" s="83"/>
      <c r="C32" s="1"/>
      <c r="D32" s="1"/>
      <c r="E32" s="83" t="s">
        <v>223</v>
      </c>
      <c r="F32" s="83"/>
      <c r="G32" s="1"/>
      <c r="H32" s="1"/>
      <c r="I32" s="72"/>
      <c r="J32" s="72"/>
      <c r="K32" s="61"/>
    </row>
    <row r="33" spans="1:11" x14ac:dyDescent="0.35">
      <c r="A33" s="1" t="s">
        <v>74</v>
      </c>
      <c r="B33" s="1"/>
      <c r="C33" s="46">
        <f>'Revenues - Current Rates'!I107</f>
        <v>20.97</v>
      </c>
      <c r="D33" s="1"/>
      <c r="E33" s="1" t="s">
        <v>74</v>
      </c>
      <c r="F33" s="1"/>
      <c r="G33" s="46">
        <f>'Revenues - Current Rates'!I90</f>
        <v>17.22</v>
      </c>
      <c r="H33" s="1"/>
      <c r="I33" s="61"/>
      <c r="J33" s="61"/>
      <c r="K33" s="70"/>
    </row>
    <row r="34" spans="1:11" x14ac:dyDescent="0.35">
      <c r="A34" s="1" t="s">
        <v>75</v>
      </c>
      <c r="B34" s="1"/>
      <c r="C34" s="68">
        <f>'Revenues - Current Rates'!I218*(4000/1000)</f>
        <v>8.48</v>
      </c>
      <c r="D34" s="1"/>
      <c r="E34" s="1" t="s">
        <v>75</v>
      </c>
      <c r="F34" s="1"/>
      <c r="G34" s="68">
        <f>'Revenues - Current Rates'!I201*(4000/1000)</f>
        <v>14.24</v>
      </c>
      <c r="H34" s="1"/>
      <c r="I34" s="61"/>
      <c r="J34" s="61"/>
      <c r="K34" s="69"/>
    </row>
    <row r="35" spans="1:11" x14ac:dyDescent="0.35">
      <c r="A35" s="1" t="s">
        <v>76</v>
      </c>
      <c r="B35" s="1"/>
      <c r="C35" s="46">
        <f>SUM(C33:C34)</f>
        <v>29.45</v>
      </c>
      <c r="D35" s="1"/>
      <c r="E35" s="1" t="s">
        <v>76</v>
      </c>
      <c r="F35" s="1"/>
      <c r="G35" s="46">
        <f>SUM(G33:G34)</f>
        <v>31.46</v>
      </c>
      <c r="H35" s="1"/>
      <c r="I35" s="61"/>
      <c r="J35" s="61"/>
      <c r="K35" s="70"/>
    </row>
    <row r="36" spans="1:11" x14ac:dyDescent="0.35">
      <c r="A36" s="1"/>
      <c r="B36" s="1"/>
      <c r="C36" s="46"/>
      <c r="D36" s="1"/>
      <c r="E36" s="1"/>
      <c r="F36" s="1"/>
      <c r="G36" s="1"/>
      <c r="H36" s="1"/>
      <c r="I36" s="1"/>
      <c r="J36" s="1"/>
      <c r="K36" s="1"/>
    </row>
    <row r="37" spans="1:11" x14ac:dyDescent="0.35">
      <c r="A37" s="1"/>
      <c r="B37" s="1"/>
      <c r="C37" s="46"/>
      <c r="D37" s="1"/>
      <c r="E37" s="1"/>
      <c r="F37" s="1"/>
      <c r="G37" s="1"/>
      <c r="H37" s="1"/>
      <c r="I37" s="1"/>
      <c r="J37" s="1"/>
      <c r="K37" s="1"/>
    </row>
    <row r="38" spans="1:11" ht="18.5" x14ac:dyDescent="0.45">
      <c r="A38" s="132" t="s">
        <v>78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</row>
    <row r="39" spans="1:1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5" x14ac:dyDescent="0.35">
      <c r="A40" s="83" t="s">
        <v>224</v>
      </c>
      <c r="B40" s="83"/>
      <c r="C40" s="1"/>
      <c r="D40" s="1"/>
      <c r="E40" s="83" t="s">
        <v>225</v>
      </c>
      <c r="F40" s="83"/>
      <c r="G40" s="1"/>
      <c r="H40" s="1"/>
      <c r="I40" s="83" t="s">
        <v>226</v>
      </c>
      <c r="J40" s="83"/>
      <c r="K40" s="1"/>
    </row>
    <row r="41" spans="1:11" x14ac:dyDescent="0.35">
      <c r="A41" s="1" t="s">
        <v>79</v>
      </c>
      <c r="B41" s="1"/>
      <c r="C41" s="46">
        <f ca="1">G8-C15</f>
        <v>31.895040155708422</v>
      </c>
      <c r="D41" s="1"/>
      <c r="E41" s="1" t="s">
        <v>79</v>
      </c>
      <c r="F41" s="1"/>
      <c r="G41" s="46">
        <f ca="1">G8-G15</f>
        <v>37.945040155708426</v>
      </c>
      <c r="H41" s="1"/>
      <c r="I41" s="1" t="s">
        <v>79</v>
      </c>
      <c r="J41" s="1"/>
      <c r="K41" s="46">
        <f ca="1">G8-K15</f>
        <v>39.745040155708423</v>
      </c>
    </row>
    <row r="42" spans="1:11" x14ac:dyDescent="0.35">
      <c r="A42" s="1" t="s">
        <v>80</v>
      </c>
      <c r="B42" s="1"/>
      <c r="C42" s="73">
        <f ca="1">(G8-C15)/C15</f>
        <v>0.88156551010802719</v>
      </c>
      <c r="D42" s="1"/>
      <c r="E42" s="1" t="s">
        <v>80</v>
      </c>
      <c r="F42" s="1"/>
      <c r="G42" s="73">
        <f ca="1">(G8-G15)/G15</f>
        <v>1.2593773699206248</v>
      </c>
      <c r="H42" s="1"/>
      <c r="I42" s="1" t="s">
        <v>80</v>
      </c>
      <c r="J42" s="1"/>
      <c r="K42" s="73">
        <f ca="1">(G8-K15)/K15</f>
        <v>1.4029311738689878</v>
      </c>
    </row>
    <row r="43" spans="1:1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5" x14ac:dyDescent="0.35">
      <c r="A44" s="83" t="s">
        <v>227</v>
      </c>
      <c r="B44" s="83"/>
      <c r="C44" s="1"/>
      <c r="D44" s="1"/>
      <c r="E44" s="83" t="s">
        <v>228</v>
      </c>
      <c r="F44" s="83"/>
      <c r="G44" s="1"/>
      <c r="H44" s="1"/>
      <c r="I44" s="83" t="s">
        <v>229</v>
      </c>
      <c r="J44" s="83"/>
      <c r="K44" s="1"/>
    </row>
    <row r="45" spans="1:11" x14ac:dyDescent="0.35">
      <c r="A45" s="1" t="s">
        <v>79</v>
      </c>
      <c r="B45" s="1"/>
      <c r="C45" s="46">
        <f ca="1">G8-C20</f>
        <v>10.555040155708426</v>
      </c>
      <c r="D45" s="1"/>
      <c r="E45" s="1" t="s">
        <v>79</v>
      </c>
      <c r="F45" s="1"/>
      <c r="G45" s="46">
        <f ca="1">G8-G20</f>
        <v>46.22504015570842</v>
      </c>
      <c r="H45" s="1"/>
      <c r="I45" s="1" t="s">
        <v>79</v>
      </c>
      <c r="J45" s="1"/>
      <c r="K45" s="46">
        <f ca="1">G8-K20</f>
        <v>-1.2949598442915828</v>
      </c>
    </row>
    <row r="46" spans="1:11" x14ac:dyDescent="0.35">
      <c r="A46" s="1" t="s">
        <v>80</v>
      </c>
      <c r="B46" s="1"/>
      <c r="C46" s="96">
        <f ca="1">(G8-C20)/C20</f>
        <v>0.18350208893790729</v>
      </c>
      <c r="D46" s="1"/>
      <c r="E46" s="1" t="s">
        <v>80</v>
      </c>
      <c r="F46" s="1"/>
      <c r="G46" s="73">
        <f ca="1">(G8-G20)/G20</f>
        <v>2.1155624785221243</v>
      </c>
      <c r="H46" s="1"/>
      <c r="I46" s="1" t="s">
        <v>80</v>
      </c>
      <c r="J46" s="1"/>
      <c r="K46" s="73">
        <f ca="1">(G8-K20)/K20</f>
        <v>-1.8667433246238759E-2</v>
      </c>
    </row>
    <row r="47" spans="1:1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5" x14ac:dyDescent="0.35">
      <c r="A48" s="83" t="s">
        <v>230</v>
      </c>
      <c r="B48" s="83"/>
      <c r="C48" s="1"/>
      <c r="D48" s="1"/>
      <c r="E48" s="83" t="s">
        <v>231</v>
      </c>
      <c r="F48" s="83"/>
      <c r="G48" s="1"/>
      <c r="H48" s="1"/>
      <c r="I48" s="83" t="s">
        <v>232</v>
      </c>
      <c r="J48" s="83"/>
      <c r="K48" s="1"/>
    </row>
    <row r="49" spans="1:11" x14ac:dyDescent="0.35">
      <c r="A49" s="1" t="s">
        <v>79</v>
      </c>
      <c r="B49" s="1"/>
      <c r="C49" s="46">
        <f ca="1">G8-C25</f>
        <v>13.90504015570842</v>
      </c>
      <c r="D49" s="1"/>
      <c r="E49" s="1" t="s">
        <v>79</v>
      </c>
      <c r="F49" s="1"/>
      <c r="G49" s="46">
        <f ca="1">G8-G25</f>
        <v>41.315040155708424</v>
      </c>
      <c r="H49" s="1"/>
      <c r="I49" s="1" t="s">
        <v>79</v>
      </c>
      <c r="J49" s="1"/>
      <c r="K49" s="46">
        <f ca="1">G8-K25</f>
        <v>38.195040155708426</v>
      </c>
    </row>
    <row r="50" spans="1:11" x14ac:dyDescent="0.35">
      <c r="A50" s="1" t="s">
        <v>80</v>
      </c>
      <c r="B50" s="1"/>
      <c r="C50" s="73">
        <f ca="1">(G8-C25)/C25</f>
        <v>0.25669263717386781</v>
      </c>
      <c r="D50" s="1"/>
      <c r="E50" s="1" t="s">
        <v>80</v>
      </c>
      <c r="F50" s="1"/>
      <c r="G50" s="73">
        <f ca="1">(G8-G25)/G25</f>
        <v>1.5439103197200459</v>
      </c>
      <c r="H50" s="1"/>
      <c r="I50" s="1" t="s">
        <v>80</v>
      </c>
      <c r="J50" s="1"/>
      <c r="K50" s="73">
        <f ca="1">(G8-K25)/K25</f>
        <v>1.2782811297091174</v>
      </c>
    </row>
    <row r="51" spans="1:1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5" x14ac:dyDescent="0.35">
      <c r="A52" s="83" t="s">
        <v>233</v>
      </c>
      <c r="B52" s="83"/>
      <c r="C52" s="1"/>
      <c r="D52" s="1"/>
      <c r="E52" s="83" t="s">
        <v>234</v>
      </c>
      <c r="F52" s="83"/>
      <c r="G52" s="1"/>
      <c r="H52" s="1"/>
      <c r="I52" s="83" t="s">
        <v>235</v>
      </c>
      <c r="J52" s="83"/>
      <c r="K52" s="1"/>
    </row>
    <row r="53" spans="1:11" x14ac:dyDescent="0.35">
      <c r="A53" s="1" t="s">
        <v>79</v>
      </c>
      <c r="B53" s="1"/>
      <c r="C53" s="46">
        <f ca="1">G8-C30</f>
        <v>51.935040155708421</v>
      </c>
      <c r="D53" s="1"/>
      <c r="E53" s="1" t="s">
        <v>79</v>
      </c>
      <c r="F53" s="1"/>
      <c r="G53" s="46">
        <f ca="1">G8-G30</f>
        <v>47.385040155708424</v>
      </c>
      <c r="H53" s="1"/>
      <c r="I53" s="1" t="s">
        <v>79</v>
      </c>
      <c r="J53" s="1"/>
      <c r="K53" s="46">
        <f ca="1">G8-K30</f>
        <v>33.005040155708421</v>
      </c>
    </row>
    <row r="54" spans="1:11" x14ac:dyDescent="0.35">
      <c r="A54" s="1" t="s">
        <v>80</v>
      </c>
      <c r="B54" s="1"/>
      <c r="C54" s="73">
        <f ca="1">(G8-C30)/C30</f>
        <v>3.2177843962644621</v>
      </c>
      <c r="D54" s="1"/>
      <c r="E54" s="1" t="s">
        <v>80</v>
      </c>
      <c r="F54" s="1"/>
      <c r="G54" s="73">
        <f ca="1">(G8-G30)/G30</f>
        <v>2.2902387702130702</v>
      </c>
      <c r="H54" s="1"/>
      <c r="I54" s="1" t="s">
        <v>80</v>
      </c>
      <c r="J54" s="1"/>
      <c r="K54" s="73">
        <f ca="1">(G8-K30)/K30</f>
        <v>0.94111890948698096</v>
      </c>
    </row>
    <row r="55" spans="1:1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5" x14ac:dyDescent="0.35">
      <c r="A56" s="83" t="s">
        <v>236</v>
      </c>
      <c r="B56" s="83"/>
      <c r="C56" s="1"/>
      <c r="D56" s="1"/>
      <c r="E56" s="83" t="s">
        <v>237</v>
      </c>
      <c r="F56" s="83"/>
      <c r="G56" s="1"/>
      <c r="H56" s="1"/>
      <c r="I56" s="72"/>
      <c r="J56" s="72"/>
      <c r="K56" s="61"/>
    </row>
    <row r="57" spans="1:11" x14ac:dyDescent="0.35">
      <c r="A57" s="1" t="s">
        <v>79</v>
      </c>
      <c r="B57" s="1"/>
      <c r="C57" s="46">
        <f ca="1">G8-C35</f>
        <v>38.625040155708419</v>
      </c>
      <c r="D57" s="1"/>
      <c r="E57" s="1" t="s">
        <v>79</v>
      </c>
      <c r="F57" s="1"/>
      <c r="G57" s="46">
        <f ca="1">G8-G35</f>
        <v>36.615040155708421</v>
      </c>
      <c r="H57" s="1"/>
      <c r="I57" s="61"/>
      <c r="J57" s="61"/>
      <c r="K57" s="70"/>
    </row>
    <row r="58" spans="1:11" x14ac:dyDescent="0.35">
      <c r="A58" s="1" t="s">
        <v>80</v>
      </c>
      <c r="B58" s="1"/>
      <c r="C58" s="73">
        <f ca="1">(G8-C35)/C35</f>
        <v>1.3115463550325439</v>
      </c>
      <c r="D58" s="1"/>
      <c r="E58" s="1" t="s">
        <v>80</v>
      </c>
      <c r="F58" s="1"/>
      <c r="G58" s="73">
        <f ca="1">(G8-G35)/G35</f>
        <v>1.1638601448095494</v>
      </c>
      <c r="H58" s="1"/>
      <c r="I58" s="61"/>
      <c r="J58" s="61"/>
      <c r="K58" s="74"/>
    </row>
  </sheetData>
  <mergeCells count="5">
    <mergeCell ref="A1:K1"/>
    <mergeCell ref="A2:K2"/>
    <mergeCell ref="E4:G4"/>
    <mergeCell ref="A10:K10"/>
    <mergeCell ref="A38:K38"/>
  </mergeCells>
  <pageMargins left="0.7" right="0.7" top="0.75" bottom="0.75" header="0.3" footer="0.3"/>
  <pageSetup scale="76" firstPageNumber="2" orientation="portrait" r:id="rId1"/>
  <headerFooter>
    <oddFooter>&amp;RCase No. WR-2024-0104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9"/>
  <sheetViews>
    <sheetView tabSelected="1" zoomScaleNormal="100" workbookViewId="0">
      <selection activeCell="H31" sqref="H31"/>
    </sheetView>
  </sheetViews>
  <sheetFormatPr defaultRowHeight="14.5" x14ac:dyDescent="0.35"/>
  <cols>
    <col min="1" max="1" width="3.1796875" customWidth="1"/>
    <col min="2" max="2" width="46.453125" customWidth="1"/>
    <col min="3" max="3" width="6.453125" customWidth="1"/>
    <col min="4" max="4" width="27.453125" customWidth="1"/>
  </cols>
  <sheetData>
    <row r="1" spans="1:4" ht="21.5" thickBot="1" x14ac:dyDescent="0.55000000000000004">
      <c r="A1" s="123" t="s">
        <v>13</v>
      </c>
      <c r="B1" s="123"/>
      <c r="C1" s="123"/>
      <c r="D1" s="123"/>
    </row>
    <row r="2" spans="1:4" ht="19.5" thickTop="1" thickBot="1" x14ac:dyDescent="0.5">
      <c r="A2" s="124" t="s">
        <v>265</v>
      </c>
      <c r="B2" s="124"/>
      <c r="C2" s="124"/>
      <c r="D2" s="124"/>
    </row>
    <row r="3" spans="1:4" ht="15" thickTop="1" x14ac:dyDescent="0.35"/>
    <row r="4" spans="1:4" ht="19" thickBot="1" x14ac:dyDescent="0.5">
      <c r="A4" s="2"/>
      <c r="B4" s="125" t="s">
        <v>1</v>
      </c>
      <c r="C4" s="125"/>
      <c r="D4" s="125"/>
    </row>
    <row r="5" spans="1:4" x14ac:dyDescent="0.35">
      <c r="B5" t="s">
        <v>2</v>
      </c>
      <c r="D5" s="3">
        <f>'Revenues - Current-Other S'!G43</f>
        <v>489523.14949999994</v>
      </c>
    </row>
    <row r="6" spans="1:4" x14ac:dyDescent="0.35">
      <c r="B6" t="s">
        <v>3</v>
      </c>
      <c r="D6" s="3">
        <f>'Revenues - Current-Other S'!G44</f>
        <v>14665.5</v>
      </c>
    </row>
    <row r="7" spans="1:4" ht="15.5" x14ac:dyDescent="0.35">
      <c r="B7" s="4" t="s">
        <v>4</v>
      </c>
      <c r="D7" s="5">
        <f>SUM(D5:D6)</f>
        <v>504188.64949999994</v>
      </c>
    </row>
    <row r="8" spans="1:4" x14ac:dyDescent="0.35">
      <c r="B8" s="6" t="s">
        <v>5</v>
      </c>
    </row>
    <row r="10" spans="1:4" ht="19" thickBot="1" x14ac:dyDescent="0.5">
      <c r="B10" s="125" t="s">
        <v>6</v>
      </c>
      <c r="C10" s="125"/>
      <c r="D10" s="125"/>
    </row>
    <row r="11" spans="1:4" ht="16.5" thickTop="1" thickBot="1" x14ac:dyDescent="0.4">
      <c r="B11" s="116" t="s">
        <v>10</v>
      </c>
      <c r="C11" s="1"/>
      <c r="D11" s="117">
        <f>860529-88147</f>
        <v>772382</v>
      </c>
    </row>
    <row r="12" spans="1:4" ht="16.5" thickTop="1" thickBot="1" x14ac:dyDescent="0.4">
      <c r="B12" s="118" t="s">
        <v>11</v>
      </c>
      <c r="C12" s="1"/>
      <c r="D12" s="93">
        <f>D11-D6</f>
        <v>757716.5</v>
      </c>
    </row>
    <row r="13" spans="1:4" ht="16.5" thickTop="1" thickBot="1" x14ac:dyDescent="0.4">
      <c r="B13" s="14" t="s">
        <v>12</v>
      </c>
      <c r="D13" s="15">
        <f>D11-D7</f>
        <v>268193.35050000006</v>
      </c>
    </row>
    <row r="14" spans="1:4" ht="15" thickTop="1" x14ac:dyDescent="0.35"/>
    <row r="18" spans="2:4" x14ac:dyDescent="0.35">
      <c r="B18" s="16"/>
      <c r="D18" s="84"/>
    </row>
    <row r="19" spans="2:4" x14ac:dyDescent="0.35">
      <c r="B19" s="16"/>
      <c r="D19" s="85"/>
    </row>
  </sheetData>
  <mergeCells count="4">
    <mergeCell ref="A1:D1"/>
    <mergeCell ref="A2:D2"/>
    <mergeCell ref="B4:D4"/>
    <mergeCell ref="B10:D10"/>
  </mergeCells>
  <pageMargins left="0.7" right="0.7" top="0.75" bottom="0.75" header="0.3" footer="0.3"/>
  <pageSetup firstPageNumber="6" orientation="portrait" r:id="rId1"/>
  <headerFooter>
    <oddFooter>&amp;RCase No. WR-2024-0104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6"/>
  <sheetViews>
    <sheetView zoomScaleNormal="100" workbookViewId="0">
      <selection activeCell="Q28" sqref="Q28"/>
    </sheetView>
  </sheetViews>
  <sheetFormatPr defaultRowHeight="14.5" x14ac:dyDescent="0.35"/>
  <cols>
    <col min="1" max="1" width="30.26953125" customWidth="1"/>
    <col min="2" max="2" width="2.1796875" customWidth="1"/>
    <col min="3" max="3" width="11.1796875" customWidth="1"/>
    <col min="4" max="4" width="2" customWidth="1"/>
    <col min="5" max="5" width="11.1796875" customWidth="1"/>
    <col min="6" max="6" width="2" customWidth="1"/>
    <col min="7" max="7" width="13.7265625" bestFit="1" customWidth="1"/>
    <col min="8" max="8" width="2" customWidth="1"/>
    <col min="9" max="9" width="10.54296875" bestFit="1" customWidth="1"/>
    <col min="10" max="10" width="1.81640625" customWidth="1"/>
    <col min="11" max="11" width="14.26953125" bestFit="1" customWidth="1"/>
  </cols>
  <sheetData>
    <row r="1" spans="1:11" ht="21.5" thickBot="1" x14ac:dyDescent="0.55000000000000004">
      <c r="A1" s="123" t="str">
        <f>'Income Statement-Other S'!A1:D1</f>
        <v>Liberty Utilities (Missouri Water), LLC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9.5" thickTop="1" thickBot="1" x14ac:dyDescent="0.5">
      <c r="A2" s="124" t="s">
        <v>266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15" thickTop="1" x14ac:dyDescent="0.35"/>
    <row r="4" spans="1:11" ht="19" thickBot="1" x14ac:dyDescent="0.5">
      <c r="A4" s="125" t="s">
        <v>15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6" spans="1:11" x14ac:dyDescent="0.35">
      <c r="C6" s="19" t="s">
        <v>18</v>
      </c>
      <c r="D6" s="19"/>
      <c r="E6" s="19" t="s">
        <v>19</v>
      </c>
      <c r="F6" s="19"/>
      <c r="G6" s="19" t="s">
        <v>20</v>
      </c>
      <c r="H6" s="19"/>
      <c r="I6" s="19"/>
      <c r="J6" s="19"/>
      <c r="K6" s="19" t="s">
        <v>21</v>
      </c>
    </row>
    <row r="7" spans="1:11" x14ac:dyDescent="0.35">
      <c r="A7" s="20" t="s">
        <v>238</v>
      </c>
      <c r="B7" s="31"/>
      <c r="C7" s="20" t="s">
        <v>23</v>
      </c>
      <c r="D7" s="20"/>
      <c r="E7" s="20" t="s">
        <v>24</v>
      </c>
      <c r="F7" s="20"/>
      <c r="G7" s="20" t="s">
        <v>25</v>
      </c>
      <c r="H7" s="20"/>
      <c r="I7" s="20" t="s">
        <v>26</v>
      </c>
      <c r="J7" s="20"/>
      <c r="K7" s="20" t="s">
        <v>27</v>
      </c>
    </row>
    <row r="8" spans="1:11" x14ac:dyDescent="0.35">
      <c r="A8" t="s">
        <v>239</v>
      </c>
      <c r="C8" s="22">
        <v>32</v>
      </c>
      <c r="D8" s="23"/>
      <c r="E8" s="23">
        <v>12</v>
      </c>
      <c r="F8" s="23"/>
      <c r="G8" s="22">
        <f>C8*E8</f>
        <v>384</v>
      </c>
      <c r="I8" s="32">
        <v>42.16</v>
      </c>
      <c r="K8" s="9">
        <f>G8*I8</f>
        <v>16189.439999999999</v>
      </c>
    </row>
    <row r="9" spans="1:11" x14ac:dyDescent="0.35">
      <c r="A9" t="s">
        <v>240</v>
      </c>
      <c r="C9" s="22">
        <v>1</v>
      </c>
      <c r="D9" s="23"/>
      <c r="E9" s="23">
        <v>12</v>
      </c>
      <c r="F9" s="23"/>
      <c r="G9" s="22">
        <f t="shared" ref="G9:G21" si="0">C9*E9</f>
        <v>12</v>
      </c>
      <c r="I9" s="32">
        <v>105.39</v>
      </c>
      <c r="K9" s="9">
        <f t="shared" ref="K9:K21" si="1">G9*I9</f>
        <v>1264.68</v>
      </c>
    </row>
    <row r="10" spans="1:11" x14ac:dyDescent="0.35">
      <c r="A10" t="s">
        <v>241</v>
      </c>
      <c r="C10" s="22">
        <f>148+5</f>
        <v>153</v>
      </c>
      <c r="D10" s="23"/>
      <c r="E10" s="23">
        <v>12</v>
      </c>
      <c r="F10" s="23"/>
      <c r="G10" s="22">
        <f t="shared" si="0"/>
        <v>1836</v>
      </c>
      <c r="I10" s="32">
        <v>37.08</v>
      </c>
      <c r="K10" s="9">
        <f t="shared" si="1"/>
        <v>68078.87999999999</v>
      </c>
    </row>
    <row r="11" spans="1:11" x14ac:dyDescent="0.35">
      <c r="A11" t="s">
        <v>242</v>
      </c>
      <c r="C11" s="22">
        <f>0+3</f>
        <v>3</v>
      </c>
      <c r="D11" s="23"/>
      <c r="E11" s="23">
        <v>12</v>
      </c>
      <c r="F11" s="23"/>
      <c r="G11" s="22">
        <f t="shared" si="0"/>
        <v>36</v>
      </c>
      <c r="I11" s="32">
        <v>63.03</v>
      </c>
      <c r="K11" s="9">
        <f t="shared" si="1"/>
        <v>2269.08</v>
      </c>
    </row>
    <row r="12" spans="1:11" x14ac:dyDescent="0.35">
      <c r="A12" t="s">
        <v>243</v>
      </c>
      <c r="C12" s="22">
        <f>12+2</f>
        <v>14</v>
      </c>
      <c r="D12" s="23"/>
      <c r="E12" s="23">
        <v>12</v>
      </c>
      <c r="F12" s="23"/>
      <c r="G12" s="22">
        <f t="shared" si="0"/>
        <v>168</v>
      </c>
      <c r="I12" s="32">
        <v>196.51</v>
      </c>
      <c r="K12" s="9">
        <f t="shared" si="1"/>
        <v>33013.68</v>
      </c>
    </row>
    <row r="13" spans="1:11" x14ac:dyDescent="0.35">
      <c r="A13" t="s">
        <v>244</v>
      </c>
      <c r="C13" s="22">
        <f>1</f>
        <v>1</v>
      </c>
      <c r="D13" s="23"/>
      <c r="E13" s="23">
        <v>12</v>
      </c>
      <c r="F13" s="23"/>
      <c r="G13" s="22">
        <f t="shared" si="0"/>
        <v>12</v>
      </c>
      <c r="I13" s="32">
        <v>370.76</v>
      </c>
      <c r="K13" s="9">
        <f t="shared" si="1"/>
        <v>4449.12</v>
      </c>
    </row>
    <row r="14" spans="1:11" x14ac:dyDescent="0.35">
      <c r="A14" t="s">
        <v>245</v>
      </c>
      <c r="C14" s="22">
        <f>2+0</f>
        <v>2</v>
      </c>
      <c r="D14" s="23"/>
      <c r="E14" s="23">
        <v>12</v>
      </c>
      <c r="F14" s="23"/>
      <c r="G14" s="22">
        <f t="shared" si="0"/>
        <v>24</v>
      </c>
      <c r="I14" s="32">
        <v>37.08</v>
      </c>
      <c r="K14" s="9">
        <f t="shared" si="1"/>
        <v>889.92</v>
      </c>
    </row>
    <row r="15" spans="1:11" x14ac:dyDescent="0.35">
      <c r="A15" t="s">
        <v>273</v>
      </c>
      <c r="C15" s="22">
        <v>165</v>
      </c>
      <c r="D15" s="23"/>
      <c r="E15" s="23">
        <v>12</v>
      </c>
      <c r="F15" s="23"/>
      <c r="G15" s="22">
        <f t="shared" si="0"/>
        <v>1980</v>
      </c>
      <c r="I15" s="32">
        <v>36.97</v>
      </c>
      <c r="K15" s="9">
        <f t="shared" si="1"/>
        <v>73200.599999999991</v>
      </c>
    </row>
    <row r="16" spans="1:11" x14ac:dyDescent="0.35">
      <c r="A16" t="s">
        <v>246</v>
      </c>
      <c r="C16" s="22">
        <v>5</v>
      </c>
      <c r="D16" s="23"/>
      <c r="E16" s="23">
        <v>12</v>
      </c>
      <c r="F16" s="23"/>
      <c r="G16" s="22">
        <f t="shared" si="0"/>
        <v>60</v>
      </c>
      <c r="I16" s="32">
        <v>46.21</v>
      </c>
      <c r="K16" s="9">
        <f t="shared" si="1"/>
        <v>2772.6</v>
      </c>
    </row>
    <row r="17" spans="1:11" x14ac:dyDescent="0.35">
      <c r="A17" t="s">
        <v>247</v>
      </c>
      <c r="C17" s="22">
        <v>139</v>
      </c>
      <c r="D17" s="23"/>
      <c r="E17" s="23">
        <v>12</v>
      </c>
      <c r="F17" s="23"/>
      <c r="G17" s="22">
        <f t="shared" si="0"/>
        <v>1668</v>
      </c>
      <c r="I17" s="32">
        <v>46.21</v>
      </c>
      <c r="K17" s="9">
        <f t="shared" si="1"/>
        <v>77078.28</v>
      </c>
    </row>
    <row r="18" spans="1:11" x14ac:dyDescent="0.35">
      <c r="A18" t="s">
        <v>248</v>
      </c>
      <c r="C18" s="22">
        <v>24</v>
      </c>
      <c r="D18" s="23"/>
      <c r="E18" s="23">
        <v>12</v>
      </c>
      <c r="F18" s="23"/>
      <c r="G18" s="22">
        <f t="shared" si="0"/>
        <v>288</v>
      </c>
      <c r="I18" s="32">
        <v>36.97</v>
      </c>
      <c r="K18" s="9">
        <f t="shared" si="1"/>
        <v>10647.36</v>
      </c>
    </row>
    <row r="19" spans="1:11" x14ac:dyDescent="0.35">
      <c r="A19" t="s">
        <v>249</v>
      </c>
      <c r="C19" s="22">
        <f>4+1+3+2+2+1</f>
        <v>13</v>
      </c>
      <c r="D19" s="23"/>
      <c r="E19" s="23">
        <v>12</v>
      </c>
      <c r="F19" s="23"/>
      <c r="G19" s="22">
        <f t="shared" si="0"/>
        <v>156</v>
      </c>
      <c r="I19" s="32">
        <v>34.36</v>
      </c>
      <c r="K19" s="9">
        <f t="shared" si="1"/>
        <v>5360.16</v>
      </c>
    </row>
    <row r="20" spans="1:11" x14ac:dyDescent="0.35">
      <c r="A20" t="s">
        <v>250</v>
      </c>
      <c r="C20" s="22">
        <v>96</v>
      </c>
      <c r="D20" s="23"/>
      <c r="E20" s="23">
        <v>12</v>
      </c>
      <c r="F20" s="23"/>
      <c r="G20" s="22">
        <f t="shared" si="0"/>
        <v>1152</v>
      </c>
      <c r="I20" s="32">
        <v>34.36</v>
      </c>
      <c r="K20" s="9">
        <f t="shared" si="1"/>
        <v>39582.720000000001</v>
      </c>
    </row>
    <row r="21" spans="1:11" x14ac:dyDescent="0.35">
      <c r="A21" t="s">
        <v>251</v>
      </c>
      <c r="C21" s="22">
        <v>5</v>
      </c>
      <c r="D21" s="23"/>
      <c r="E21" s="23">
        <v>12</v>
      </c>
      <c r="F21" s="23"/>
      <c r="G21" s="22">
        <f t="shared" si="0"/>
        <v>60</v>
      </c>
      <c r="I21" s="32">
        <v>27.49</v>
      </c>
      <c r="K21" s="9">
        <f t="shared" si="1"/>
        <v>1649.3999999999999</v>
      </c>
    </row>
    <row r="22" spans="1:11" ht="15.5" x14ac:dyDescent="0.35">
      <c r="A22" s="4" t="s">
        <v>20</v>
      </c>
      <c r="C22" s="86">
        <f>SUM(C8:C21)</f>
        <v>653</v>
      </c>
      <c r="D22" s="58"/>
      <c r="E22" s="58"/>
      <c r="F22" s="58"/>
      <c r="G22" s="86">
        <f>SUM(G8:G21)</f>
        <v>7836</v>
      </c>
      <c r="H22" s="26"/>
      <c r="I22" s="26"/>
      <c r="J22" s="26"/>
      <c r="K22" s="5">
        <f>SUM(K8:K21)</f>
        <v>336445.91999999993</v>
      </c>
    </row>
    <row r="23" spans="1:11" x14ac:dyDescent="0.35">
      <c r="A23" s="6" t="s">
        <v>252</v>
      </c>
    </row>
    <row r="24" spans="1:11" x14ac:dyDescent="0.35">
      <c r="A24" s="6"/>
    </row>
    <row r="25" spans="1:11" x14ac:dyDescent="0.35">
      <c r="A25" s="87"/>
      <c r="B25" s="87"/>
      <c r="C25" s="88"/>
      <c r="D25" s="88"/>
      <c r="E25" s="88"/>
      <c r="F25" s="88"/>
      <c r="G25" s="88"/>
    </row>
    <row r="26" spans="1:11" ht="19" thickBot="1" x14ac:dyDescent="0.5">
      <c r="A26" s="125" t="s">
        <v>29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 x14ac:dyDescent="0.35">
      <c r="A27" s="6"/>
      <c r="G27" s="19" t="s">
        <v>30</v>
      </c>
      <c r="H27" s="19"/>
      <c r="I27" s="19"/>
      <c r="J27" s="19"/>
      <c r="K27" s="19" t="s">
        <v>21</v>
      </c>
    </row>
    <row r="28" spans="1:11" x14ac:dyDescent="0.35">
      <c r="A28" s="30"/>
      <c r="B28" s="31"/>
      <c r="C28" s="31"/>
      <c r="D28" s="31"/>
      <c r="E28" s="31"/>
      <c r="F28" s="31"/>
      <c r="G28" s="20" t="s">
        <v>253</v>
      </c>
      <c r="H28" s="20"/>
      <c r="I28" s="20" t="s">
        <v>32</v>
      </c>
      <c r="J28" s="20"/>
      <c r="K28" s="20" t="s">
        <v>27</v>
      </c>
    </row>
    <row r="29" spans="1:11" x14ac:dyDescent="0.35">
      <c r="A29" s="21" t="s">
        <v>230</v>
      </c>
      <c r="G29" s="17">
        <f>2899.94+0+1545.93+18.6+37.2+215.63+538.65+324.7+0</f>
        <v>5580.65</v>
      </c>
      <c r="I29" s="32">
        <v>27.43</v>
      </c>
      <c r="K29" s="9">
        <f>G29*I29</f>
        <v>153077.22949999999</v>
      </c>
    </row>
    <row r="30" spans="1:11" ht="15.5" x14ac:dyDescent="0.35">
      <c r="A30" s="87"/>
      <c r="B30" s="88"/>
      <c r="C30" s="88"/>
      <c r="E30" s="4" t="s">
        <v>198</v>
      </c>
      <c r="G30" s="34">
        <f>SUM(G29:G29)</f>
        <v>5580.65</v>
      </c>
      <c r="H30" s="34"/>
      <c r="I30" s="34"/>
      <c r="J30" s="34"/>
      <c r="K30" s="34">
        <f>SUM(K29:K29)</f>
        <v>153077.22949999999</v>
      </c>
    </row>
    <row r="31" spans="1:11" x14ac:dyDescent="0.35">
      <c r="A31" s="6" t="s">
        <v>199</v>
      </c>
      <c r="B31" s="88"/>
      <c r="C31" s="88"/>
    </row>
    <row r="32" spans="1:11" ht="19" thickBot="1" x14ac:dyDescent="0.5">
      <c r="A32" s="125" t="s">
        <v>33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4" spans="1:11" x14ac:dyDescent="0.35">
      <c r="A34" t="s">
        <v>254</v>
      </c>
      <c r="G34" s="3">
        <f>9559+2373+2029+379</f>
        <v>14340</v>
      </c>
    </row>
    <row r="35" spans="1:11" x14ac:dyDescent="0.35">
      <c r="A35" t="s">
        <v>200</v>
      </c>
      <c r="G35" s="3">
        <v>312.5</v>
      </c>
    </row>
    <row r="36" spans="1:11" x14ac:dyDescent="0.35">
      <c r="A36" t="s">
        <v>255</v>
      </c>
      <c r="G36" s="57">
        <v>13</v>
      </c>
    </row>
    <row r="37" spans="1:11" ht="15.5" x14ac:dyDescent="0.35">
      <c r="A37" s="4" t="s">
        <v>37</v>
      </c>
      <c r="G37" s="36">
        <f>SUM(G34:G36)</f>
        <v>14665.5</v>
      </c>
    </row>
    <row r="39" spans="1:11" ht="19" thickBot="1" x14ac:dyDescent="0.5">
      <c r="A39" s="125" t="s">
        <v>4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1" spans="1:11" x14ac:dyDescent="0.35">
      <c r="A41" t="s">
        <v>38</v>
      </c>
      <c r="G41" s="9">
        <f>K22</f>
        <v>336445.91999999993</v>
      </c>
    </row>
    <row r="42" spans="1:11" x14ac:dyDescent="0.35">
      <c r="A42" t="s">
        <v>39</v>
      </c>
      <c r="G42" s="35">
        <f>K30</f>
        <v>153077.22949999999</v>
      </c>
    </row>
    <row r="43" spans="1:11" ht="15.5" x14ac:dyDescent="0.35">
      <c r="A43" s="4" t="s">
        <v>40</v>
      </c>
      <c r="G43" s="36">
        <f>SUM(G41:G42)</f>
        <v>489523.14949999994</v>
      </c>
    </row>
    <row r="44" spans="1:11" ht="15.5" x14ac:dyDescent="0.35">
      <c r="A44" s="4" t="s">
        <v>33</v>
      </c>
      <c r="G44" s="37">
        <f>G37</f>
        <v>14665.5</v>
      </c>
    </row>
    <row r="45" spans="1:11" ht="16" thickBot="1" x14ac:dyDescent="0.4">
      <c r="A45" s="4" t="s">
        <v>4</v>
      </c>
      <c r="G45" s="38">
        <f>SUM(G43:G44)</f>
        <v>504188.64949999994</v>
      </c>
    </row>
    <row r="46" spans="1:11" ht="15" thickTop="1" x14ac:dyDescent="0.35"/>
  </sheetData>
  <mergeCells count="6">
    <mergeCell ref="A39:K39"/>
    <mergeCell ref="A1:K1"/>
    <mergeCell ref="A2:K2"/>
    <mergeCell ref="A4:K4"/>
    <mergeCell ref="A26:K26"/>
    <mergeCell ref="A32:K32"/>
  </mergeCells>
  <pageMargins left="0.7" right="0.7" top="0.75" bottom="0.75" header="0.3" footer="0.3"/>
  <pageSetup scale="89" firstPageNumber="7" orientation="portrait" r:id="rId1"/>
  <headerFooter>
    <oddFooter>&amp;RCase No. WR-2024-0104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6"/>
  <sheetViews>
    <sheetView zoomScaleNormal="100" workbookViewId="0">
      <selection activeCell="M43" sqref="M43"/>
    </sheetView>
  </sheetViews>
  <sheetFormatPr defaultRowHeight="14.5" x14ac:dyDescent="0.35"/>
  <cols>
    <col min="1" max="1" width="27.453125" customWidth="1"/>
    <col min="2" max="2" width="3.1796875" customWidth="1"/>
    <col min="3" max="3" width="12.81640625" customWidth="1"/>
    <col min="4" max="4" width="3.26953125" customWidth="1"/>
    <col min="5" max="5" width="13.54296875" customWidth="1"/>
    <col min="6" max="6" width="3.453125" customWidth="1"/>
    <col min="7" max="7" width="12.453125" customWidth="1"/>
    <col min="8" max="8" width="4.26953125" customWidth="1"/>
    <col min="9" max="9" width="12.7265625" customWidth="1"/>
    <col min="13" max="13" width="12.08984375" bestFit="1" customWidth="1"/>
  </cols>
  <sheetData>
    <row r="1" spans="1:12" ht="21.5" thickBot="1" x14ac:dyDescent="0.55000000000000004">
      <c r="A1" s="133" t="str">
        <f>'Income Statement-Other S'!A1:D1</f>
        <v>Liberty Utilities (Missouri Water), LLC</v>
      </c>
      <c r="B1" s="133"/>
      <c r="C1" s="133"/>
      <c r="D1" s="133"/>
      <c r="E1" s="133"/>
      <c r="F1" s="133"/>
      <c r="G1" s="133"/>
    </row>
    <row r="2" spans="1:12" ht="19.5" thickTop="1" thickBot="1" x14ac:dyDescent="0.5">
      <c r="A2" s="124" t="s">
        <v>267</v>
      </c>
      <c r="B2" s="124"/>
      <c r="C2" s="124"/>
      <c r="D2" s="124"/>
      <c r="E2" s="124"/>
      <c r="F2" s="124"/>
      <c r="G2" s="124"/>
    </row>
    <row r="3" spans="1:12" ht="15" thickTop="1" x14ac:dyDescent="0.35"/>
    <row r="4" spans="1:12" ht="15.5" x14ac:dyDescent="0.35">
      <c r="A4" s="4" t="s">
        <v>42</v>
      </c>
      <c r="B4" s="4"/>
      <c r="C4" s="4"/>
      <c r="D4" s="4"/>
      <c r="E4" s="4"/>
      <c r="F4" s="4"/>
      <c r="G4" s="37">
        <f>'Revenues - Current-Other S'!G43</f>
        <v>489523.14949999994</v>
      </c>
    </row>
    <row r="5" spans="1:12" ht="15.5" x14ac:dyDescent="0.35">
      <c r="A5" s="4" t="s">
        <v>43</v>
      </c>
      <c r="B5" s="4"/>
      <c r="C5" s="4"/>
      <c r="D5" s="4"/>
      <c r="E5" s="4"/>
      <c r="F5" s="4"/>
      <c r="G5" s="36">
        <f>'Income Statement-Other S'!D13</f>
        <v>268193.35050000006</v>
      </c>
    </row>
    <row r="6" spans="1:12" ht="15.5" x14ac:dyDescent="0.35">
      <c r="A6" s="4" t="s">
        <v>44</v>
      </c>
      <c r="B6" s="4"/>
      <c r="C6" s="4"/>
      <c r="D6" s="4"/>
      <c r="E6" s="4"/>
      <c r="F6" s="4"/>
      <c r="G6" s="39">
        <f>G5/G4</f>
        <v>0.54786653251012407</v>
      </c>
    </row>
    <row r="8" spans="1:12" ht="19" thickBot="1" x14ac:dyDescent="0.5">
      <c r="A8" s="125" t="s">
        <v>256</v>
      </c>
      <c r="B8" s="125"/>
      <c r="C8" s="125"/>
      <c r="D8" s="125"/>
      <c r="E8" s="125"/>
      <c r="F8" s="125"/>
      <c r="G8" s="125"/>
    </row>
    <row r="9" spans="1:12" ht="15.5" x14ac:dyDescent="0.35">
      <c r="E9" s="7" t="s">
        <v>46</v>
      </c>
      <c r="F9" s="7"/>
      <c r="G9" s="7" t="s">
        <v>47</v>
      </c>
      <c r="H9" s="51"/>
      <c r="I9" s="51"/>
    </row>
    <row r="10" spans="1:12" ht="15.5" x14ac:dyDescent="0.35">
      <c r="E10" s="7" t="s">
        <v>7</v>
      </c>
      <c r="F10" s="7"/>
      <c r="G10" s="7" t="s">
        <v>7</v>
      </c>
      <c r="H10" s="51"/>
      <c r="I10" s="51"/>
    </row>
    <row r="11" spans="1:12" ht="15.5" x14ac:dyDescent="0.35">
      <c r="A11" s="8" t="s">
        <v>238</v>
      </c>
      <c r="B11" s="8"/>
      <c r="E11" s="8" t="s">
        <v>9</v>
      </c>
      <c r="F11" s="8"/>
      <c r="G11" s="8" t="s">
        <v>9</v>
      </c>
      <c r="H11" s="51"/>
      <c r="I11" s="51"/>
    </row>
    <row r="12" spans="1:12" x14ac:dyDescent="0.35">
      <c r="C12" s="19" t="s">
        <v>18</v>
      </c>
      <c r="D12" s="19"/>
      <c r="E12" s="19"/>
      <c r="F12" s="19"/>
      <c r="G12" s="19"/>
      <c r="H12" s="19"/>
      <c r="I12" s="19"/>
      <c r="J12" s="19"/>
      <c r="K12" s="19"/>
    </row>
    <row r="13" spans="1:12" x14ac:dyDescent="0.35">
      <c r="A13" s="20" t="s">
        <v>238</v>
      </c>
      <c r="B13" s="31"/>
      <c r="C13" s="20" t="s">
        <v>23</v>
      </c>
      <c r="D13" s="20"/>
      <c r="E13" s="20"/>
      <c r="F13" s="20"/>
      <c r="G13" s="20"/>
      <c r="H13" s="80"/>
      <c r="I13" s="80"/>
      <c r="J13" s="80"/>
      <c r="K13" s="80"/>
      <c r="L13" s="51"/>
    </row>
    <row r="14" spans="1:12" x14ac:dyDescent="0.35">
      <c r="A14" s="1" t="s">
        <v>239</v>
      </c>
      <c r="B14" s="1"/>
      <c r="C14" s="119">
        <v>32</v>
      </c>
      <c r="D14" s="104"/>
      <c r="E14" s="120">
        <f>'Revenues - Current-Other S'!I8</f>
        <v>42.16</v>
      </c>
      <c r="F14" s="104"/>
      <c r="G14" s="121">
        <f>I46</f>
        <v>93.000547411124671</v>
      </c>
      <c r="H14" s="51"/>
      <c r="I14" s="53"/>
      <c r="J14" s="51"/>
      <c r="K14" s="64"/>
      <c r="L14" s="51"/>
    </row>
    <row r="15" spans="1:12" x14ac:dyDescent="0.35">
      <c r="A15" s="1" t="s">
        <v>240</v>
      </c>
      <c r="B15" s="1"/>
      <c r="C15" s="119">
        <v>1</v>
      </c>
      <c r="D15" s="104"/>
      <c r="E15" s="120">
        <f>'Revenues - Current-Other S'!I9</f>
        <v>105.39</v>
      </c>
      <c r="F15" s="104"/>
      <c r="G15" s="121">
        <f>I48</f>
        <v>150.66088680602195</v>
      </c>
      <c r="H15" s="51"/>
      <c r="I15" s="53"/>
      <c r="J15" s="51"/>
      <c r="K15" s="64"/>
      <c r="L15" s="51"/>
    </row>
    <row r="16" spans="1:12" x14ac:dyDescent="0.35">
      <c r="A16" s="1" t="s">
        <v>241</v>
      </c>
      <c r="B16" s="1"/>
      <c r="C16" s="119">
        <f>148+5</f>
        <v>153</v>
      </c>
      <c r="D16" s="104"/>
      <c r="E16" s="120">
        <f>'Revenues - Current-Other S'!I10</f>
        <v>37.08</v>
      </c>
      <c r="F16" s="104"/>
      <c r="G16" s="121">
        <f>I37</f>
        <v>86.090506737889484</v>
      </c>
      <c r="H16" s="51"/>
      <c r="I16" s="53"/>
      <c r="J16" s="51"/>
      <c r="K16" s="64"/>
      <c r="L16" s="51"/>
    </row>
    <row r="17" spans="1:12" x14ac:dyDescent="0.35">
      <c r="A17" s="1" t="s">
        <v>242</v>
      </c>
      <c r="B17" s="1"/>
      <c r="C17" s="119">
        <f>0+3</f>
        <v>3</v>
      </c>
      <c r="D17" s="104"/>
      <c r="E17" s="120">
        <f>'Revenues - Current-Other S'!I11</f>
        <v>63.03</v>
      </c>
      <c r="F17" s="104"/>
      <c r="G17" s="121">
        <f>E38*G58</f>
        <v>150.66088680602195</v>
      </c>
      <c r="H17" s="51"/>
      <c r="I17" s="53"/>
      <c r="J17" s="51"/>
      <c r="K17" s="64"/>
      <c r="L17" s="51"/>
    </row>
    <row r="18" spans="1:12" x14ac:dyDescent="0.35">
      <c r="A18" s="1" t="s">
        <v>243</v>
      </c>
      <c r="B18" s="1"/>
      <c r="C18" s="119">
        <f>12+2</f>
        <v>14</v>
      </c>
      <c r="D18" s="104"/>
      <c r="E18" s="120">
        <f>'Revenues - Current-Other S'!I12</f>
        <v>196.51</v>
      </c>
      <c r="F18" s="104"/>
      <c r="G18" s="121">
        <f>I40</f>
        <v>301.33177367090531</v>
      </c>
      <c r="H18" s="51"/>
      <c r="I18" s="53"/>
      <c r="J18" s="51"/>
      <c r="K18" s="64"/>
      <c r="L18" s="51"/>
    </row>
    <row r="19" spans="1:12" x14ac:dyDescent="0.35">
      <c r="A19" s="1" t="s">
        <v>244</v>
      </c>
      <c r="B19" s="1"/>
      <c r="C19" s="119">
        <f>1</f>
        <v>1</v>
      </c>
      <c r="D19" s="104"/>
      <c r="E19" s="120">
        <f>'Revenues - Current-Other S'!I13</f>
        <v>370.76</v>
      </c>
      <c r="F19" s="104"/>
      <c r="G19" s="121">
        <f>I41</f>
        <v>430.46253374830883</v>
      </c>
      <c r="H19" s="51"/>
      <c r="I19" s="53"/>
      <c r="J19" s="51"/>
      <c r="K19" s="64"/>
      <c r="L19" s="51"/>
    </row>
    <row r="20" spans="1:12" x14ac:dyDescent="0.35">
      <c r="A20" s="1" t="s">
        <v>245</v>
      </c>
      <c r="B20" s="1"/>
      <c r="C20" s="119">
        <f>2+0</f>
        <v>2</v>
      </c>
      <c r="D20" s="104"/>
      <c r="E20" s="120">
        <f>'Revenues - Current-Other S'!I14</f>
        <v>37.08</v>
      </c>
      <c r="F20" s="104"/>
      <c r="G20" s="121">
        <f>I36</f>
        <v>86.090506737889484</v>
      </c>
      <c r="H20" s="51"/>
      <c r="I20" s="53"/>
      <c r="J20" s="51"/>
      <c r="K20" s="64"/>
      <c r="L20" s="51"/>
    </row>
    <row r="21" spans="1:12" x14ac:dyDescent="0.35">
      <c r="A21" s="1" t="s">
        <v>273</v>
      </c>
      <c r="B21" s="1"/>
      <c r="C21" s="119">
        <v>165</v>
      </c>
      <c r="D21" s="104"/>
      <c r="E21" s="120">
        <f>'Revenues - Current-Other S'!I15</f>
        <v>36.97</v>
      </c>
      <c r="F21" s="104"/>
      <c r="G21" s="121">
        <f>I53</f>
        <v>93.000547411124671</v>
      </c>
      <c r="H21" s="51"/>
      <c r="I21" s="53"/>
      <c r="J21" s="51"/>
      <c r="K21" s="64"/>
      <c r="L21" s="51"/>
    </row>
    <row r="22" spans="1:12" x14ac:dyDescent="0.35">
      <c r="A22" s="1" t="s">
        <v>246</v>
      </c>
      <c r="B22" s="1"/>
      <c r="C22" s="119">
        <v>5</v>
      </c>
      <c r="D22" s="104"/>
      <c r="E22" s="120">
        <f>'Revenues - Current-Other S'!I16</f>
        <v>46.21</v>
      </c>
      <c r="F22" s="104"/>
      <c r="G22" s="121">
        <f>I46</f>
        <v>93.000547411124671</v>
      </c>
      <c r="H22" s="51"/>
      <c r="I22" s="53"/>
      <c r="J22" s="51"/>
      <c r="K22" s="64"/>
      <c r="L22" s="51"/>
    </row>
    <row r="23" spans="1:12" x14ac:dyDescent="0.35">
      <c r="A23" s="1" t="s">
        <v>247</v>
      </c>
      <c r="B23" s="1"/>
      <c r="C23" s="119">
        <v>139</v>
      </c>
      <c r="D23" s="104"/>
      <c r="E23" s="120">
        <f>'Revenues - Current-Other S'!I17</f>
        <v>46.21</v>
      </c>
      <c r="F23" s="104"/>
      <c r="G23" s="121">
        <f>$I$53</f>
        <v>93.000547411124671</v>
      </c>
      <c r="H23" s="51"/>
      <c r="I23" s="53"/>
      <c r="J23" s="51"/>
      <c r="K23" s="64"/>
      <c r="L23" s="51"/>
    </row>
    <row r="24" spans="1:12" x14ac:dyDescent="0.35">
      <c r="A24" s="1" t="s">
        <v>248</v>
      </c>
      <c r="B24" s="1"/>
      <c r="C24" s="119">
        <v>24</v>
      </c>
      <c r="D24" s="104"/>
      <c r="E24" s="120">
        <f>'Revenues - Current-Other S'!I18</f>
        <v>36.97</v>
      </c>
      <c r="F24" s="104"/>
      <c r="G24" s="121">
        <f>$I$53</f>
        <v>93.000547411124671</v>
      </c>
      <c r="H24" s="51"/>
      <c r="I24" s="53"/>
      <c r="J24" s="51"/>
      <c r="K24" s="64"/>
      <c r="L24" s="51"/>
    </row>
    <row r="25" spans="1:12" x14ac:dyDescent="0.35">
      <c r="A25" s="1" t="s">
        <v>249</v>
      </c>
      <c r="B25" s="1"/>
      <c r="C25" s="119">
        <f>4+1+3+2+2+1</f>
        <v>13</v>
      </c>
      <c r="D25" s="104"/>
      <c r="E25" s="120">
        <f>'Revenues - Current-Other S'!I19</f>
        <v>34.36</v>
      </c>
      <c r="F25" s="104"/>
      <c r="G25" s="121">
        <f>$I$53</f>
        <v>93.000547411124671</v>
      </c>
      <c r="H25" s="51"/>
      <c r="I25" s="53"/>
      <c r="J25" s="51"/>
      <c r="K25" s="64"/>
      <c r="L25" s="51"/>
    </row>
    <row r="26" spans="1:12" x14ac:dyDescent="0.35">
      <c r="A26" s="1" t="s">
        <v>250</v>
      </c>
      <c r="B26" s="1"/>
      <c r="C26" s="119">
        <v>96</v>
      </c>
      <c r="D26" s="104"/>
      <c r="E26" s="120">
        <f>'Revenues - Current-Other S'!I20</f>
        <v>34.36</v>
      </c>
      <c r="F26" s="104"/>
      <c r="G26" s="121">
        <f>$I$53</f>
        <v>93.000547411124671</v>
      </c>
      <c r="H26" s="51"/>
      <c r="I26" s="53"/>
      <c r="J26" s="51"/>
      <c r="K26" s="64"/>
      <c r="L26" s="51"/>
    </row>
    <row r="27" spans="1:12" x14ac:dyDescent="0.35">
      <c r="A27" s="1" t="s">
        <v>251</v>
      </c>
      <c r="B27" s="1"/>
      <c r="C27" s="119">
        <v>5</v>
      </c>
      <c r="D27" s="104"/>
      <c r="E27" s="120">
        <f>'Revenues - Current-Other S'!I21</f>
        <v>27.49</v>
      </c>
      <c r="F27" s="104"/>
      <c r="G27" s="121">
        <f>I53</f>
        <v>93.000547411124671</v>
      </c>
      <c r="H27" s="51"/>
      <c r="I27" s="53"/>
      <c r="J27" s="51"/>
      <c r="K27" s="64"/>
      <c r="L27" s="51"/>
    </row>
    <row r="28" spans="1:12" ht="15.5" x14ac:dyDescent="0.35">
      <c r="A28" s="4" t="s">
        <v>20</v>
      </c>
      <c r="C28" s="86">
        <f>SUM(C14:C27)</f>
        <v>653</v>
      </c>
      <c r="D28" s="58"/>
      <c r="E28" s="58"/>
      <c r="F28" s="58"/>
      <c r="G28" s="86"/>
      <c r="H28" s="51"/>
      <c r="I28" s="51"/>
      <c r="J28" s="51"/>
      <c r="K28" s="13"/>
      <c r="L28" s="51"/>
    </row>
    <row r="29" spans="1:12" x14ac:dyDescent="0.35">
      <c r="A29" s="6" t="s">
        <v>252</v>
      </c>
    </row>
    <row r="31" spans="1:12" ht="15.5" x14ac:dyDescent="0.35">
      <c r="A31" s="1"/>
      <c r="B31" s="1"/>
      <c r="C31" s="100"/>
      <c r="D31" s="100"/>
      <c r="E31" s="100"/>
      <c r="F31" s="1"/>
      <c r="G31" s="100"/>
      <c r="H31" s="100"/>
      <c r="I31" s="100" t="s">
        <v>47</v>
      </c>
    </row>
    <row r="32" spans="1:12" ht="15.5" x14ac:dyDescent="0.35">
      <c r="A32" s="100" t="s">
        <v>7</v>
      </c>
      <c r="B32" s="1"/>
      <c r="C32" s="100" t="s">
        <v>49</v>
      </c>
      <c r="D32" s="100"/>
      <c r="E32" s="100"/>
      <c r="F32" s="1"/>
      <c r="G32" s="100" t="s">
        <v>7</v>
      </c>
      <c r="H32" s="100"/>
      <c r="I32" s="100" t="s">
        <v>7</v>
      </c>
    </row>
    <row r="33" spans="1:15" ht="15.5" x14ac:dyDescent="0.35">
      <c r="A33" s="71" t="s">
        <v>9</v>
      </c>
      <c r="B33" s="71"/>
      <c r="C33" s="71" t="s">
        <v>23</v>
      </c>
      <c r="D33" s="71"/>
      <c r="E33" s="71" t="s">
        <v>50</v>
      </c>
      <c r="F33" s="101"/>
      <c r="G33" s="71" t="s">
        <v>51</v>
      </c>
      <c r="H33" s="71"/>
      <c r="I33" s="71" t="s">
        <v>9</v>
      </c>
    </row>
    <row r="34" spans="1:15" ht="15.5" x14ac:dyDescent="0.35">
      <c r="A34" s="102"/>
      <c r="B34" s="102"/>
      <c r="C34" s="102"/>
      <c r="D34" s="102"/>
      <c r="E34" s="102"/>
      <c r="F34" s="61"/>
      <c r="G34" s="102"/>
      <c r="H34" s="102"/>
      <c r="I34" s="102"/>
    </row>
    <row r="35" spans="1:15" ht="15.5" x14ac:dyDescent="0.35">
      <c r="A35" s="103" t="s">
        <v>271</v>
      </c>
      <c r="B35" s="102"/>
      <c r="C35" s="102"/>
      <c r="D35" s="102"/>
      <c r="E35" s="102"/>
      <c r="F35" s="61"/>
      <c r="G35" s="102"/>
      <c r="H35" s="102"/>
      <c r="I35" s="102"/>
    </row>
    <row r="36" spans="1:15" x14ac:dyDescent="0.35">
      <c r="A36" s="104" t="s">
        <v>53</v>
      </c>
      <c r="B36" s="1"/>
      <c r="C36" s="105">
        <f>SUM(C20)</f>
        <v>2</v>
      </c>
      <c r="D36" s="104"/>
      <c r="E36" s="106">
        <v>1.1162938249332039</v>
      </c>
      <c r="F36" s="1"/>
      <c r="G36" s="107">
        <f>C36*E36</f>
        <v>2.2325876498664079</v>
      </c>
      <c r="H36" s="1"/>
      <c r="I36" s="49">
        <f>E36*G58</f>
        <v>86.090506737889484</v>
      </c>
      <c r="O36" s="98"/>
    </row>
    <row r="37" spans="1:15" x14ac:dyDescent="0.35">
      <c r="A37" s="104" t="s">
        <v>54</v>
      </c>
      <c r="B37" s="1"/>
      <c r="C37" s="107">
        <f>SUM(C16)</f>
        <v>153</v>
      </c>
      <c r="D37" s="104"/>
      <c r="E37" s="106">
        <v>1.1162938249332039</v>
      </c>
      <c r="F37" s="1"/>
      <c r="G37" s="107">
        <f>C37*E37</f>
        <v>170.79295521478019</v>
      </c>
      <c r="H37" s="1"/>
      <c r="I37" s="49">
        <f>E37*G58</f>
        <v>86.090506737889484</v>
      </c>
      <c r="L37" s="24"/>
    </row>
    <row r="38" spans="1:15" x14ac:dyDescent="0.35">
      <c r="A38" s="104" t="s">
        <v>55</v>
      </c>
      <c r="B38" s="1"/>
      <c r="C38" s="107">
        <f>SUM(C17)</f>
        <v>3</v>
      </c>
      <c r="D38" s="104"/>
      <c r="E38" s="106">
        <v>1.9535466101107735</v>
      </c>
      <c r="F38" s="1"/>
      <c r="G38" s="107">
        <f t="shared" ref="G38:G43" si="0">C38*E38</f>
        <v>5.8606398303323202</v>
      </c>
      <c r="H38" s="1"/>
      <c r="I38" s="49">
        <f>E38*G58</f>
        <v>150.66088680602195</v>
      </c>
    </row>
    <row r="39" spans="1:15" x14ac:dyDescent="0.35">
      <c r="A39" s="104" t="s">
        <v>56</v>
      </c>
      <c r="B39" s="1"/>
      <c r="C39" s="107">
        <v>0</v>
      </c>
      <c r="D39" s="104"/>
      <c r="E39" s="106">
        <v>3</v>
      </c>
      <c r="F39" s="1"/>
      <c r="G39" s="107">
        <f t="shared" si="0"/>
        <v>0</v>
      </c>
      <c r="H39" s="1"/>
      <c r="I39" s="49">
        <f>E39*G58</f>
        <v>231.36517863397009</v>
      </c>
    </row>
    <row r="40" spans="1:15" x14ac:dyDescent="0.35">
      <c r="A40" s="104" t="s">
        <v>257</v>
      </c>
      <c r="B40" s="1"/>
      <c r="C40" s="107">
        <f>SUM(C18)</f>
        <v>14</v>
      </c>
      <c r="D40" s="104"/>
      <c r="E40" s="106">
        <v>3.9072228861322142</v>
      </c>
      <c r="F40" s="1"/>
      <c r="G40" s="107">
        <f t="shared" si="0"/>
        <v>54.701120405851</v>
      </c>
      <c r="H40" s="1"/>
      <c r="I40" s="49">
        <f>E40*G58</f>
        <v>301.33177367090531</v>
      </c>
    </row>
    <row r="41" spans="1:15" x14ac:dyDescent="0.35">
      <c r="A41" s="104" t="s">
        <v>58</v>
      </c>
      <c r="B41" s="1"/>
      <c r="C41" s="107">
        <f>SUM(C19)</f>
        <v>1</v>
      </c>
      <c r="D41" s="104"/>
      <c r="E41" s="106">
        <v>5.5815987905766864</v>
      </c>
      <c r="F41" s="1"/>
      <c r="G41" s="107">
        <f t="shared" si="0"/>
        <v>5.5815987905766864</v>
      </c>
      <c r="H41" s="1"/>
      <c r="I41" s="49">
        <f>E41*G58</f>
        <v>430.46253374830883</v>
      </c>
    </row>
    <row r="42" spans="1:15" x14ac:dyDescent="0.35">
      <c r="A42" s="104" t="s">
        <v>258</v>
      </c>
      <c r="B42" s="1"/>
      <c r="C42" s="108">
        <v>0</v>
      </c>
      <c r="D42" s="104"/>
      <c r="E42" s="106">
        <v>11.157</v>
      </c>
      <c r="F42" s="1"/>
      <c r="G42" s="108">
        <f t="shared" si="0"/>
        <v>0</v>
      </c>
      <c r="H42" s="1"/>
      <c r="I42" s="49">
        <f>E42*G58</f>
        <v>860.44709933973479</v>
      </c>
    </row>
    <row r="43" spans="1:15" x14ac:dyDescent="0.35">
      <c r="A43" s="109" t="s">
        <v>61</v>
      </c>
      <c r="B43" s="61"/>
      <c r="C43" s="108">
        <v>0</v>
      </c>
      <c r="D43" s="109"/>
      <c r="E43" s="110">
        <v>1.1162938249332039</v>
      </c>
      <c r="F43" s="61"/>
      <c r="G43" s="108">
        <f t="shared" si="0"/>
        <v>0</v>
      </c>
      <c r="H43" s="61"/>
      <c r="I43" s="69">
        <f>E43*$G$58</f>
        <v>86.090506737889484</v>
      </c>
    </row>
    <row r="44" spans="1:15" x14ac:dyDescent="0.35">
      <c r="A44" s="109"/>
      <c r="B44" s="61"/>
      <c r="C44" s="108"/>
      <c r="D44" s="109"/>
      <c r="E44" s="109"/>
      <c r="F44" s="61"/>
      <c r="G44" s="108"/>
      <c r="H44" s="61"/>
      <c r="I44" s="49"/>
    </row>
    <row r="45" spans="1:15" x14ac:dyDescent="0.35">
      <c r="A45" s="103" t="s">
        <v>272</v>
      </c>
      <c r="B45" s="61"/>
      <c r="C45" s="108"/>
      <c r="D45" s="109"/>
      <c r="E45" s="109"/>
      <c r="F45" s="61"/>
      <c r="G45" s="108"/>
      <c r="H45" s="61"/>
      <c r="I45" s="49"/>
    </row>
    <row r="46" spans="1:15" x14ac:dyDescent="0.35">
      <c r="A46" s="104" t="s">
        <v>53</v>
      </c>
      <c r="B46" s="61"/>
      <c r="C46" s="108">
        <f>C14+C22</f>
        <v>37</v>
      </c>
      <c r="D46" s="109"/>
      <c r="E46" s="111">
        <v>1.2058929692041813</v>
      </c>
      <c r="F46" s="61"/>
      <c r="G46" s="107">
        <f t="shared" ref="G46:G53" si="1">C46*E46</f>
        <v>44.61803986055471</v>
      </c>
      <c r="H46" s="61"/>
      <c r="I46" s="49">
        <f t="shared" ref="I46:I53" si="2">E46*$G$58</f>
        <v>93.000547411124671</v>
      </c>
    </row>
    <row r="47" spans="1:15" x14ac:dyDescent="0.35">
      <c r="A47" s="104" t="s">
        <v>54</v>
      </c>
      <c r="B47" s="61"/>
      <c r="C47" s="108">
        <v>0</v>
      </c>
      <c r="D47" s="109"/>
      <c r="E47" s="111">
        <v>1.2058929692041813</v>
      </c>
      <c r="F47" s="61"/>
      <c r="G47" s="107">
        <f t="shared" si="1"/>
        <v>0</v>
      </c>
      <c r="H47" s="61"/>
      <c r="I47" s="49">
        <f t="shared" si="2"/>
        <v>93.000547411124671</v>
      </c>
    </row>
    <row r="48" spans="1:15" x14ac:dyDescent="0.35">
      <c r="A48" s="104" t="s">
        <v>55</v>
      </c>
      <c r="B48" s="61"/>
      <c r="C48" s="108">
        <f>C15</f>
        <v>1</v>
      </c>
      <c r="D48" s="109"/>
      <c r="E48" s="111">
        <v>1.9535466101107735</v>
      </c>
      <c r="F48" s="61"/>
      <c r="G48" s="107">
        <f t="shared" si="1"/>
        <v>1.9535466101107735</v>
      </c>
      <c r="H48" s="61"/>
      <c r="I48" s="49">
        <f t="shared" si="2"/>
        <v>150.66088680602195</v>
      </c>
    </row>
    <row r="49" spans="1:15" x14ac:dyDescent="0.35">
      <c r="A49" s="104" t="s">
        <v>56</v>
      </c>
      <c r="B49" s="61"/>
      <c r="C49" s="108">
        <v>0</v>
      </c>
      <c r="D49" s="109"/>
      <c r="E49" s="111">
        <v>3.35</v>
      </c>
      <c r="F49" s="61"/>
      <c r="G49" s="107">
        <f t="shared" si="1"/>
        <v>0</v>
      </c>
      <c r="H49" s="61"/>
      <c r="I49" s="49">
        <f t="shared" si="2"/>
        <v>258.35778280793329</v>
      </c>
    </row>
    <row r="50" spans="1:15" x14ac:dyDescent="0.35">
      <c r="A50" s="104" t="s">
        <v>257</v>
      </c>
      <c r="B50" s="61"/>
      <c r="C50" s="108">
        <v>0</v>
      </c>
      <c r="D50" s="109"/>
      <c r="E50" s="111">
        <v>3.9072228861322142</v>
      </c>
      <c r="F50" s="61"/>
      <c r="G50" s="107">
        <f t="shared" si="1"/>
        <v>0</v>
      </c>
      <c r="H50" s="61"/>
      <c r="I50" s="49">
        <f t="shared" si="2"/>
        <v>301.33177367090531</v>
      </c>
    </row>
    <row r="51" spans="1:15" x14ac:dyDescent="0.35">
      <c r="A51" s="104" t="s">
        <v>58</v>
      </c>
      <c r="B51" s="61"/>
      <c r="C51" s="108">
        <v>0</v>
      </c>
      <c r="D51" s="109"/>
      <c r="E51" s="111">
        <v>5.5815987905766864</v>
      </c>
      <c r="F51" s="61"/>
      <c r="G51" s="107">
        <f t="shared" si="1"/>
        <v>0</v>
      </c>
      <c r="H51" s="61"/>
      <c r="I51" s="49">
        <f t="shared" si="2"/>
        <v>430.46253374830883</v>
      </c>
    </row>
    <row r="52" spans="1:15" x14ac:dyDescent="0.35">
      <c r="A52" s="104" t="s">
        <v>258</v>
      </c>
      <c r="B52" s="61"/>
      <c r="C52" s="108">
        <v>0</v>
      </c>
      <c r="D52" s="109"/>
      <c r="E52" s="111">
        <v>11.157</v>
      </c>
      <c r="F52" s="61"/>
      <c r="G52" s="107">
        <f t="shared" si="1"/>
        <v>0</v>
      </c>
      <c r="H52" s="61"/>
      <c r="I52" s="49">
        <f t="shared" si="2"/>
        <v>860.44709933973479</v>
      </c>
    </row>
    <row r="53" spans="1:15" x14ac:dyDescent="0.35">
      <c r="A53" s="109" t="s">
        <v>61</v>
      </c>
      <c r="B53" s="61"/>
      <c r="C53" s="112">
        <f>C21+C23+C24+C25+C26+C27</f>
        <v>442</v>
      </c>
      <c r="D53" s="109"/>
      <c r="E53" s="111">
        <v>1.2058929692041813</v>
      </c>
      <c r="F53" s="61"/>
      <c r="G53" s="112">
        <f t="shared" si="1"/>
        <v>533.00469238824815</v>
      </c>
      <c r="H53" s="61"/>
      <c r="I53" s="49">
        <f t="shared" si="2"/>
        <v>93.000547411124671</v>
      </c>
    </row>
    <row r="54" spans="1:15" x14ac:dyDescent="0.35">
      <c r="A54" s="1"/>
      <c r="B54" s="1"/>
      <c r="C54" s="113">
        <f>SUM(C36:C53)</f>
        <v>653</v>
      </c>
      <c r="D54" s="1"/>
      <c r="E54" s="1"/>
      <c r="F54" s="1"/>
      <c r="G54" s="107">
        <f>SUM(G36:G53)</f>
        <v>818.74518075032029</v>
      </c>
      <c r="H54" s="1"/>
      <c r="I54" s="114"/>
    </row>
    <row r="55" spans="1:15" x14ac:dyDescent="0.35">
      <c r="A55" s="1"/>
      <c r="B55" s="1"/>
      <c r="C55" s="115"/>
      <c r="D55" s="1"/>
      <c r="E55" s="1"/>
      <c r="F55" s="1"/>
      <c r="G55" s="1"/>
      <c r="H55" s="1"/>
      <c r="I55" s="1"/>
    </row>
    <row r="56" spans="1:15" x14ac:dyDescent="0.35">
      <c r="A56" s="1"/>
      <c r="B56" s="1"/>
      <c r="C56" s="1"/>
      <c r="D56" s="1"/>
      <c r="E56" s="134" t="s">
        <v>259</v>
      </c>
      <c r="F56" s="1"/>
      <c r="G56" s="1"/>
      <c r="H56" s="1"/>
      <c r="I56" s="1"/>
    </row>
    <row r="57" spans="1:15" x14ac:dyDescent="0.35">
      <c r="A57" s="1"/>
      <c r="B57" s="1"/>
      <c r="C57" s="1"/>
      <c r="D57" s="1"/>
      <c r="E57" s="134"/>
      <c r="F57" s="1"/>
      <c r="G57" s="1"/>
      <c r="H57" s="1"/>
      <c r="I57" s="1"/>
    </row>
    <row r="58" spans="1:15" x14ac:dyDescent="0.35">
      <c r="A58" s="44" t="s">
        <v>62</v>
      </c>
      <c r="B58" s="1"/>
      <c r="C58" s="1"/>
      <c r="D58" s="1"/>
      <c r="E58" s="45">
        <f>'Income Statement-Other S'!D12</f>
        <v>757716.5</v>
      </c>
      <c r="F58" s="1"/>
      <c r="G58" s="46">
        <f>E58/12/G54</f>
        <v>77.121726211323363</v>
      </c>
      <c r="H58" s="1"/>
      <c r="I58" s="1"/>
      <c r="N58" s="24"/>
    </row>
    <row r="59" spans="1:15" s="51" customFormat="1" x14ac:dyDescent="0.35">
      <c r="A59" s="76"/>
      <c r="E59" s="54"/>
      <c r="G59" s="90"/>
    </row>
    <row r="60" spans="1:15" s="51" customFormat="1" ht="15.5" x14ac:dyDescent="0.35">
      <c r="C60" s="67"/>
      <c r="D60" s="67"/>
      <c r="E60" s="67"/>
      <c r="I60" s="99"/>
      <c r="M60" s="90"/>
      <c r="O60" s="99"/>
    </row>
    <row r="61" spans="1:15" s="51" customFormat="1" ht="15.5" x14ac:dyDescent="0.35">
      <c r="A61" s="67"/>
      <c r="C61" s="67"/>
      <c r="D61" s="67"/>
      <c r="E61" s="67"/>
      <c r="I61" s="99"/>
      <c r="O61" s="99"/>
    </row>
    <row r="62" spans="1:15" s="51" customFormat="1" ht="15.5" x14ac:dyDescent="0.35">
      <c r="A62" s="67"/>
      <c r="B62" s="67"/>
      <c r="C62" s="67"/>
      <c r="D62" s="67"/>
      <c r="E62" s="67"/>
      <c r="I62" s="99"/>
      <c r="O62" s="99"/>
    </row>
    <row r="63" spans="1:15" s="51" customFormat="1" x14ac:dyDescent="0.35">
      <c r="A63" s="89"/>
      <c r="C63" s="40"/>
      <c r="E63" s="53"/>
      <c r="G63" s="61"/>
      <c r="I63" s="99"/>
      <c r="O63" s="99"/>
    </row>
    <row r="64" spans="1:15" s="51" customFormat="1" x14ac:dyDescent="0.35">
      <c r="N64" s="61"/>
      <c r="O64" s="99"/>
    </row>
    <row r="65" spans="1:7" s="51" customFormat="1" x14ac:dyDescent="0.35"/>
    <row r="66" spans="1:7" s="51" customFormat="1" x14ac:dyDescent="0.35">
      <c r="A66" s="76"/>
      <c r="E66" s="54"/>
      <c r="G66" s="90"/>
    </row>
  </sheetData>
  <mergeCells count="4">
    <mergeCell ref="A1:G1"/>
    <mergeCell ref="A2:G2"/>
    <mergeCell ref="A8:G8"/>
    <mergeCell ref="E56:E57"/>
  </mergeCells>
  <pageMargins left="0.7" right="0.7" top="0.75" bottom="0.75" header="0.3" footer="0.3"/>
  <pageSetup scale="97" firstPageNumber="8" orientation="portrait" r:id="rId1"/>
  <headerFooter>
    <oddFooter>&amp;RCase No. WR-2024-0104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39"/>
  <sheetViews>
    <sheetView zoomScale="130" zoomScaleNormal="130" workbookViewId="0">
      <selection activeCell="A15" sqref="A15"/>
    </sheetView>
  </sheetViews>
  <sheetFormatPr defaultRowHeight="14.5" x14ac:dyDescent="0.35"/>
  <cols>
    <col min="1" max="1" width="31.1796875" customWidth="1"/>
    <col min="2" max="2" width="2.453125" customWidth="1"/>
    <col min="3" max="3" width="11.453125" customWidth="1"/>
    <col min="4" max="4" width="2.26953125" customWidth="1"/>
    <col min="5" max="5" width="10.54296875" bestFit="1" customWidth="1"/>
    <col min="6" max="6" width="2.453125" customWidth="1"/>
    <col min="7" max="7" width="12.7265625" bestFit="1" customWidth="1"/>
    <col min="8" max="8" width="2.453125" customWidth="1"/>
    <col min="9" max="9" width="13.1796875" customWidth="1"/>
    <col min="10" max="10" width="2.453125" customWidth="1"/>
    <col min="12" max="12" width="2.26953125" customWidth="1"/>
    <col min="18" max="18" width="11.08984375" bestFit="1" customWidth="1"/>
    <col min="20" max="20" width="12.6328125" bestFit="1" customWidth="1"/>
  </cols>
  <sheetData>
    <row r="1" spans="1:20" ht="21.5" thickBot="1" x14ac:dyDescent="0.55000000000000004">
      <c r="A1" s="123" t="str">
        <f>'Income Statement-Other S'!A1:D1</f>
        <v>Liberty Utilities (Missouri Water), LLC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0" ht="19.5" thickTop="1" thickBot="1" x14ac:dyDescent="0.5">
      <c r="A2" s="124" t="s">
        <v>268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20" ht="15" thickTop="1" x14ac:dyDescent="0.35"/>
    <row r="4" spans="1:20" ht="19" thickBot="1" x14ac:dyDescent="0.5">
      <c r="A4" s="125" t="s">
        <v>15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6" spans="1:20" ht="15.5" x14ac:dyDescent="0.35">
      <c r="A6" s="7" t="s">
        <v>260</v>
      </c>
      <c r="C6" s="7" t="s">
        <v>65</v>
      </c>
      <c r="D6" s="7"/>
      <c r="E6" s="7"/>
      <c r="F6" s="7"/>
      <c r="G6" s="7" t="s">
        <v>21</v>
      </c>
    </row>
    <row r="7" spans="1:20" ht="15.5" x14ac:dyDescent="0.35">
      <c r="A7" s="8" t="s">
        <v>261</v>
      </c>
      <c r="B7" s="31"/>
      <c r="C7" s="8" t="s">
        <v>23</v>
      </c>
      <c r="D7" s="8"/>
      <c r="E7" s="8" t="s">
        <v>32</v>
      </c>
      <c r="F7" s="8"/>
      <c r="G7" s="8" t="s">
        <v>27</v>
      </c>
      <c r="H7" s="31"/>
      <c r="I7" s="31"/>
      <c r="J7" s="31"/>
      <c r="K7" s="31"/>
      <c r="L7" s="31"/>
      <c r="M7" s="31"/>
    </row>
    <row r="8" spans="1:20" x14ac:dyDescent="0.35">
      <c r="A8" s="23" t="str">
        <f>'Rate Design-Other S'!A14</f>
        <v>Valley Woods 5/8"</v>
      </c>
      <c r="C8" s="23">
        <f>'Rate Design-Other S'!C14</f>
        <v>32</v>
      </c>
      <c r="E8" s="32">
        <f>'Rate Design-Other S'!G14</f>
        <v>93.000547411124671</v>
      </c>
      <c r="G8" s="9">
        <f>C8*E8*12</f>
        <v>35712.210205871874</v>
      </c>
      <c r="H8" s="51"/>
      <c r="I8" s="51"/>
      <c r="J8" s="51"/>
      <c r="K8" s="51"/>
      <c r="L8" s="51"/>
      <c r="M8" s="51"/>
    </row>
    <row r="9" spans="1:20" x14ac:dyDescent="0.35">
      <c r="A9" s="23" t="str">
        <f>'Rate Design-Other S'!A15</f>
        <v>Valley Woods 1"</v>
      </c>
      <c r="C9" s="23">
        <f>'Rate Design-Other S'!C15</f>
        <v>1</v>
      </c>
      <c r="E9" s="32">
        <f>'Rate Design-Other S'!G15</f>
        <v>150.66088680602195</v>
      </c>
      <c r="G9" s="9">
        <f t="shared" ref="G9:G21" si="0">C9*E9*12</f>
        <v>1807.9306416722634</v>
      </c>
      <c r="H9" s="51"/>
      <c r="I9" s="51"/>
      <c r="J9" s="51"/>
      <c r="K9" s="51"/>
      <c r="L9" s="51"/>
      <c r="M9" s="51"/>
    </row>
    <row r="10" spans="1:20" x14ac:dyDescent="0.35">
      <c r="A10" s="23" t="str">
        <f>'Rate Design-Other S'!A16</f>
        <v>Silverleaf 3/4"</v>
      </c>
      <c r="C10" s="23">
        <f>'Rate Design-Other S'!C16</f>
        <v>153</v>
      </c>
      <c r="E10" s="32">
        <f>'Rate Design-Other S'!G16</f>
        <v>86.090506737889484</v>
      </c>
      <c r="G10" s="9">
        <f t="shared" si="0"/>
        <v>158062.17037076509</v>
      </c>
      <c r="H10" s="51"/>
      <c r="I10" s="51"/>
      <c r="J10" s="51"/>
      <c r="K10" s="51"/>
      <c r="L10" s="51"/>
      <c r="M10" s="51"/>
    </row>
    <row r="11" spans="1:20" x14ac:dyDescent="0.35">
      <c r="A11" s="23" t="str">
        <f>'Rate Design-Other S'!A17</f>
        <v>Silverleaf 1"</v>
      </c>
      <c r="C11" s="23">
        <f>'Rate Design-Other S'!C17</f>
        <v>3</v>
      </c>
      <c r="E11" s="32">
        <f>'Rate Design-Other S'!G17</f>
        <v>150.66088680602195</v>
      </c>
      <c r="G11" s="9">
        <f t="shared" si="0"/>
        <v>5423.7919250167906</v>
      </c>
      <c r="H11" s="51"/>
      <c r="I11" s="51"/>
      <c r="J11" s="51"/>
      <c r="K11" s="51"/>
      <c r="L11" s="51"/>
      <c r="M11" s="51"/>
      <c r="R11" s="17"/>
      <c r="T11" s="17"/>
    </row>
    <row r="12" spans="1:20" x14ac:dyDescent="0.35">
      <c r="A12" s="23" t="str">
        <f>'Rate Design-Other S'!A18</f>
        <v>Silverleaf 2"</v>
      </c>
      <c r="C12" s="23">
        <f>'Rate Design-Other S'!C18</f>
        <v>14</v>
      </c>
      <c r="E12" s="32">
        <f>'Rate Design-Other S'!G18</f>
        <v>301.33177367090531</v>
      </c>
      <c r="G12" s="9">
        <f t="shared" si="0"/>
        <v>50623.737976712087</v>
      </c>
      <c r="H12" s="51"/>
      <c r="I12" s="51"/>
      <c r="J12" s="51"/>
      <c r="K12" s="51"/>
      <c r="L12" s="51"/>
      <c r="M12" s="51"/>
      <c r="R12" s="17"/>
      <c r="T12" s="17"/>
    </row>
    <row r="13" spans="1:20" x14ac:dyDescent="0.35">
      <c r="A13" s="23" t="str">
        <f>'Rate Design-Other S'!A19</f>
        <v>Silverleaf 3"</v>
      </c>
      <c r="C13" s="23">
        <f>'Rate Design-Other S'!C19</f>
        <v>1</v>
      </c>
      <c r="E13" s="32">
        <f>'Rate Design-Other S'!G19</f>
        <v>430.46253374830883</v>
      </c>
      <c r="G13" s="9">
        <f t="shared" si="0"/>
        <v>5165.5504049797055</v>
      </c>
      <c r="H13" s="51"/>
      <c r="I13" s="51"/>
      <c r="J13" s="51"/>
      <c r="K13" s="51"/>
      <c r="L13" s="51"/>
      <c r="M13" s="51"/>
      <c r="R13" s="122"/>
      <c r="T13" s="17"/>
    </row>
    <row r="14" spans="1:20" x14ac:dyDescent="0.35">
      <c r="A14" s="23" t="str">
        <f>'Rate Design-Other S'!A20</f>
        <v>Silverleaf 5/8"</v>
      </c>
      <c r="C14" s="23">
        <f>'Rate Design-Other S'!C20</f>
        <v>2</v>
      </c>
      <c r="E14" s="32">
        <f>'Rate Design-Other S'!G20</f>
        <v>86.090506737889484</v>
      </c>
      <c r="G14" s="9">
        <f t="shared" si="0"/>
        <v>2066.1721617093476</v>
      </c>
      <c r="H14" s="51"/>
      <c r="I14" s="51"/>
      <c r="J14" s="51"/>
      <c r="K14" s="51"/>
      <c r="L14" s="51"/>
      <c r="M14" s="51"/>
      <c r="R14" s="122"/>
    </row>
    <row r="15" spans="1:20" x14ac:dyDescent="0.35">
      <c r="A15" s="23" t="s">
        <v>273</v>
      </c>
      <c r="C15" s="23">
        <f>'Rate Design-Other S'!C21</f>
        <v>165</v>
      </c>
      <c r="E15" s="32">
        <f>'Rate Design-Other S'!G21</f>
        <v>93.000547411124671</v>
      </c>
      <c r="G15" s="9">
        <f t="shared" si="0"/>
        <v>184141.08387402684</v>
      </c>
      <c r="H15" s="51"/>
      <c r="I15" s="51"/>
      <c r="J15" s="51"/>
      <c r="K15" s="51"/>
      <c r="L15" s="51"/>
      <c r="M15" s="51"/>
      <c r="R15" s="122"/>
    </row>
    <row r="16" spans="1:20" x14ac:dyDescent="0.35">
      <c r="A16" s="23" t="str">
        <f>'Rate Design-Other S'!A22</f>
        <v>KMB 5/8"</v>
      </c>
      <c r="C16" s="23">
        <f>'Rate Design-Other S'!C22</f>
        <v>5</v>
      </c>
      <c r="E16" s="32">
        <f>'Rate Design-Other S'!G22</f>
        <v>93.000547411124671</v>
      </c>
      <c r="G16" s="9">
        <f t="shared" si="0"/>
        <v>5580.0328446674803</v>
      </c>
      <c r="H16" s="51"/>
      <c r="I16" s="51"/>
      <c r="J16" s="51"/>
      <c r="K16" s="51"/>
      <c r="L16" s="51"/>
      <c r="M16" s="51"/>
    </row>
    <row r="17" spans="1:13" x14ac:dyDescent="0.35">
      <c r="A17" s="23" t="str">
        <f>'Rate Design-Other S'!A23</f>
        <v>KMB No Meter Single Family</v>
      </c>
      <c r="C17" s="23">
        <f>'Rate Design-Other S'!C23</f>
        <v>139</v>
      </c>
      <c r="E17" s="32">
        <f>'Rate Design-Other S'!G23</f>
        <v>93.000547411124671</v>
      </c>
      <c r="G17" s="9">
        <f>C17*E17*12</f>
        <v>155124.91308175595</v>
      </c>
      <c r="H17" s="51"/>
      <c r="I17" s="51"/>
      <c r="J17" s="51"/>
      <c r="K17" s="51"/>
      <c r="L17" s="51"/>
      <c r="M17" s="51"/>
    </row>
    <row r="18" spans="1:13" x14ac:dyDescent="0.35">
      <c r="A18" s="23" t="str">
        <f>'Rate Design-Other S'!A24</f>
        <v>KMB No Meter Multi Family</v>
      </c>
      <c r="C18" s="23">
        <f>'Rate Design-Other S'!C24</f>
        <v>24</v>
      </c>
      <c r="E18" s="32">
        <f>'Rate Design-Other S'!G24</f>
        <v>93.000547411124671</v>
      </c>
      <c r="G18" s="9">
        <f t="shared" si="0"/>
        <v>26784.157654403905</v>
      </c>
    </row>
    <row r="19" spans="1:13" x14ac:dyDescent="0.35">
      <c r="A19" s="23" t="str">
        <f>'Rate Design-Other S'!A25</f>
        <v>RD Sewer Metered</v>
      </c>
      <c r="C19" s="23">
        <f>'Rate Design-Other S'!C25</f>
        <v>13</v>
      </c>
      <c r="E19" s="32">
        <f>'Rate Design-Other S'!G25</f>
        <v>93.000547411124671</v>
      </c>
      <c r="G19" s="9">
        <f t="shared" si="0"/>
        <v>14508.085396135448</v>
      </c>
    </row>
    <row r="20" spans="1:13" x14ac:dyDescent="0.35">
      <c r="A20" s="23" t="str">
        <f>'Rate Design-Other S'!A26</f>
        <v>RD Sewer No Meter Single Family</v>
      </c>
      <c r="C20" s="23">
        <f>'Rate Design-Other S'!C26</f>
        <v>96</v>
      </c>
      <c r="E20" s="32">
        <f>'Rate Design-Other S'!G26</f>
        <v>93.000547411124671</v>
      </c>
      <c r="G20" s="9">
        <f t="shared" si="0"/>
        <v>107136.63061761562</v>
      </c>
    </row>
    <row r="21" spans="1:13" x14ac:dyDescent="0.35">
      <c r="A21" s="23" t="str">
        <f>'Rate Design-Other S'!A27</f>
        <v>RD Sewer No Meter Multi Family</v>
      </c>
      <c r="C21" s="23">
        <f>'Rate Design-Other S'!C27</f>
        <v>5</v>
      </c>
      <c r="E21" s="32">
        <f>'Rate Design-Other S'!G27</f>
        <v>93.000547411124671</v>
      </c>
      <c r="G21" s="9">
        <f t="shared" si="0"/>
        <v>5580.0328446674803</v>
      </c>
    </row>
    <row r="22" spans="1:13" ht="15.5" x14ac:dyDescent="0.35">
      <c r="A22" s="58" t="s">
        <v>20</v>
      </c>
      <c r="B22" s="26"/>
      <c r="C22" s="26">
        <f>SUM(C8:C21)</f>
        <v>653</v>
      </c>
      <c r="D22" s="26"/>
      <c r="E22" s="26"/>
      <c r="F22" s="26"/>
      <c r="G22" s="5">
        <f>SUM(G8:G21)</f>
        <v>757716.49999999988</v>
      </c>
    </row>
    <row r="24" spans="1:13" ht="19" thickBot="1" x14ac:dyDescent="0.5">
      <c r="A24" s="125" t="s">
        <v>33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6" spans="1:13" ht="15.5" x14ac:dyDescent="0.35">
      <c r="A26" s="4" t="s">
        <v>37</v>
      </c>
      <c r="G26" s="13">
        <f>'Revenues - Current-Other S'!G37</f>
        <v>14665.5</v>
      </c>
    </row>
    <row r="28" spans="1:13" ht="19" thickBot="1" x14ac:dyDescent="0.5">
      <c r="A28" s="125" t="s">
        <v>4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30" spans="1:13" ht="15.5" x14ac:dyDescent="0.35">
      <c r="A30" s="4" t="s">
        <v>40</v>
      </c>
      <c r="I30" s="37">
        <f>G22</f>
        <v>757716.49999999988</v>
      </c>
    </row>
    <row r="31" spans="1:13" ht="15.5" x14ac:dyDescent="0.35">
      <c r="A31" s="4" t="s">
        <v>33</v>
      </c>
      <c r="I31" s="37">
        <f>G26</f>
        <v>14665.5</v>
      </c>
    </row>
    <row r="32" spans="1:13" ht="16" thickBot="1" x14ac:dyDescent="0.4">
      <c r="A32" s="4" t="s">
        <v>68</v>
      </c>
      <c r="I32" s="38">
        <f>SUM(I30:I31)</f>
        <v>772381.99999999988</v>
      </c>
    </row>
    <row r="33" spans="1:13" ht="15" thickTop="1" x14ac:dyDescent="0.35"/>
    <row r="34" spans="1:13" x14ac:dyDescent="0.35">
      <c r="A34" s="129" t="s">
        <v>69</v>
      </c>
      <c r="B34" s="129"/>
      <c r="C34" s="129"/>
      <c r="D34" s="129"/>
      <c r="E34" s="129"/>
      <c r="F34" s="129"/>
      <c r="G34" s="129"/>
    </row>
    <row r="35" spans="1:13" x14ac:dyDescent="0.35">
      <c r="A35" s="6" t="s">
        <v>68</v>
      </c>
      <c r="G35" s="9">
        <f>I32</f>
        <v>772381.99999999988</v>
      </c>
    </row>
    <row r="36" spans="1:13" x14ac:dyDescent="0.35">
      <c r="A36" s="6" t="s">
        <v>70</v>
      </c>
      <c r="G36" s="9">
        <f>'Revenues - Current-Other S'!G45</f>
        <v>504188.64949999994</v>
      </c>
    </row>
    <row r="37" spans="1:13" x14ac:dyDescent="0.35">
      <c r="A37" s="6" t="s">
        <v>71</v>
      </c>
      <c r="G37" s="63">
        <f>G35-G36</f>
        <v>268193.35049999994</v>
      </c>
    </row>
    <row r="38" spans="1:13" x14ac:dyDescent="0.35">
      <c r="A38" s="6" t="s">
        <v>72</v>
      </c>
      <c r="G38" s="35">
        <f>'Income Statement-Other S'!D13</f>
        <v>268193.35050000006</v>
      </c>
    </row>
    <row r="39" spans="1:13" x14ac:dyDescent="0.35">
      <c r="K39" s="65"/>
      <c r="L39" s="66"/>
      <c r="M39" s="66"/>
    </row>
  </sheetData>
  <mergeCells count="6">
    <mergeCell ref="A34:G34"/>
    <mergeCell ref="A1:M1"/>
    <mergeCell ref="A2:M2"/>
    <mergeCell ref="A4:M4"/>
    <mergeCell ref="A24:M24"/>
    <mergeCell ref="A28:M28"/>
  </mergeCells>
  <pageMargins left="0.7" right="0.7" top="0.75" bottom="0.75" header="0.3" footer="0.3"/>
  <pageSetup scale="84" firstPageNumber="9" orientation="portrait" r:id="rId1"/>
  <headerFooter>
    <oddFooter>&amp;RCase No. WR-2024-0104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Income Statement</vt:lpstr>
      <vt:lpstr>Revenues - Current Rates</vt:lpstr>
      <vt:lpstr>Rate Design</vt:lpstr>
      <vt:lpstr>Revenues - Proposed Rates</vt:lpstr>
      <vt:lpstr>Bill Comparison</vt:lpstr>
      <vt:lpstr>Income Statement-Other S</vt:lpstr>
      <vt:lpstr>Revenues - Current-Other S</vt:lpstr>
      <vt:lpstr>Rate Design-Other S</vt:lpstr>
      <vt:lpstr>Revenues - Proposed-Other S</vt:lpstr>
      <vt:lpstr>Bill Comparison-Other S</vt:lpstr>
      <vt:lpstr>'Revenues - Proposed Rates'!Print_Area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Marek, Melanie</dc:creator>
  <cp:lastModifiedBy>Brooke Prier</cp:lastModifiedBy>
  <cp:lastPrinted>2024-11-15T16:12:50Z</cp:lastPrinted>
  <dcterms:created xsi:type="dcterms:W3CDTF">2024-10-17T12:24:43Z</dcterms:created>
  <dcterms:modified xsi:type="dcterms:W3CDTF">2024-12-06T17:27:03Z</dcterms:modified>
</cp:coreProperties>
</file>