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aughd\Desktop\"/>
    </mc:Choice>
  </mc:AlternateContent>
  <xr:revisionPtr revIDLastSave="0" documentId="8_{B3138EFB-ABE5-4082-843F-07410FDF5324}" xr6:coauthVersionLast="36" xr6:coauthVersionMax="36" xr10:uidLastSave="{00000000-0000-0000-0000-000000000000}"/>
  <bookViews>
    <workbookView xWindow="0" yWindow="0" windowWidth="20490" windowHeight="8790" tabRatio="853" xr2:uid="{00000000-000D-0000-FFFF-FFFF00000000}"/>
  </bookViews>
  <sheets>
    <sheet name="Income Statement" sheetId="2" r:id="rId1"/>
    <sheet name="Revenues - Current Rates" sheetId="3" r:id="rId2"/>
    <sheet name="Rate Design" sheetId="4" r:id="rId3"/>
    <sheet name="Revenues - Proposed Rates" sheetId="5" r:id="rId4"/>
    <sheet name="Bill Comparison" sheetId="6" r:id="rId5"/>
    <sheet name="Income Statement (2)" sheetId="29" r:id="rId6"/>
    <sheet name="Revenues - Current Rates (2)" sheetId="30" r:id="rId7"/>
    <sheet name="Rate Design (2)" sheetId="31" r:id="rId8"/>
    <sheet name="Revenues - Proposed Rates (2)" sheetId="32" r:id="rId9"/>
    <sheet name="Bill Comparison (2)" sheetId="33" r:id="rId10"/>
    <sheet name="Income Statement (3)" sheetId="38" r:id="rId11"/>
    <sheet name="Revenues - Current Rates (3)" sheetId="34" r:id="rId12"/>
    <sheet name="Rate Design (3)" sheetId="35" r:id="rId13"/>
    <sheet name="Revenues - Proposed Rates (3)" sheetId="36" r:id="rId14"/>
    <sheet name="Bill Comparison (3)" sheetId="37" r:id="rId15"/>
    <sheet name="Income Statement (4)" sheetId="39" r:id="rId16"/>
    <sheet name="Revenues - Current Rates (4)" sheetId="40" r:id="rId17"/>
    <sheet name="Rate Design (4)" sheetId="41" r:id="rId18"/>
    <sheet name="Revenues - Proposed Rates (4)" sheetId="42" r:id="rId19"/>
    <sheet name="Bill Comparison (4)" sheetId="43" r:id="rId20"/>
  </sheets>
  <definedNames>
    <definedName name="_xlnm.Print_Area" localSheetId="3">'Revenues - Proposed Rates'!$A$1:$K$42</definedName>
    <definedName name="_xlnm.Print_Area" localSheetId="8">'Revenues - Proposed Rates (2)'!$A$1:$K$42</definedName>
    <definedName name="_xlnm.Print_Area" localSheetId="13">'Revenues - Proposed Rates (3)'!$A$1:$K$42</definedName>
    <definedName name="_xlnm.Print_Area" localSheetId="18">'Revenues - Proposed Rates (4)'!$A$1:$K$42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43" l="1"/>
  <c r="C21" i="37"/>
  <c r="C21" i="33"/>
  <c r="C21" i="6"/>
  <c r="K37" i="3" l="1"/>
  <c r="G40" i="3"/>
  <c r="K30" i="3"/>
  <c r="G30" i="3"/>
  <c r="C30" i="3"/>
  <c r="C26" i="41"/>
  <c r="C30" i="41"/>
  <c r="C31" i="41"/>
  <c r="C28" i="41"/>
  <c r="C29" i="41"/>
  <c r="C26" i="35"/>
  <c r="C30" i="35"/>
  <c r="G36" i="31"/>
  <c r="C26" i="31"/>
  <c r="C27" i="31"/>
  <c r="C28" i="31"/>
  <c r="C29" i="31"/>
  <c r="C30" i="31"/>
  <c r="C31" i="31"/>
  <c r="C32" i="31"/>
  <c r="C33" i="31"/>
  <c r="C34" i="31"/>
  <c r="C35" i="31"/>
  <c r="C18" i="5"/>
  <c r="G18" i="5"/>
  <c r="K29" i="3"/>
  <c r="G29" i="3"/>
  <c r="G45" i="4"/>
  <c r="A1" i="43" l="1"/>
  <c r="G23" i="42"/>
  <c r="G24" i="42" s="1"/>
  <c r="C17" i="42"/>
  <c r="G17" i="42" s="1"/>
  <c r="A17" i="42"/>
  <c r="A16" i="42"/>
  <c r="A15" i="42"/>
  <c r="A14" i="42"/>
  <c r="A13" i="42"/>
  <c r="A12" i="42"/>
  <c r="A11" i="42"/>
  <c r="A10" i="42"/>
  <c r="A9" i="42"/>
  <c r="A8" i="42"/>
  <c r="A1" i="42"/>
  <c r="G35" i="41"/>
  <c r="A1" i="41"/>
  <c r="G34" i="40"/>
  <c r="G41" i="40" s="1"/>
  <c r="G27" i="40"/>
  <c r="G26" i="40"/>
  <c r="G28" i="42" l="1"/>
  <c r="I35" i="42" s="1"/>
  <c r="D6" i="39"/>
  <c r="D12" i="39" s="1"/>
  <c r="F12" i="39" s="1"/>
  <c r="A1" i="37"/>
  <c r="A1" i="36"/>
  <c r="A1" i="35"/>
  <c r="A10" i="34"/>
  <c r="A17" i="34"/>
  <c r="A20" i="35" s="1"/>
  <c r="A18" i="34"/>
  <c r="C18" i="34"/>
  <c r="G18" i="34" s="1"/>
  <c r="G23" i="36"/>
  <c r="G24" i="36" s="1"/>
  <c r="C17" i="36"/>
  <c r="G17" i="36" s="1"/>
  <c r="A17" i="36"/>
  <c r="A16" i="36"/>
  <c r="A15" i="36"/>
  <c r="A14" i="36"/>
  <c r="A13" i="36"/>
  <c r="A12" i="36"/>
  <c r="A11" i="36"/>
  <c r="A10" i="36"/>
  <c r="A9" i="36"/>
  <c r="A8" i="36"/>
  <c r="G35" i="35"/>
  <c r="G34" i="34"/>
  <c r="G41" i="34" s="1"/>
  <c r="G26" i="34"/>
  <c r="G27" i="34" s="1"/>
  <c r="A21" i="35"/>
  <c r="G26" i="30"/>
  <c r="A1" i="33"/>
  <c r="G23" i="32"/>
  <c r="G24" i="32" s="1"/>
  <c r="C17" i="32"/>
  <c r="A17" i="32"/>
  <c r="A18" i="40" s="1"/>
  <c r="A21" i="41" s="1"/>
  <c r="A16" i="32"/>
  <c r="A17" i="40" s="1"/>
  <c r="A20" i="41" s="1"/>
  <c r="A15" i="32"/>
  <c r="A16" i="40" s="1"/>
  <c r="A19" i="41" s="1"/>
  <c r="A14" i="32"/>
  <c r="A15" i="40" s="1"/>
  <c r="A18" i="41" s="1"/>
  <c r="A13" i="32"/>
  <c r="A14" i="40" s="1"/>
  <c r="A17" i="41" s="1"/>
  <c r="A12" i="32"/>
  <c r="A13" i="40" s="1"/>
  <c r="A16" i="41" s="1"/>
  <c r="A11" i="32"/>
  <c r="A12" i="40" s="1"/>
  <c r="A15" i="41" s="1"/>
  <c r="A10" i="32"/>
  <c r="A11" i="40" s="1"/>
  <c r="A14" i="41" s="1"/>
  <c r="A9" i="32"/>
  <c r="A10" i="40" s="1"/>
  <c r="A8" i="32"/>
  <c r="A9" i="40" s="1"/>
  <c r="A12" i="41" s="1"/>
  <c r="A1" i="32"/>
  <c r="G35" i="31"/>
  <c r="A1" i="31"/>
  <c r="G34" i="30"/>
  <c r="G41" i="30" s="1"/>
  <c r="G47" i="3"/>
  <c r="G54" i="3" s="1"/>
  <c r="D6" i="2" s="1"/>
  <c r="D12" i="2" s="1"/>
  <c r="F12" i="2" s="1"/>
  <c r="G12" i="2" l="1"/>
  <c r="H12" i="2" s="1"/>
  <c r="G28" i="36"/>
  <c r="I35" i="36" s="1"/>
  <c r="D6" i="38"/>
  <c r="D12" i="38" s="1"/>
  <c r="A13" i="34"/>
  <c r="A16" i="35" s="1"/>
  <c r="A12" i="34"/>
  <c r="A15" i="35" s="1"/>
  <c r="A16" i="34"/>
  <c r="A19" i="35" s="1"/>
  <c r="C12" i="42"/>
  <c r="G12" i="42" s="1"/>
  <c r="A9" i="34"/>
  <c r="A12" i="35" s="1"/>
  <c r="A11" i="34"/>
  <c r="A14" i="35" s="1"/>
  <c r="A15" i="34"/>
  <c r="A18" i="35" s="1"/>
  <c r="G17" i="32"/>
  <c r="C18" i="40"/>
  <c r="G18" i="40" s="1"/>
  <c r="A13" i="41"/>
  <c r="A14" i="34"/>
  <c r="A17" i="35" s="1"/>
  <c r="G12" i="39"/>
  <c r="A41" i="41" s="1"/>
  <c r="E41" i="41" s="1"/>
  <c r="G12" i="38"/>
  <c r="A41" i="35" s="1"/>
  <c r="E41" i="35" s="1"/>
  <c r="I17" i="35" s="1"/>
  <c r="F12" i="38"/>
  <c r="E38" i="35" s="1"/>
  <c r="A13" i="35"/>
  <c r="G28" i="32"/>
  <c r="I35" i="32" s="1"/>
  <c r="D6" i="29"/>
  <c r="D12" i="29" s="1"/>
  <c r="F12" i="29" s="1"/>
  <c r="G27" i="30"/>
  <c r="C14" i="6"/>
  <c r="C13" i="6"/>
  <c r="C15" i="6" s="1"/>
  <c r="A1" i="6"/>
  <c r="G23" i="5"/>
  <c r="G24" i="5" s="1"/>
  <c r="C17" i="5"/>
  <c r="A17" i="5"/>
  <c r="A18" i="30" s="1"/>
  <c r="A21" i="31" s="1"/>
  <c r="A16" i="5"/>
  <c r="A17" i="30" s="1"/>
  <c r="A20" i="31" s="1"/>
  <c r="A15" i="5"/>
  <c r="A16" i="30" s="1"/>
  <c r="A19" i="31" s="1"/>
  <c r="A14" i="5"/>
  <c r="A15" i="30" s="1"/>
  <c r="A18" i="31" s="1"/>
  <c r="A13" i="5"/>
  <c r="A14" i="30" s="1"/>
  <c r="A17" i="31" s="1"/>
  <c r="A12" i="5"/>
  <c r="A13" i="30" s="1"/>
  <c r="A16" i="31" s="1"/>
  <c r="A11" i="5"/>
  <c r="A12" i="30" s="1"/>
  <c r="A15" i="31" s="1"/>
  <c r="A10" i="5"/>
  <c r="A11" i="30" s="1"/>
  <c r="A14" i="31" s="1"/>
  <c r="A9" i="5"/>
  <c r="A10" i="30" s="1"/>
  <c r="A13" i="31" s="1"/>
  <c r="A8" i="5"/>
  <c r="A9" i="30" s="1"/>
  <c r="A12" i="31" s="1"/>
  <c r="A1" i="5"/>
  <c r="C44" i="4"/>
  <c r="G44" i="4" s="1"/>
  <c r="C43" i="4"/>
  <c r="C42" i="4"/>
  <c r="C41" i="4"/>
  <c r="G41" i="4" s="1"/>
  <c r="C40" i="4"/>
  <c r="C12" i="5" s="1"/>
  <c r="C39" i="4"/>
  <c r="C38" i="4"/>
  <c r="C10" i="5" s="1"/>
  <c r="C37" i="4"/>
  <c r="C9" i="5" s="1"/>
  <c r="C10" i="30" s="1"/>
  <c r="G10" i="30" s="1"/>
  <c r="C36" i="4"/>
  <c r="G36" i="4" s="1"/>
  <c r="G31" i="4"/>
  <c r="C31" i="4"/>
  <c r="A31" i="4"/>
  <c r="G30" i="4"/>
  <c r="C30" i="4"/>
  <c r="A30" i="4"/>
  <c r="G29" i="4"/>
  <c r="C29" i="4"/>
  <c r="A29" i="4"/>
  <c r="G28" i="4"/>
  <c r="C28" i="4"/>
  <c r="A28" i="4"/>
  <c r="G27" i="4"/>
  <c r="C27" i="4"/>
  <c r="A27" i="4"/>
  <c r="G26" i="4"/>
  <c r="C26" i="4"/>
  <c r="A26" i="4"/>
  <c r="G25" i="4"/>
  <c r="C25" i="4"/>
  <c r="A25" i="4"/>
  <c r="G24" i="4"/>
  <c r="C24" i="4"/>
  <c r="A24" i="4"/>
  <c r="G23" i="4"/>
  <c r="C23" i="4"/>
  <c r="A23" i="4"/>
  <c r="G22" i="4"/>
  <c r="C22" i="4"/>
  <c r="A22" i="4"/>
  <c r="G21" i="4"/>
  <c r="C21" i="4"/>
  <c r="A21" i="4"/>
  <c r="G20" i="4"/>
  <c r="C20" i="4"/>
  <c r="A20" i="4"/>
  <c r="G19" i="4"/>
  <c r="C19" i="4"/>
  <c r="A19" i="4"/>
  <c r="G18" i="4"/>
  <c r="C18" i="4"/>
  <c r="A18" i="4"/>
  <c r="G17" i="4"/>
  <c r="C17" i="4"/>
  <c r="A17" i="4"/>
  <c r="G16" i="4"/>
  <c r="C16" i="4"/>
  <c r="A16" i="4"/>
  <c r="G15" i="4"/>
  <c r="C15" i="4"/>
  <c r="A15" i="4"/>
  <c r="G14" i="4"/>
  <c r="C14" i="4"/>
  <c r="A14" i="4"/>
  <c r="G13" i="4"/>
  <c r="C13" i="4"/>
  <c r="A13" i="4"/>
  <c r="G12" i="4"/>
  <c r="C12" i="4"/>
  <c r="A12" i="4"/>
  <c r="A1" i="4"/>
  <c r="G28" i="5"/>
  <c r="I35" i="5" s="1"/>
  <c r="G39" i="3"/>
  <c r="G38" i="3"/>
  <c r="K38" i="3" s="1"/>
  <c r="G37" i="3"/>
  <c r="G28" i="3"/>
  <c r="K28" i="3" s="1"/>
  <c r="G27" i="3"/>
  <c r="K27" i="3" s="1"/>
  <c r="G26" i="3"/>
  <c r="K26" i="3" s="1"/>
  <c r="G25" i="3"/>
  <c r="K25" i="3" s="1"/>
  <c r="G24" i="3"/>
  <c r="K24" i="3" s="1"/>
  <c r="G23" i="3"/>
  <c r="K23" i="3" s="1"/>
  <c r="G22" i="3"/>
  <c r="K22" i="3" s="1"/>
  <c r="G21" i="3"/>
  <c r="K21" i="3" s="1"/>
  <c r="G20" i="3"/>
  <c r="K20" i="3" s="1"/>
  <c r="G19" i="3"/>
  <c r="K19" i="3" s="1"/>
  <c r="G18" i="3"/>
  <c r="K18" i="3" s="1"/>
  <c r="G17" i="3"/>
  <c r="K17" i="3" s="1"/>
  <c r="G16" i="3"/>
  <c r="K16" i="3" s="1"/>
  <c r="G15" i="3"/>
  <c r="K15" i="3" s="1"/>
  <c r="G14" i="3"/>
  <c r="K14" i="3" s="1"/>
  <c r="G13" i="3"/>
  <c r="K13" i="3" s="1"/>
  <c r="G12" i="3"/>
  <c r="G11" i="3"/>
  <c r="K11" i="3" s="1"/>
  <c r="G10" i="3"/>
  <c r="K10" i="3" s="1"/>
  <c r="G9" i="3"/>
  <c r="K9" i="3" s="1"/>
  <c r="C11" i="5" l="1"/>
  <c r="G39" i="4"/>
  <c r="C14" i="5"/>
  <c r="G42" i="4"/>
  <c r="C15" i="5"/>
  <c r="G43" i="4"/>
  <c r="G11" i="5"/>
  <c r="C12" i="30"/>
  <c r="G12" i="30" s="1"/>
  <c r="G30" i="35"/>
  <c r="G15" i="5"/>
  <c r="C16" i="30"/>
  <c r="G16" i="30" s="1"/>
  <c r="G30" i="41"/>
  <c r="G17" i="5"/>
  <c r="C18" i="30"/>
  <c r="G18" i="30" s="1"/>
  <c r="C12" i="32"/>
  <c r="G10" i="5"/>
  <c r="C11" i="30"/>
  <c r="G12" i="5"/>
  <c r="C13" i="30"/>
  <c r="G13" i="30" s="1"/>
  <c r="G14" i="5"/>
  <c r="C15" i="30"/>
  <c r="G15" i="30" s="1"/>
  <c r="C8" i="32"/>
  <c r="G27" i="31"/>
  <c r="C7" i="37"/>
  <c r="I18" i="35"/>
  <c r="I19" i="35"/>
  <c r="I20" i="35"/>
  <c r="I21" i="35"/>
  <c r="I15" i="35"/>
  <c r="I12" i="35"/>
  <c r="I23" i="36"/>
  <c r="I13" i="35"/>
  <c r="I14" i="35"/>
  <c r="I16" i="35"/>
  <c r="E38" i="41"/>
  <c r="H12" i="39"/>
  <c r="I18" i="41"/>
  <c r="I14" i="41"/>
  <c r="I21" i="41"/>
  <c r="I13" i="41"/>
  <c r="I16" i="41"/>
  <c r="I19" i="41"/>
  <c r="I17" i="41"/>
  <c r="C7" i="43"/>
  <c r="I23" i="42"/>
  <c r="K23" i="42" s="1"/>
  <c r="K24" i="42" s="1"/>
  <c r="I33" i="42" s="1"/>
  <c r="I20" i="41"/>
  <c r="I12" i="41"/>
  <c r="I15" i="41"/>
  <c r="H12" i="38"/>
  <c r="G12" i="29"/>
  <c r="A41" i="31" s="1"/>
  <c r="E41" i="31" s="1"/>
  <c r="G30" i="31"/>
  <c r="C9" i="32"/>
  <c r="E38" i="31"/>
  <c r="G37" i="4"/>
  <c r="G46" i="4" s="1"/>
  <c r="G40" i="4"/>
  <c r="G9" i="5"/>
  <c r="C46" i="4"/>
  <c r="C8" i="5"/>
  <c r="C16" i="5"/>
  <c r="C13" i="5"/>
  <c r="K39" i="3"/>
  <c r="K40" i="3" s="1"/>
  <c r="G52" i="3" s="1"/>
  <c r="G38" i="4"/>
  <c r="K12" i="3"/>
  <c r="G51" i="3" s="1"/>
  <c r="G53" i="3" s="1"/>
  <c r="C15" i="32" l="1"/>
  <c r="G8" i="32"/>
  <c r="C9" i="40"/>
  <c r="G9" i="40" s="1"/>
  <c r="C9" i="34"/>
  <c r="G55" i="3"/>
  <c r="D5" i="2"/>
  <c r="D7" i="2" s="1"/>
  <c r="G9" i="32"/>
  <c r="C10" i="40"/>
  <c r="C10" i="34"/>
  <c r="G13" i="5"/>
  <c r="C14" i="30"/>
  <c r="G11" i="30"/>
  <c r="G16" i="5"/>
  <c r="C17" i="30"/>
  <c r="G8" i="5"/>
  <c r="C9" i="30"/>
  <c r="G12" i="32"/>
  <c r="C13" i="40"/>
  <c r="C13" i="34"/>
  <c r="G15" i="32"/>
  <c r="C16" i="40"/>
  <c r="C16" i="34"/>
  <c r="G26" i="31"/>
  <c r="C12" i="36"/>
  <c r="G12" i="36" s="1"/>
  <c r="G33" i="31"/>
  <c r="K23" i="36"/>
  <c r="K24" i="36" s="1"/>
  <c r="I33" i="36" s="1"/>
  <c r="I26" i="40"/>
  <c r="I17" i="31"/>
  <c r="I21" i="31"/>
  <c r="H12" i="29"/>
  <c r="I16" i="31"/>
  <c r="C7" i="33"/>
  <c r="I18" i="31"/>
  <c r="I19" i="31"/>
  <c r="I12" i="31"/>
  <c r="I20" i="31"/>
  <c r="I13" i="31"/>
  <c r="I14" i="31"/>
  <c r="I23" i="32"/>
  <c r="I15" i="31"/>
  <c r="A51" i="4"/>
  <c r="E51" i="4" s="1"/>
  <c r="G29" i="31" l="1"/>
  <c r="C11" i="32"/>
  <c r="C10" i="32"/>
  <c r="G28" i="31"/>
  <c r="G14" i="30"/>
  <c r="C36" i="31"/>
  <c r="G16" i="40"/>
  <c r="C33" i="41"/>
  <c r="G17" i="30"/>
  <c r="G10" i="34"/>
  <c r="C27" i="35"/>
  <c r="G16" i="34"/>
  <c r="C33" i="35"/>
  <c r="G10" i="40"/>
  <c r="C27" i="41"/>
  <c r="C14" i="32"/>
  <c r="G32" i="31"/>
  <c r="G13" i="34"/>
  <c r="G13" i="40"/>
  <c r="G9" i="34"/>
  <c r="G9" i="30"/>
  <c r="C19" i="30"/>
  <c r="G18" i="41"/>
  <c r="G20" i="41"/>
  <c r="G17" i="41"/>
  <c r="G14" i="41"/>
  <c r="G12" i="41"/>
  <c r="C14" i="43"/>
  <c r="G16" i="41"/>
  <c r="G21" i="41"/>
  <c r="G19" i="41"/>
  <c r="G13" i="41"/>
  <c r="K26" i="40"/>
  <c r="K27" i="40" s="1"/>
  <c r="G39" i="40" s="1"/>
  <c r="G15" i="41"/>
  <c r="K23" i="32"/>
  <c r="K24" i="32" s="1"/>
  <c r="I33" i="32" s="1"/>
  <c r="I26" i="34"/>
  <c r="I27" i="4"/>
  <c r="I19" i="4"/>
  <c r="I25" i="4"/>
  <c r="I28" i="4"/>
  <c r="I20" i="4"/>
  <c r="I12" i="4"/>
  <c r="I18" i="4"/>
  <c r="I13" i="4"/>
  <c r="I23" i="5"/>
  <c r="I30" i="4"/>
  <c r="I22" i="4"/>
  <c r="I14" i="4"/>
  <c r="I17" i="4"/>
  <c r="I31" i="4"/>
  <c r="I23" i="4"/>
  <c r="I15" i="4"/>
  <c r="I26" i="4"/>
  <c r="C7" i="6"/>
  <c r="I29" i="4"/>
  <c r="I21" i="4"/>
  <c r="I24" i="4"/>
  <c r="I16" i="4"/>
  <c r="I4" i="4"/>
  <c r="G40" i="5"/>
  <c r="D13" i="2"/>
  <c r="G19" i="30" l="1"/>
  <c r="G11" i="32"/>
  <c r="C12" i="40"/>
  <c r="C12" i="34"/>
  <c r="G27" i="35"/>
  <c r="C9" i="36"/>
  <c r="G33" i="41"/>
  <c r="C15" i="42"/>
  <c r="G15" i="42" s="1"/>
  <c r="C15" i="36"/>
  <c r="G15" i="36" s="1"/>
  <c r="G33" i="35"/>
  <c r="C16" i="32"/>
  <c r="G34" i="31"/>
  <c r="C8" i="36"/>
  <c r="G8" i="36" s="1"/>
  <c r="G26" i="35"/>
  <c r="C13" i="32"/>
  <c r="G31" i="31"/>
  <c r="G14" i="32"/>
  <c r="C15" i="40"/>
  <c r="C15" i="34"/>
  <c r="G10" i="32"/>
  <c r="C11" i="40"/>
  <c r="C11" i="34"/>
  <c r="C8" i="42"/>
  <c r="G8" i="42" s="1"/>
  <c r="G26" i="41"/>
  <c r="C9" i="42"/>
  <c r="G27" i="41"/>
  <c r="G15" i="35"/>
  <c r="G17" i="35"/>
  <c r="K26" i="34"/>
  <c r="K27" i="34" s="1"/>
  <c r="G39" i="34" s="1"/>
  <c r="G18" i="35"/>
  <c r="G21" i="35"/>
  <c r="G20" i="35"/>
  <c r="C14" i="37"/>
  <c r="G19" i="35"/>
  <c r="G13" i="35"/>
  <c r="G14" i="35"/>
  <c r="G12" i="35"/>
  <c r="G16" i="35"/>
  <c r="K23" i="5"/>
  <c r="K24" i="5" s="1"/>
  <c r="I33" i="5" s="1"/>
  <c r="I26" i="30"/>
  <c r="I5" i="4"/>
  <c r="I6" i="4" s="1"/>
  <c r="G42" i="5"/>
  <c r="E48" i="4"/>
  <c r="G48" i="4" s="1"/>
  <c r="G38" i="31" l="1"/>
  <c r="I26" i="31" s="1"/>
  <c r="G12" i="34"/>
  <c r="C29" i="35"/>
  <c r="G12" i="40"/>
  <c r="I29" i="31"/>
  <c r="I31" i="31"/>
  <c r="I32" i="31"/>
  <c r="I27" i="31"/>
  <c r="G9" i="42"/>
  <c r="G13" i="32"/>
  <c r="C14" i="40"/>
  <c r="C14" i="34"/>
  <c r="C18" i="32"/>
  <c r="G11" i="34"/>
  <c r="C28" i="35"/>
  <c r="G11" i="40"/>
  <c r="G15" i="34"/>
  <c r="C32" i="35"/>
  <c r="G16" i="32"/>
  <c r="C17" i="40"/>
  <c r="C17" i="34"/>
  <c r="G9" i="36"/>
  <c r="G15" i="40"/>
  <c r="C32" i="41"/>
  <c r="G17" i="31"/>
  <c r="G21" i="31"/>
  <c r="G20" i="31"/>
  <c r="C14" i="33"/>
  <c r="G13" i="31"/>
  <c r="G15" i="31"/>
  <c r="K26" i="30"/>
  <c r="K27" i="30" s="1"/>
  <c r="G39" i="30" s="1"/>
  <c r="G12" i="31"/>
  <c r="G18" i="31"/>
  <c r="G19" i="31"/>
  <c r="G16" i="31"/>
  <c r="G14" i="31"/>
  <c r="I39" i="4"/>
  <c r="I44" i="4"/>
  <c r="I16" i="5" s="1"/>
  <c r="I36" i="4"/>
  <c r="I41" i="4"/>
  <c r="I38" i="4"/>
  <c r="I43" i="4"/>
  <c r="I40" i="4"/>
  <c r="I37" i="4"/>
  <c r="C6" i="6"/>
  <c r="C8" i="6" s="1"/>
  <c r="I45" i="4"/>
  <c r="I17" i="5" s="1"/>
  <c r="I42" i="4"/>
  <c r="I28" i="31" l="1"/>
  <c r="E14" i="31" s="1"/>
  <c r="C6" i="33"/>
  <c r="C8" i="33" s="1"/>
  <c r="I34" i="31"/>
  <c r="E20" i="31" s="1"/>
  <c r="I35" i="31"/>
  <c r="E21" i="31" s="1"/>
  <c r="I33" i="31"/>
  <c r="E19" i="31" s="1"/>
  <c r="I30" i="31"/>
  <c r="G29" i="41"/>
  <c r="C11" i="42"/>
  <c r="G11" i="42" s="1"/>
  <c r="G29" i="35"/>
  <c r="C11" i="36"/>
  <c r="G11" i="36" s="1"/>
  <c r="C20" i="6"/>
  <c r="G14" i="34"/>
  <c r="C31" i="35"/>
  <c r="G32" i="41"/>
  <c r="C14" i="42"/>
  <c r="G14" i="42" s="1"/>
  <c r="G18" i="32"/>
  <c r="I14" i="32"/>
  <c r="E18" i="31"/>
  <c r="E15" i="31"/>
  <c r="I11" i="32"/>
  <c r="E13" i="31"/>
  <c r="I9" i="32"/>
  <c r="C14" i="36"/>
  <c r="G14" i="36" s="1"/>
  <c r="G32" i="35"/>
  <c r="I13" i="32"/>
  <c r="I14" i="34" s="1"/>
  <c r="C17" i="35" s="1"/>
  <c r="E17" i="31"/>
  <c r="G28" i="41"/>
  <c r="C10" i="42"/>
  <c r="C19" i="34"/>
  <c r="E16" i="31"/>
  <c r="I12" i="32"/>
  <c r="C19" i="40"/>
  <c r="G14" i="40"/>
  <c r="G17" i="34"/>
  <c r="C34" i="35"/>
  <c r="G17" i="40"/>
  <c r="C34" i="41"/>
  <c r="G28" i="35"/>
  <c r="C10" i="36"/>
  <c r="E12" i="31"/>
  <c r="I8" i="32"/>
  <c r="K16" i="5"/>
  <c r="I17" i="30"/>
  <c r="K17" i="5"/>
  <c r="I18" i="30"/>
  <c r="I8" i="5"/>
  <c r="E26" i="4"/>
  <c r="E18" i="4"/>
  <c r="I12" i="5"/>
  <c r="E25" i="4"/>
  <c r="E17" i="4"/>
  <c r="I15" i="5"/>
  <c r="E27" i="4"/>
  <c r="E19" i="4"/>
  <c r="E22" i="4"/>
  <c r="E30" i="4"/>
  <c r="I14" i="5"/>
  <c r="E14" i="4"/>
  <c r="I9" i="5"/>
  <c r="E16" i="4"/>
  <c r="E24" i="4"/>
  <c r="I10" i="5"/>
  <c r="E23" i="4"/>
  <c r="E15" i="4"/>
  <c r="E31" i="4"/>
  <c r="I13" i="5"/>
  <c r="E21" i="4"/>
  <c r="E13" i="4"/>
  <c r="E29" i="4"/>
  <c r="E12" i="4"/>
  <c r="E28" i="4"/>
  <c r="I11" i="5"/>
  <c r="E20" i="4"/>
  <c r="I15" i="32" l="1"/>
  <c r="I16" i="32"/>
  <c r="I17" i="34" s="1"/>
  <c r="C20" i="35" s="1"/>
  <c r="I17" i="32"/>
  <c r="I18" i="34" s="1"/>
  <c r="I10" i="32"/>
  <c r="K10" i="32" s="1"/>
  <c r="K14" i="34"/>
  <c r="G19" i="40"/>
  <c r="C36" i="35"/>
  <c r="K9" i="32"/>
  <c r="I10" i="34"/>
  <c r="C13" i="42"/>
  <c r="G13" i="42" s="1"/>
  <c r="G31" i="41"/>
  <c r="G19" i="34"/>
  <c r="K8" i="32"/>
  <c r="I9" i="34"/>
  <c r="G10" i="42"/>
  <c r="C16" i="42"/>
  <c r="G16" i="42" s="1"/>
  <c r="G34" i="41"/>
  <c r="K12" i="32"/>
  <c r="I13" i="34"/>
  <c r="I12" i="34"/>
  <c r="K11" i="32"/>
  <c r="G10" i="36"/>
  <c r="G31" i="35"/>
  <c r="G36" i="35" s="1"/>
  <c r="G38" i="35" s="1"/>
  <c r="C13" i="36"/>
  <c r="G13" i="36" s="1"/>
  <c r="C16" i="36"/>
  <c r="G16" i="36" s="1"/>
  <c r="G34" i="35"/>
  <c r="K14" i="32"/>
  <c r="I15" i="34"/>
  <c r="C36" i="41"/>
  <c r="K15" i="32"/>
  <c r="I16" i="34"/>
  <c r="K13" i="32"/>
  <c r="K10" i="5"/>
  <c r="I11" i="30"/>
  <c r="K8" i="5"/>
  <c r="K18" i="5" s="1"/>
  <c r="I9" i="30"/>
  <c r="K15" i="5"/>
  <c r="I16" i="30"/>
  <c r="C21" i="31"/>
  <c r="K18" i="30"/>
  <c r="K9" i="5"/>
  <c r="I10" i="30"/>
  <c r="K11" i="5"/>
  <c r="I12" i="30"/>
  <c r="K13" i="5"/>
  <c r="I14" i="30"/>
  <c r="C20" i="31"/>
  <c r="K17" i="30"/>
  <c r="K14" i="5"/>
  <c r="I15" i="30"/>
  <c r="K12" i="5"/>
  <c r="I13" i="30"/>
  <c r="K17" i="32" l="1"/>
  <c r="K16" i="32"/>
  <c r="I11" i="34"/>
  <c r="K11" i="34" s="1"/>
  <c r="K17" i="34"/>
  <c r="G36" i="41"/>
  <c r="G38" i="41" s="1"/>
  <c r="I26" i="41" s="1"/>
  <c r="C18" i="42"/>
  <c r="I35" i="41"/>
  <c r="I32" i="41"/>
  <c r="I29" i="41"/>
  <c r="I34" i="41"/>
  <c r="C6" i="43"/>
  <c r="C8" i="43" s="1"/>
  <c r="I31" i="41"/>
  <c r="C14" i="35"/>
  <c r="C18" i="35"/>
  <c r="K15" i="34"/>
  <c r="G18" i="42"/>
  <c r="K18" i="34"/>
  <c r="C21" i="35"/>
  <c r="K13" i="34"/>
  <c r="C16" i="35"/>
  <c r="C19" i="35"/>
  <c r="K16" i="34"/>
  <c r="C12" i="35"/>
  <c r="K9" i="34"/>
  <c r="C18" i="36"/>
  <c r="C6" i="37"/>
  <c r="C8" i="37" s="1"/>
  <c r="I28" i="35"/>
  <c r="I33" i="35"/>
  <c r="I30" i="35"/>
  <c r="I27" i="35"/>
  <c r="I35" i="35"/>
  <c r="I32" i="35"/>
  <c r="I29" i="35"/>
  <c r="I31" i="35"/>
  <c r="I34" i="35"/>
  <c r="I26" i="35"/>
  <c r="G18" i="36"/>
  <c r="C13" i="37"/>
  <c r="C15" i="37" s="1"/>
  <c r="K10" i="34"/>
  <c r="C13" i="35"/>
  <c r="C15" i="35"/>
  <c r="K12" i="34"/>
  <c r="I32" i="5"/>
  <c r="I34" i="5" s="1"/>
  <c r="I36" i="5" s="1"/>
  <c r="G39" i="5" s="1"/>
  <c r="G41" i="5" s="1"/>
  <c r="C12" i="31"/>
  <c r="K9" i="30"/>
  <c r="C19" i="31"/>
  <c r="K16" i="30"/>
  <c r="C15" i="31"/>
  <c r="K12" i="30"/>
  <c r="C17" i="31"/>
  <c r="K14" i="30"/>
  <c r="C16" i="31"/>
  <c r="K13" i="30"/>
  <c r="C18" i="31"/>
  <c r="K15" i="30"/>
  <c r="C14" i="31"/>
  <c r="K11" i="30"/>
  <c r="C13" i="31"/>
  <c r="C13" i="33"/>
  <c r="C15" i="33" s="1"/>
  <c r="K10" i="30"/>
  <c r="I28" i="41" l="1"/>
  <c r="I30" i="41"/>
  <c r="I27" i="41"/>
  <c r="E13" i="41" s="1"/>
  <c r="I33" i="41"/>
  <c r="I15" i="42" s="1"/>
  <c r="K15" i="42" s="1"/>
  <c r="K18" i="32"/>
  <c r="I32" i="32" s="1"/>
  <c r="I34" i="32" s="1"/>
  <c r="I36" i="32" s="1"/>
  <c r="G39" i="32" s="1"/>
  <c r="C20" i="33"/>
  <c r="I14" i="36"/>
  <c r="E18" i="35"/>
  <c r="E16" i="35"/>
  <c r="I12" i="36"/>
  <c r="E19" i="35"/>
  <c r="I15" i="36"/>
  <c r="I13" i="36"/>
  <c r="E17" i="35"/>
  <c r="I9" i="36"/>
  <c r="E13" i="35"/>
  <c r="I10" i="42"/>
  <c r="K10" i="42" s="1"/>
  <c r="E14" i="41"/>
  <c r="E12" i="41"/>
  <c r="I8" i="42"/>
  <c r="K8" i="42" s="1"/>
  <c r="I10" i="36"/>
  <c r="E14" i="35"/>
  <c r="E17" i="41"/>
  <c r="I13" i="42"/>
  <c r="K13" i="42" s="1"/>
  <c r="K19" i="34"/>
  <c r="G38" i="34" s="1"/>
  <c r="G40" i="34" s="1"/>
  <c r="C20" i="37"/>
  <c r="E18" i="41"/>
  <c r="I14" i="42"/>
  <c r="K14" i="42" s="1"/>
  <c r="E12" i="35"/>
  <c r="I8" i="36"/>
  <c r="E20" i="35"/>
  <c r="I16" i="36"/>
  <c r="I11" i="36"/>
  <c r="E15" i="35"/>
  <c r="I17" i="36"/>
  <c r="E21" i="35"/>
  <c r="I12" i="42"/>
  <c r="K12" i="42" s="1"/>
  <c r="E16" i="41"/>
  <c r="E20" i="41"/>
  <c r="I16" i="42"/>
  <c r="K16" i="42" s="1"/>
  <c r="E15" i="41"/>
  <c r="I11" i="42"/>
  <c r="K11" i="42" s="1"/>
  <c r="I17" i="42"/>
  <c r="K17" i="42" s="1"/>
  <c r="E21" i="41"/>
  <c r="K19" i="30"/>
  <c r="G38" i="30" s="1"/>
  <c r="G40" i="30" s="1"/>
  <c r="I9" i="42" l="1"/>
  <c r="K9" i="42" s="1"/>
  <c r="K18" i="42" s="1"/>
  <c r="I32" i="42" s="1"/>
  <c r="I34" i="42" s="1"/>
  <c r="I36" i="42" s="1"/>
  <c r="G39" i="42" s="1"/>
  <c r="E19" i="41"/>
  <c r="K17" i="36"/>
  <c r="I18" i="40"/>
  <c r="K9" i="36"/>
  <c r="I10" i="40"/>
  <c r="I14" i="40"/>
  <c r="K13" i="36"/>
  <c r="K12" i="36"/>
  <c r="I13" i="40"/>
  <c r="I11" i="40"/>
  <c r="K10" i="36"/>
  <c r="I12" i="40"/>
  <c r="K11" i="36"/>
  <c r="I17" i="40"/>
  <c r="K16" i="36"/>
  <c r="K8" i="36"/>
  <c r="I9" i="40"/>
  <c r="K15" i="36"/>
  <c r="I16" i="40"/>
  <c r="D5" i="38"/>
  <c r="D7" i="38" s="1"/>
  <c r="D13" i="38" s="1"/>
  <c r="G42" i="34"/>
  <c r="G40" i="36" s="1"/>
  <c r="I4" i="35"/>
  <c r="I15" i="40"/>
  <c r="K14" i="36"/>
  <c r="D5" i="29"/>
  <c r="D7" i="29" s="1"/>
  <c r="D13" i="29" s="1"/>
  <c r="I4" i="31"/>
  <c r="G42" i="30"/>
  <c r="G40" i="32" s="1"/>
  <c r="G41" i="32" s="1"/>
  <c r="C20" i="41" l="1"/>
  <c r="K17" i="40"/>
  <c r="G42" i="36"/>
  <c r="I5" i="35"/>
  <c r="I6" i="35" s="1"/>
  <c r="K9" i="40"/>
  <c r="C12" i="41"/>
  <c r="K18" i="36"/>
  <c r="I32" i="36" s="1"/>
  <c r="I34" i="36" s="1"/>
  <c r="I36" i="36" s="1"/>
  <c r="G39" i="36" s="1"/>
  <c r="G41" i="36" s="1"/>
  <c r="K16" i="40"/>
  <c r="C19" i="41"/>
  <c r="C15" i="41"/>
  <c r="K12" i="40"/>
  <c r="C17" i="41"/>
  <c r="K14" i="40"/>
  <c r="C13" i="41"/>
  <c r="C13" i="43"/>
  <c r="C15" i="43" s="1"/>
  <c r="K10" i="40"/>
  <c r="C18" i="41"/>
  <c r="K15" i="40"/>
  <c r="C21" i="41"/>
  <c r="K18" i="40"/>
  <c r="K11" i="40"/>
  <c r="C14" i="41"/>
  <c r="K13" i="40"/>
  <c r="C16" i="41"/>
  <c r="G42" i="32"/>
  <c r="I5" i="31"/>
  <c r="I6" i="31" s="1"/>
  <c r="C20" i="43" l="1"/>
  <c r="K19" i="40"/>
  <c r="G38" i="40" s="1"/>
  <c r="G40" i="40" s="1"/>
  <c r="D5" i="39" l="1"/>
  <c r="D7" i="39" s="1"/>
  <c r="D13" i="39" s="1"/>
  <c r="I4" i="41"/>
  <c r="G42" i="40"/>
  <c r="G40" i="42" s="1"/>
  <c r="G41" i="42" s="1"/>
  <c r="K42" i="42" s="1"/>
  <c r="G42" i="42" l="1"/>
  <c r="I5" i="41"/>
  <c r="I6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Marek, Melanie</author>
  </authors>
  <commentList>
    <comment ref="G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Marek, Melanie:</t>
        </r>
        <r>
          <rPr>
            <sz val="9"/>
            <color indexed="81"/>
            <rFont val="Tahoma"/>
            <family val="2"/>
          </rPr>
          <t xml:space="preserve">
+1 to match auditing and account for rounding</t>
        </r>
      </text>
    </comment>
  </commentList>
</comments>
</file>

<file path=xl/sharedStrings.xml><?xml version="1.0" encoding="utf-8"?>
<sst xmlns="http://schemas.openxmlformats.org/spreadsheetml/2006/main" count="593" uniqueCount="120">
  <si>
    <t>Rate Making Income Statement</t>
  </si>
  <si>
    <t>Operating Revenues at Current Rates</t>
  </si>
  <si>
    <t>Tariffed Rate Revenues *</t>
  </si>
  <si>
    <t>Other Operating Revenues *</t>
  </si>
  <si>
    <t>Total Operating Revenues</t>
  </si>
  <si>
    <t>* See "Revenues - Current Rates" for Details</t>
  </si>
  <si>
    <t>Cost of Service</t>
  </si>
  <si>
    <t>Customer</t>
  </si>
  <si>
    <t>Commodity</t>
  </si>
  <si>
    <t>Charge</t>
  </si>
  <si>
    <t>Total Cost of Service</t>
  </si>
  <si>
    <t>Cost to Recover in Rates</t>
  </si>
  <si>
    <t>Overall Revenue Increase Needed</t>
  </si>
  <si>
    <t>*Staff proposes to keep Bolivar sewer rates unchanged, and to use excess revenues to reduce the increase for water</t>
  </si>
  <si>
    <t>Liberty Utilities (Missouri Water), LLC</t>
  </si>
  <si>
    <t>Annualized Customer Counts and Customer Charge Revenues</t>
  </si>
  <si>
    <t>Retail Metered Customers</t>
  </si>
  <si>
    <t>Service Area/</t>
  </si>
  <si>
    <t xml:space="preserve">No. of </t>
  </si>
  <si>
    <t>Bills Per</t>
  </si>
  <si>
    <t>Total</t>
  </si>
  <si>
    <t>Annual</t>
  </si>
  <si>
    <t>Meter Size</t>
  </si>
  <si>
    <t>Customers</t>
  </si>
  <si>
    <t>Year</t>
  </si>
  <si>
    <t>Bills</t>
  </si>
  <si>
    <t>Rate *</t>
  </si>
  <si>
    <t>Revenue</t>
  </si>
  <si>
    <t>Bolivar Residential 1"</t>
  </si>
  <si>
    <t>Bolivar Residential 2"</t>
  </si>
  <si>
    <t>Bolivar Residential 3"</t>
  </si>
  <si>
    <t>Bolivar Residential 3/4"</t>
  </si>
  <si>
    <t>Bolivar Residential 5/8"</t>
  </si>
  <si>
    <t>Bolivar Residential 1.5"</t>
  </si>
  <si>
    <t>Bolivar Residential 1/2"</t>
  </si>
  <si>
    <t>Bolivar Residential 4"</t>
  </si>
  <si>
    <t>Bolivar Commercial 1"</t>
  </si>
  <si>
    <t>Bolivar Commercial 2"</t>
  </si>
  <si>
    <t>Bolivar Commercial 3"</t>
  </si>
  <si>
    <t>Bolivar Commercial 3/4"</t>
  </si>
  <si>
    <t>Bolivar Commercial 5/8"</t>
  </si>
  <si>
    <t>Bolivar Commercial 1.5"</t>
  </si>
  <si>
    <t>Bolivar Commercial 1/2"</t>
  </si>
  <si>
    <t>Bolivar Commercial 4"</t>
  </si>
  <si>
    <t>Bolivar Interdepartmental 1"</t>
  </si>
  <si>
    <t>Bolivar Interdepartmental 2"</t>
  </si>
  <si>
    <t>Bolivar Interdepartmental 3"</t>
  </si>
  <si>
    <t>Bolivar Interdepartmental 3/4"</t>
  </si>
  <si>
    <t>* Monthly Customer Charge</t>
  </si>
  <si>
    <t>Annualized Commodity Sales - Volumes &amp; Revenues</t>
  </si>
  <si>
    <t>Adjusted</t>
  </si>
  <si>
    <t>Gallons Sold</t>
  </si>
  <si>
    <t>Rate</t>
  </si>
  <si>
    <t>Bolivar Residential</t>
  </si>
  <si>
    <t>Bolivar Commercial</t>
  </si>
  <si>
    <t>Bolivar Interdepartmental</t>
  </si>
  <si>
    <t>Other Operating Revenues</t>
  </si>
  <si>
    <t>Misc Income</t>
  </si>
  <si>
    <t>Late Charge</t>
  </si>
  <si>
    <t>Reconnect Fee</t>
  </si>
  <si>
    <t>Total Other Revenues</t>
  </si>
  <si>
    <t>Customer Charge Revenues</t>
  </si>
  <si>
    <t>Commodity Charge Revenues</t>
  </si>
  <si>
    <t>Sub-Total Tariffed Rate Revenues</t>
  </si>
  <si>
    <t>Development of Tariffed Rates</t>
  </si>
  <si>
    <t>Current Revenue</t>
  </si>
  <si>
    <t>Agreed-Upon Overall Revenue Increase</t>
  </si>
  <si>
    <t>Percentage Increase Needed</t>
  </si>
  <si>
    <t>Metered Customer Rates</t>
  </si>
  <si>
    <t>Current</t>
  </si>
  <si>
    <t>Proposed</t>
  </si>
  <si>
    <t>Usage</t>
  </si>
  <si>
    <t>Number of</t>
  </si>
  <si>
    <t>Equivalents</t>
  </si>
  <si>
    <t>1/2"</t>
  </si>
  <si>
    <t>5/8"</t>
  </si>
  <si>
    <t>3/4"</t>
  </si>
  <si>
    <t>1"</t>
  </si>
  <si>
    <t>1  1/2"</t>
  </si>
  <si>
    <t xml:space="preserve"> 2"</t>
  </si>
  <si>
    <t>3"</t>
  </si>
  <si>
    <t xml:space="preserve"> 4"</t>
  </si>
  <si>
    <t xml:space="preserve"> 6"</t>
  </si>
  <si>
    <t>Flat Rate - Unmetered</t>
  </si>
  <si>
    <t>Customer Charge Calculation:</t>
  </si>
  <si>
    <t>*While a factor of 1 is typical for a single family home with a 5/8" meter, staff proposes to use this same factor for 3/4" and 1/2" because this meter size is also deployed on single family homes within Liberty's service areas</t>
  </si>
  <si>
    <t>Revenue Annualizations at Proposed Rates</t>
  </si>
  <si>
    <t>Meter</t>
  </si>
  <si>
    <t>No. of</t>
  </si>
  <si>
    <t>Size</t>
  </si>
  <si>
    <t>Total Sales</t>
  </si>
  <si>
    <t>Total Revenues at Proposed Rates</t>
  </si>
  <si>
    <t>Revenue Check - Proposed Rates vs. Current Rates</t>
  </si>
  <si>
    <t>Total Revenues at Current Tariffed Rates</t>
  </si>
  <si>
    <t>Increase in Revenues at Proposed Rates</t>
  </si>
  <si>
    <t>Agreed-Upon Increase in Operating Revenues</t>
  </si>
  <si>
    <t>Residential Customer Bill Comparison</t>
  </si>
  <si>
    <t>Proposed Rates</t>
  </si>
  <si>
    <t>Customer Charge</t>
  </si>
  <si>
    <t>Usage Charge</t>
  </si>
  <si>
    <t>Total Bill</t>
  </si>
  <si>
    <t>MONTHLY BILL COMPARISON</t>
  </si>
  <si>
    <t>Bolivar Current Rates</t>
  </si>
  <si>
    <t>Customer Bill Increases/Decreases</t>
  </si>
  <si>
    <t>$ Increase</t>
  </si>
  <si>
    <t>% Increase</t>
  </si>
  <si>
    <t>Total**</t>
  </si>
  <si>
    <t>** These are the gallons subject to the existing tariff rates that include some gallons in the current customer charge.</t>
  </si>
  <si>
    <t>Gallons**</t>
  </si>
  <si>
    <t>Factor*</t>
  </si>
  <si>
    <t>** These are total gallons billed to customers, not just those previously subjected to a commodity rate</t>
  </si>
  <si>
    <t>Liberty Utilities (Missouri Water), LLC - Bolivar Water - Year 1</t>
  </si>
  <si>
    <t>Revenue Annualizations at Current Rates - Bolivar Water - Year 1</t>
  </si>
  <si>
    <t>Liberty Utilities (Missouri Water), LLC - Bolivar Water - Year 2</t>
  </si>
  <si>
    <t>Revenue Annualizations at Current Rates - Bolivar Water - Year 2</t>
  </si>
  <si>
    <t>Liberty Utilities (Missouri Water), LLC - Bolivar Water - Year 3</t>
  </si>
  <si>
    <t>Revenue Annualizations at Current Rates - Bolivar Water - Year 3</t>
  </si>
  <si>
    <t>Liberty Utilities (Missouri Water), LLC - Bolivar Water - Year 4</t>
  </si>
  <si>
    <t>Revenue Annualizations at Current Rates - Bolivar Water - Year 4</t>
  </si>
  <si>
    <t>Total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</si>
</sst>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Fill="1"/>
    <xf numFmtId="0" fontId="4" fillId="0" borderId="0" xfId="0" applyFont="1" applyFill="1" applyBorder="1" applyAlignment="1"/>
    <xf numFmtId="164" fontId="0" fillId="0" borderId="0" xfId="2" applyNumberFormat="1" applyFont="1"/>
    <xf numFmtId="0" fontId="5" fillId="0" borderId="0" xfId="0" applyFont="1"/>
    <xf numFmtId="164" fontId="5" fillId="0" borderId="3" xfId="0" applyNumberFormat="1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0" xfId="0" applyNumberFormat="1"/>
    <xf numFmtId="0" fontId="5" fillId="0" borderId="6" xfId="0" applyFont="1" applyBorder="1"/>
    <xf numFmtId="164" fontId="5" fillId="0" borderId="6" xfId="0" applyNumberFormat="1" applyFont="1" applyBorder="1"/>
    <xf numFmtId="164" fontId="7" fillId="0" borderId="0" xfId="0" applyNumberFormat="1" applyFont="1"/>
    <xf numFmtId="0" fontId="5" fillId="0" borderId="1" xfId="0" applyFont="1" applyBorder="1"/>
    <xf numFmtId="164" fontId="5" fillId="0" borderId="1" xfId="0" applyNumberFormat="1" applyFont="1" applyBorder="1"/>
    <xf numFmtId="0" fontId="0" fillId="0" borderId="0" xfId="0" applyAlignment="1">
      <alignment horizontal="right"/>
    </xf>
    <xf numFmtId="165" fontId="0" fillId="0" borderId="0" xfId="1" applyNumberFormat="1" applyFont="1"/>
    <xf numFmtId="10" fontId="0" fillId="0" borderId="0" xfId="0" applyNumberFormat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2" fillId="0" borderId="3" xfId="0" applyFont="1" applyBorder="1" applyAlignment="1">
      <alignment horizontal="center"/>
    </xf>
    <xf numFmtId="0" fontId="0" fillId="0" borderId="3" xfId="0" applyBorder="1"/>
    <xf numFmtId="165" fontId="2" fillId="0" borderId="3" xfId="1" applyNumberFormat="1" applyFont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4" fontId="2" fillId="0" borderId="3" xfId="0" applyNumberFormat="1" applyFont="1" applyBorder="1"/>
    <xf numFmtId="165" fontId="0" fillId="0" borderId="0" xfId="0" applyNumberFormat="1"/>
    <xf numFmtId="0" fontId="6" fillId="0" borderId="4" xfId="0" applyFont="1" applyBorder="1"/>
    <xf numFmtId="0" fontId="0" fillId="0" borderId="4" xfId="0" applyBorder="1"/>
    <xf numFmtId="44" fontId="0" fillId="0" borderId="0" xfId="2" applyFont="1"/>
    <xf numFmtId="165" fontId="2" fillId="0" borderId="3" xfId="1" applyNumberFormat="1" applyFont="1" applyBorder="1"/>
    <xf numFmtId="1" fontId="0" fillId="0" borderId="0" xfId="0" applyNumberFormat="1"/>
    <xf numFmtId="164" fontId="5" fillId="0" borderId="3" xfId="2" applyNumberFormat="1" applyFont="1" applyBorder="1"/>
    <xf numFmtId="164" fontId="0" fillId="0" borderId="4" xfId="0" applyNumberFormat="1" applyBorder="1"/>
    <xf numFmtId="164" fontId="5" fillId="0" borderId="0" xfId="2" applyNumberFormat="1" applyFont="1"/>
    <xf numFmtId="164" fontId="5" fillId="0" borderId="0" xfId="0" applyNumberFormat="1" applyFont="1"/>
    <xf numFmtId="164" fontId="5" fillId="0" borderId="7" xfId="0" applyNumberFormat="1" applyFont="1" applyBorder="1"/>
    <xf numFmtId="9" fontId="5" fillId="0" borderId="0" xfId="3" applyFont="1"/>
    <xf numFmtId="165" fontId="0" fillId="0" borderId="0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2" applyNumberFormat="1" applyFont="1" applyFill="1"/>
    <xf numFmtId="44" fontId="0" fillId="0" borderId="0" xfId="0" applyNumberFormat="1" applyFill="1"/>
    <xf numFmtId="0" fontId="0" fillId="0" borderId="0" xfId="0" applyFill="1" applyAlignment="1">
      <alignment vertical="center"/>
    </xf>
    <xf numFmtId="0" fontId="5" fillId="0" borderId="4" xfId="0" applyFont="1" applyFill="1" applyBorder="1" applyAlignment="1">
      <alignment horizontal="center"/>
    </xf>
    <xf numFmtId="165" fontId="0" fillId="0" borderId="0" xfId="1" applyNumberFormat="1" applyFont="1" applyFill="1"/>
    <xf numFmtId="44" fontId="0" fillId="0" borderId="0" xfId="2" applyFont="1" applyFill="1"/>
    <xf numFmtId="1" fontId="0" fillId="0" borderId="0" xfId="1" applyNumberFormat="1" applyFont="1" applyAlignment="1">
      <alignment horizontal="center"/>
    </xf>
    <xf numFmtId="0" fontId="0" fillId="0" borderId="0" xfId="0" applyBorder="1"/>
    <xf numFmtId="1" fontId="0" fillId="0" borderId="0" xfId="1" applyNumberFormat="1" applyFont="1" applyBorder="1" applyAlignment="1">
      <alignment horizontal="center"/>
    </xf>
    <xf numFmtId="44" fontId="0" fillId="0" borderId="0" xfId="2" applyFont="1" applyBorder="1"/>
    <xf numFmtId="164" fontId="0" fillId="0" borderId="0" xfId="2" applyNumberFormat="1" applyFont="1" applyBorder="1"/>
    <xf numFmtId="1" fontId="0" fillId="0" borderId="4" xfId="1" applyNumberFormat="1" applyFont="1" applyBorder="1" applyAlignment="1">
      <alignment horizontal="center"/>
    </xf>
    <xf numFmtId="44" fontId="0" fillId="0" borderId="4" xfId="2" applyFont="1" applyBorder="1"/>
    <xf numFmtId="164" fontId="0" fillId="0" borderId="4" xfId="2" applyNumberFormat="1" applyFont="1" applyBorder="1"/>
    <xf numFmtId="0" fontId="5" fillId="0" borderId="3" xfId="0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4" fontId="0" fillId="0" borderId="0" xfId="0" applyNumberFormat="1" applyFill="1" applyBorder="1"/>
    <xf numFmtId="0" fontId="11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0" fillId="0" borderId="0" xfId="0" applyFill="1" applyBorder="1"/>
    <xf numFmtId="164" fontId="0" fillId="0" borderId="0" xfId="2" applyNumberFormat="1" applyFont="1" applyFill="1" applyBorder="1"/>
    <xf numFmtId="164" fontId="0" fillId="0" borderId="5" xfId="0" applyNumberFormat="1" applyBorder="1"/>
    <xf numFmtId="164" fontId="0" fillId="0" borderId="0" xfId="0" applyNumberFormat="1" applyBorder="1"/>
    <xf numFmtId="0" fontId="3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44" fontId="0" fillId="0" borderId="4" xfId="2" applyFont="1" applyFill="1" applyBorder="1"/>
    <xf numFmtId="44" fontId="0" fillId="0" borderId="0" xfId="2" applyFont="1" applyFill="1" applyBorder="1"/>
    <xf numFmtId="44" fontId="0" fillId="0" borderId="0" xfId="0" applyNumberFormat="1" applyFill="1" applyBorder="1"/>
    <xf numFmtId="0" fontId="5" fillId="0" borderId="0" xfId="0" applyFont="1" applyFill="1" applyBorder="1"/>
    <xf numFmtId="10" fontId="0" fillId="0" borderId="0" xfId="3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9" fontId="0" fillId="0" borderId="0" xfId="3" applyFont="1"/>
    <xf numFmtId="44" fontId="7" fillId="0" borderId="0" xfId="0" applyNumberFormat="1" applyFont="1"/>
    <xf numFmtId="9" fontId="0" fillId="0" borderId="0" xfId="3" applyFont="1" applyFill="1"/>
    <xf numFmtId="0" fontId="0" fillId="0" borderId="0" xfId="0" applyAlignment="1">
      <alignment horizontal="center"/>
    </xf>
    <xf numFmtId="165" fontId="0" fillId="3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3" applyNumberFormat="1" applyFont="1" applyFill="1"/>
    <xf numFmtId="9" fontId="0" fillId="3" borderId="0" xfId="3" applyFont="1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"/>
  <sheetViews>
    <sheetView tabSelected="1" zoomScaleNormal="100" zoomScalePageLayoutView="90" workbookViewId="0">
      <selection activeCell="B26" sqref="B26"/>
    </sheetView>
  </sheetViews>
  <sheetFormatPr defaultRowHeight="15" x14ac:dyDescent="0.25"/>
  <cols>
    <col min="1" max="1" width="3.140625" customWidth="1"/>
    <col min="2" max="2" width="46.42578125" customWidth="1"/>
    <col min="3" max="3" width="6.42578125" customWidth="1"/>
    <col min="4" max="4" width="27.42578125" customWidth="1"/>
    <col min="5" max="5" width="7.42578125" style="1" customWidth="1"/>
    <col min="6" max="6" width="14.7109375" customWidth="1"/>
    <col min="7" max="7" width="15" bestFit="1" customWidth="1"/>
    <col min="8" max="8" width="12.5703125" bestFit="1" customWidth="1"/>
  </cols>
  <sheetData>
    <row r="1" spans="1:8" ht="21.75" thickBot="1" x14ac:dyDescent="0.4">
      <c r="A1" s="93" t="s">
        <v>111</v>
      </c>
      <c r="B1" s="93"/>
      <c r="C1" s="93"/>
      <c r="D1" s="93"/>
    </row>
    <row r="2" spans="1:8" ht="20.25" thickTop="1" thickBot="1" x14ac:dyDescent="0.35">
      <c r="A2" s="94" t="s">
        <v>0</v>
      </c>
      <c r="B2" s="94"/>
      <c r="C2" s="94"/>
      <c r="D2" s="94"/>
    </row>
    <row r="3" spans="1:8" ht="15.75" thickTop="1" x14ac:dyDescent="0.25"/>
    <row r="4" spans="1:8" ht="19.5" thickBot="1" x14ac:dyDescent="0.35">
      <c r="A4" s="2"/>
      <c r="B4" s="95" t="s">
        <v>1</v>
      </c>
      <c r="C4" s="95"/>
      <c r="D4" s="95"/>
    </row>
    <row r="5" spans="1:8" x14ac:dyDescent="0.25">
      <c r="B5" t="s">
        <v>2</v>
      </c>
      <c r="D5" s="3">
        <f>'Revenues - Current Rates'!G53</f>
        <v>1814327.9154400001</v>
      </c>
    </row>
    <row r="6" spans="1:8" x14ac:dyDescent="0.25">
      <c r="B6" t="s">
        <v>3</v>
      </c>
      <c r="D6" s="3">
        <f>'Revenues - Current Rates'!G54</f>
        <v>46730</v>
      </c>
    </row>
    <row r="7" spans="1:8" ht="15.75" x14ac:dyDescent="0.25">
      <c r="B7" s="4" t="s">
        <v>4</v>
      </c>
      <c r="D7" s="5">
        <f>SUM(D5:D6)</f>
        <v>1861057.9154400001</v>
      </c>
    </row>
    <row r="8" spans="1:8" x14ac:dyDescent="0.25">
      <c r="B8" s="6" t="s">
        <v>5</v>
      </c>
    </row>
    <row r="10" spans="1:8" ht="19.5" thickBot="1" x14ac:dyDescent="0.35">
      <c r="B10" s="95" t="s">
        <v>6</v>
      </c>
      <c r="C10" s="95"/>
      <c r="D10" s="95"/>
      <c r="F10" s="7" t="s">
        <v>7</v>
      </c>
      <c r="G10" s="7" t="s">
        <v>8</v>
      </c>
    </row>
    <row r="11" spans="1:8" ht="17.25" thickTop="1" thickBot="1" x14ac:dyDescent="0.3">
      <c r="B11" s="10" t="s">
        <v>10</v>
      </c>
      <c r="D11" s="11">
        <v>2170443</v>
      </c>
      <c r="F11" s="11"/>
      <c r="G11" s="11"/>
      <c r="H11" s="9"/>
    </row>
    <row r="12" spans="1:8" ht="17.25" thickTop="1" thickBot="1" x14ac:dyDescent="0.3">
      <c r="B12" s="4" t="s">
        <v>11</v>
      </c>
      <c r="D12" s="9">
        <f>D11-D6</f>
        <v>2123713</v>
      </c>
      <c r="F12" s="85">
        <f>F14*D12</f>
        <v>986839.73618698982</v>
      </c>
      <c r="G12" s="85">
        <f>G14*D12</f>
        <v>1136873.2638130102</v>
      </c>
      <c r="H12" s="12">
        <f>SUM(F12:G12)</f>
        <v>2123713</v>
      </c>
    </row>
    <row r="13" spans="1:8" ht="17.25" thickTop="1" thickBot="1" x14ac:dyDescent="0.3">
      <c r="B13" s="13" t="s">
        <v>12</v>
      </c>
      <c r="D13" s="14">
        <f>D11-D7</f>
        <v>309385.08455999987</v>
      </c>
    </row>
    <row r="14" spans="1:8" ht="15.75" thickTop="1" x14ac:dyDescent="0.25">
      <c r="F14" s="92">
        <v>0.46467659998643407</v>
      </c>
      <c r="G14" s="84">
        <v>0.53532340001356593</v>
      </c>
    </row>
    <row r="15" spans="1:8" ht="21" customHeight="1" x14ac:dyDescent="0.25">
      <c r="B15" s="96" t="s">
        <v>13</v>
      </c>
      <c r="C15" s="96"/>
      <c r="D15" s="96"/>
      <c r="F15" s="9"/>
    </row>
    <row r="16" spans="1:8" x14ac:dyDescent="0.25">
      <c r="B16" s="96"/>
      <c r="C16" s="96"/>
      <c r="D16" s="96"/>
    </row>
    <row r="17" spans="2:6" x14ac:dyDescent="0.25">
      <c r="D17" s="9"/>
    </row>
    <row r="18" spans="2:6" x14ac:dyDescent="0.25">
      <c r="B18" s="15"/>
      <c r="D18" s="16"/>
      <c r="F18" s="9"/>
    </row>
    <row r="19" spans="2:6" x14ac:dyDescent="0.25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14" customWidth="1"/>
    <col min="2" max="2" width="4.5703125" customWidth="1"/>
    <col min="3" max="3" width="11.5703125" bestFit="1" customWidth="1"/>
    <col min="4" max="4" width="9.42578125" customWidth="1"/>
    <col min="5" max="5" width="25.5703125" customWidth="1"/>
    <col min="6" max="6" width="4.7109375" customWidth="1"/>
    <col min="7" max="7" width="12.42578125" customWidth="1"/>
    <col min="8" max="8" width="9.42578125" customWidth="1"/>
    <col min="9" max="9" width="25.85546875" bestFit="1" customWidth="1"/>
    <col min="10" max="10" width="4.7109375" customWidth="1"/>
  </cols>
  <sheetData>
    <row r="1" spans="1:11" ht="21" x14ac:dyDescent="0.35">
      <c r="A1" s="69" t="str">
        <f>'Income Statement (2)'!A1:D1</f>
        <v>Liberty Utilities (Missouri Water), LLC - Bolivar Water - Year 2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.75" x14ac:dyDescent="0.3">
      <c r="A2" s="101" t="s">
        <v>96</v>
      </c>
      <c r="B2" s="101"/>
      <c r="C2" s="101"/>
      <c r="D2" s="101"/>
      <c r="E2" s="101"/>
      <c r="F2" s="70"/>
      <c r="G2" s="70"/>
      <c r="H2" s="70"/>
      <c r="I2" s="70"/>
      <c r="J2" s="70"/>
      <c r="K2" s="70"/>
    </row>
    <row r="4" spans="1:11" ht="15.75" x14ac:dyDescent="0.25">
      <c r="E4" s="53"/>
      <c r="F4" s="53"/>
      <c r="G4" s="71"/>
      <c r="H4" s="53"/>
    </row>
    <row r="5" spans="1:11" ht="15.75" x14ac:dyDescent="0.25">
      <c r="B5" s="31"/>
      <c r="C5" s="80" t="s">
        <v>97</v>
      </c>
      <c r="D5" s="31"/>
      <c r="E5" s="53"/>
      <c r="F5" s="53"/>
      <c r="G5" s="71"/>
      <c r="H5" s="53"/>
    </row>
    <row r="6" spans="1:11" x14ac:dyDescent="0.25">
      <c r="A6" t="s">
        <v>98</v>
      </c>
      <c r="C6" s="32">
        <f>'Rate Design (2)'!G38</f>
        <v>17.620859845171857</v>
      </c>
      <c r="E6" s="53"/>
      <c r="F6" s="53"/>
      <c r="G6" s="55"/>
      <c r="H6" s="53"/>
    </row>
    <row r="7" spans="1:11" x14ac:dyDescent="0.25">
      <c r="A7" s="1" t="s">
        <v>99</v>
      </c>
      <c r="B7" s="1"/>
      <c r="C7" s="72">
        <f>'Rate Design (2)'!E41*4</f>
        <v>17.994929869012189</v>
      </c>
      <c r="E7" s="65"/>
      <c r="F7" s="65"/>
      <c r="G7" s="73"/>
      <c r="H7" s="53"/>
    </row>
    <row r="8" spans="1:11" x14ac:dyDescent="0.25">
      <c r="A8" s="1" t="s">
        <v>100</v>
      </c>
      <c r="B8" s="1"/>
      <c r="C8" s="47">
        <f>SUM(C6:C7)</f>
        <v>35.615789714184046</v>
      </c>
      <c r="E8" s="65"/>
      <c r="F8" s="65"/>
      <c r="G8" s="74"/>
      <c r="H8" s="53"/>
    </row>
    <row r="10" spans="1:11" ht="18.75" x14ac:dyDescent="0.3">
      <c r="A10" s="102" t="s">
        <v>101</v>
      </c>
      <c r="B10" s="102"/>
      <c r="C10" s="102"/>
      <c r="D10" s="102"/>
      <c r="E10" s="102"/>
      <c r="F10" s="2"/>
      <c r="G10" s="2"/>
      <c r="H10" s="2"/>
      <c r="I10" s="2"/>
      <c r="J10" s="2"/>
      <c r="K10" s="2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B12" s="103" t="s">
        <v>102</v>
      </c>
      <c r="C12" s="103"/>
      <c r="D12" s="103"/>
      <c r="E12" s="75"/>
      <c r="F12" s="75"/>
      <c r="G12" s="65"/>
      <c r="H12" s="65"/>
      <c r="I12" s="75"/>
      <c r="J12" s="75"/>
      <c r="K12" s="65"/>
    </row>
    <row r="13" spans="1:11" x14ac:dyDescent="0.25">
      <c r="A13" s="1" t="s">
        <v>98</v>
      </c>
      <c r="B13" s="1"/>
      <c r="C13" s="47">
        <f>'Revenues - Current Rates (2)'!I10</f>
        <v>15.380247373664957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25">
      <c r="A14" s="1" t="s">
        <v>99</v>
      </c>
      <c r="B14" s="1"/>
      <c r="C14" s="72">
        <f>'Revenues - Current Rates (2)'!I26*4</f>
        <v>15.706751843497253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25">
      <c r="A15" s="1" t="s">
        <v>100</v>
      </c>
      <c r="B15" s="1"/>
      <c r="C15" s="47">
        <f>SUM(C13:C14)</f>
        <v>31.086999217162209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25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.75" x14ac:dyDescent="0.3">
      <c r="A18" s="102" t="s">
        <v>103</v>
      </c>
      <c r="B18" s="102"/>
      <c r="C18" s="102"/>
      <c r="D18" s="102"/>
      <c r="E18" s="102"/>
      <c r="F18" s="2"/>
      <c r="G18" s="2"/>
      <c r="H18" s="2"/>
      <c r="I18" s="2"/>
      <c r="J18" s="2"/>
      <c r="K18" s="2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104</v>
      </c>
      <c r="B20" s="1"/>
      <c r="C20" s="47">
        <f>C8-C15</f>
        <v>4.5287904970218378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25">
      <c r="A21" s="1" t="s">
        <v>105</v>
      </c>
      <c r="B21" s="1"/>
      <c r="C21" s="91">
        <f>(C8-C15)/C15</f>
        <v>0.14568117255015167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9"/>
  <sheetViews>
    <sheetView zoomScaleNormal="100" zoomScalePageLayoutView="90" workbookViewId="0">
      <selection activeCell="G16" sqref="G16"/>
    </sheetView>
  </sheetViews>
  <sheetFormatPr defaultRowHeight="15" x14ac:dyDescent="0.25"/>
  <cols>
    <col min="1" max="1" width="3.140625" customWidth="1"/>
    <col min="2" max="2" width="46.42578125" customWidth="1"/>
    <col min="3" max="3" width="6.42578125" customWidth="1"/>
    <col min="4" max="4" width="27.42578125" customWidth="1"/>
    <col min="5" max="5" width="7.42578125" style="1" customWidth="1"/>
    <col min="6" max="6" width="14.7109375" customWidth="1"/>
    <col min="7" max="7" width="15" bestFit="1" customWidth="1"/>
    <col min="8" max="8" width="12.5703125" bestFit="1" customWidth="1"/>
  </cols>
  <sheetData>
    <row r="1" spans="1:8" ht="21.75" thickBot="1" x14ac:dyDescent="0.4">
      <c r="A1" s="93" t="s">
        <v>115</v>
      </c>
      <c r="B1" s="93"/>
      <c r="C1" s="93"/>
      <c r="D1" s="93"/>
    </row>
    <row r="2" spans="1:8" ht="20.25" thickTop="1" thickBot="1" x14ac:dyDescent="0.35">
      <c r="A2" s="94" t="s">
        <v>0</v>
      </c>
      <c r="B2" s="94"/>
      <c r="C2" s="94"/>
      <c r="D2" s="94"/>
    </row>
    <row r="3" spans="1:8" ht="15.75" thickTop="1" x14ac:dyDescent="0.25"/>
    <row r="4" spans="1:8" ht="19.5" thickBot="1" x14ac:dyDescent="0.35">
      <c r="A4" s="2"/>
      <c r="B4" s="95" t="s">
        <v>1</v>
      </c>
      <c r="C4" s="95"/>
      <c r="D4" s="95"/>
    </row>
    <row r="5" spans="1:8" x14ac:dyDescent="0.25">
      <c r="B5" t="s">
        <v>2</v>
      </c>
      <c r="D5" s="3">
        <f>'Revenues - Current Rates (3)'!G40</f>
        <v>2433098.0000000005</v>
      </c>
    </row>
    <row r="6" spans="1:8" x14ac:dyDescent="0.25">
      <c r="B6" t="s">
        <v>3</v>
      </c>
      <c r="D6" s="3">
        <f>'Revenues - Current Rates (3)'!G41</f>
        <v>46730</v>
      </c>
    </row>
    <row r="7" spans="1:8" ht="15.75" x14ac:dyDescent="0.25">
      <c r="B7" s="4" t="s">
        <v>4</v>
      </c>
      <c r="D7" s="5">
        <f>SUM(D5:D6)</f>
        <v>2479828.0000000005</v>
      </c>
    </row>
    <row r="8" spans="1:8" x14ac:dyDescent="0.25">
      <c r="B8" s="6" t="s">
        <v>5</v>
      </c>
    </row>
    <row r="10" spans="1:8" ht="19.5" thickBot="1" x14ac:dyDescent="0.35">
      <c r="B10" s="95" t="s">
        <v>6</v>
      </c>
      <c r="C10" s="95"/>
      <c r="D10" s="95"/>
      <c r="F10" s="7" t="s">
        <v>7</v>
      </c>
      <c r="G10" s="7" t="s">
        <v>8</v>
      </c>
    </row>
    <row r="11" spans="1:8" ht="17.25" thickTop="1" thickBot="1" x14ac:dyDescent="0.3">
      <c r="B11" s="10" t="s">
        <v>10</v>
      </c>
      <c r="D11" s="11">
        <v>2789213</v>
      </c>
      <c r="F11" s="11"/>
      <c r="G11" s="11"/>
      <c r="H11" s="9"/>
    </row>
    <row r="12" spans="1:8" ht="17.25" thickTop="1" thickBot="1" x14ac:dyDescent="0.3">
      <c r="B12" s="4" t="s">
        <v>11</v>
      </c>
      <c r="D12" s="9">
        <f>D11-D6</f>
        <v>2742483</v>
      </c>
      <c r="F12" s="12">
        <f>F14*D12</f>
        <v>1274367.6759605957</v>
      </c>
      <c r="G12" s="12">
        <f>G14*D12</f>
        <v>1468115.3240394043</v>
      </c>
      <c r="H12" s="12">
        <f>SUM(F12:G12)</f>
        <v>2742483</v>
      </c>
    </row>
    <row r="13" spans="1:8" ht="17.25" thickTop="1" thickBot="1" x14ac:dyDescent="0.3">
      <c r="B13" s="13" t="s">
        <v>12</v>
      </c>
      <c r="D13" s="14">
        <f>D11-D7</f>
        <v>309384.99999999953</v>
      </c>
    </row>
    <row r="14" spans="1:8" ht="15.75" thickTop="1" x14ac:dyDescent="0.25">
      <c r="F14" s="84">
        <v>0.46467659998643407</v>
      </c>
      <c r="G14" s="84">
        <v>0.53532340001356593</v>
      </c>
    </row>
    <row r="15" spans="1:8" ht="21" customHeight="1" x14ac:dyDescent="0.25">
      <c r="B15" s="96" t="s">
        <v>13</v>
      </c>
      <c r="C15" s="96"/>
      <c r="D15" s="96"/>
      <c r="F15" s="9"/>
    </row>
    <row r="16" spans="1:8" x14ac:dyDescent="0.25">
      <c r="B16" s="96"/>
      <c r="C16" s="96"/>
      <c r="D16" s="96"/>
      <c r="G16" s="9"/>
    </row>
    <row r="17" spans="2:4" x14ac:dyDescent="0.25">
      <c r="D17" s="9"/>
    </row>
    <row r="18" spans="2:4" x14ac:dyDescent="0.25">
      <c r="B18" s="15"/>
      <c r="D18" s="16"/>
    </row>
    <row r="19" spans="2:4" x14ac:dyDescent="0.25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43"/>
  <sheetViews>
    <sheetView view="pageLayout" topLeftCell="A3" zoomScaleNormal="100" workbookViewId="0">
      <selection activeCell="A6" sqref="A6:K6"/>
    </sheetView>
  </sheetViews>
  <sheetFormatPr defaultRowHeight="15" x14ac:dyDescent="0.25"/>
  <cols>
    <col min="1" max="1" width="33.28515625" customWidth="1"/>
    <col min="2" max="2" width="2.140625" customWidth="1"/>
    <col min="3" max="3" width="11.140625" customWidth="1"/>
    <col min="4" max="4" width="2" customWidth="1"/>
    <col min="6" max="6" width="1.85546875" customWidth="1"/>
    <col min="7" max="7" width="15.140625" bestFit="1" customWidth="1"/>
    <col min="8" max="8" width="1.85546875" customWidth="1"/>
    <col min="10" max="10" width="1.85546875" customWidth="1"/>
    <col min="11" max="11" width="14.28515625" bestFit="1" customWidth="1"/>
    <col min="14" max="15" width="11.5703125" bestFit="1" customWidth="1"/>
    <col min="16" max="17" width="14.85546875" bestFit="1" customWidth="1"/>
  </cols>
  <sheetData>
    <row r="1" spans="1:16" ht="21.75" thickBot="1" x14ac:dyDescent="0.4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 ht="20.25" thickTop="1" thickBot="1" x14ac:dyDescent="0.35">
      <c r="A2" s="94" t="s">
        <v>116</v>
      </c>
      <c r="B2" s="94"/>
      <c r="C2" s="94"/>
      <c r="D2" s="94"/>
      <c r="E2" s="94"/>
      <c r="F2" s="94"/>
      <c r="G2" s="94"/>
      <c r="H2" s="94"/>
      <c r="I2" s="94"/>
      <c r="J2" s="94"/>
      <c r="K2" s="94"/>
      <c r="O2" s="9"/>
      <c r="P2" s="9"/>
    </row>
    <row r="3" spans="1:16" ht="15.75" thickTop="1" x14ac:dyDescent="0.25">
      <c r="O3" s="9"/>
      <c r="P3" s="9"/>
    </row>
    <row r="4" spans="1:16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O4" s="9"/>
      <c r="P4" s="9"/>
    </row>
    <row r="5" spans="1:16" x14ac:dyDescent="0.25">
      <c r="O5" s="9"/>
      <c r="P5" s="9"/>
    </row>
    <row r="6" spans="1:16" ht="15.75" thickBot="1" x14ac:dyDescent="0.3">
      <c r="A6" s="97" t="s">
        <v>16</v>
      </c>
      <c r="B6" s="97"/>
      <c r="C6" s="97"/>
      <c r="D6" s="97"/>
      <c r="E6" s="97"/>
      <c r="F6" s="97"/>
      <c r="G6" s="97"/>
      <c r="H6" s="97"/>
      <c r="I6" s="97"/>
      <c r="J6" s="97"/>
      <c r="K6" s="97"/>
      <c r="O6" s="9"/>
    </row>
    <row r="7" spans="1:16" x14ac:dyDescent="0.25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25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25">
      <c r="A9" s="77" t="str">
        <f>'Revenues - Proposed Rates (2)'!A8</f>
        <v>1/2"</v>
      </c>
      <c r="C9" s="77">
        <f>'Revenues - Proposed Rates (2)'!C8</f>
        <v>1</v>
      </c>
      <c r="E9" s="52">
        <v>12</v>
      </c>
      <c r="G9" s="21">
        <f>C9*E9</f>
        <v>12</v>
      </c>
      <c r="I9" s="32">
        <f>'Revenues - Proposed Rates (2)'!I8</f>
        <v>17.620859845171857</v>
      </c>
      <c r="K9" s="3">
        <f>G9*I9</f>
        <v>211.45031814206229</v>
      </c>
    </row>
    <row r="10" spans="1:16" x14ac:dyDescent="0.25">
      <c r="A10" s="77" t="str">
        <f>'Revenues - Proposed Rates (2)'!A9</f>
        <v>5/8"</v>
      </c>
      <c r="C10" s="77">
        <f>'Revenues - Proposed Rates (2)'!C9</f>
        <v>459</v>
      </c>
      <c r="E10" s="52">
        <v>12</v>
      </c>
      <c r="G10" s="21">
        <f>C10*E10</f>
        <v>5508</v>
      </c>
      <c r="I10" s="32">
        <f>'Revenues - Proposed Rates (2)'!I9</f>
        <v>17.620859845171857</v>
      </c>
      <c r="K10" s="3">
        <f>G10*I10</f>
        <v>97055.696027206592</v>
      </c>
    </row>
    <row r="11" spans="1:16" x14ac:dyDescent="0.25">
      <c r="A11" s="77" t="str">
        <f>'Revenues - Proposed Rates (2)'!A10</f>
        <v>3/4"</v>
      </c>
      <c r="C11" s="77">
        <f>'Revenues - Proposed Rates (2)'!C10</f>
        <v>4044</v>
      </c>
      <c r="E11" s="52">
        <v>12</v>
      </c>
      <c r="G11" s="21">
        <f>C11*E11</f>
        <v>48528</v>
      </c>
      <c r="I11" s="32">
        <f>'Revenues - Proposed Rates (2)'!I10</f>
        <v>17.620859845171857</v>
      </c>
      <c r="K11" s="3">
        <f t="shared" ref="K11:K18" si="0">G11*I11</f>
        <v>855105.0865664999</v>
      </c>
    </row>
    <row r="12" spans="1:16" x14ac:dyDescent="0.25">
      <c r="A12" s="77" t="str">
        <f>'Revenues - Proposed Rates (2)'!A11</f>
        <v>1"</v>
      </c>
      <c r="C12" s="77">
        <f>'Revenues - Proposed Rates (2)'!C11</f>
        <v>218</v>
      </c>
      <c r="E12" s="52">
        <v>12</v>
      </c>
      <c r="G12" s="21">
        <f t="shared" ref="G12:G18" si="1">C12*E12</f>
        <v>2616</v>
      </c>
      <c r="I12" s="32">
        <f>'Revenues - Proposed Rates (2)'!I11</f>
        <v>30.836504729050752</v>
      </c>
      <c r="K12" s="3">
        <f t="shared" si="0"/>
        <v>80668.29637119676</v>
      </c>
      <c r="O12" s="21"/>
    </row>
    <row r="13" spans="1:16" x14ac:dyDescent="0.25">
      <c r="A13" s="77" t="str">
        <f>'Revenues - Proposed Rates (2)'!A12</f>
        <v>1  1/2"</v>
      </c>
      <c r="C13" s="77">
        <f>'Revenues - Proposed Rates (2)'!C12</f>
        <v>10</v>
      </c>
      <c r="E13" s="52">
        <v>12</v>
      </c>
      <c r="G13" s="21">
        <f t="shared" si="1"/>
        <v>120</v>
      </c>
      <c r="I13" s="32">
        <f>'Revenues - Proposed Rates (2)'!I12</f>
        <v>52.862579535515572</v>
      </c>
      <c r="K13" s="3">
        <f t="shared" si="0"/>
        <v>6343.5095442618685</v>
      </c>
      <c r="O13" s="21"/>
    </row>
    <row r="14" spans="1:16" x14ac:dyDescent="0.25">
      <c r="A14" s="77" t="str">
        <f>'Revenues - Proposed Rates (2)'!A13</f>
        <v xml:space="preserve"> 2"</v>
      </c>
      <c r="C14" s="77">
        <f>'Revenues - Proposed Rates (2)'!C13</f>
        <v>72</v>
      </c>
      <c r="E14" s="52">
        <v>12</v>
      </c>
      <c r="G14" s="21">
        <f t="shared" si="1"/>
        <v>864</v>
      </c>
      <c r="I14" s="32">
        <f>'Revenues - Proposed Rates (2)'!I13</f>
        <v>61.673009458101504</v>
      </c>
      <c r="K14" s="3">
        <f t="shared" si="0"/>
        <v>53285.480171799696</v>
      </c>
    </row>
    <row r="15" spans="1:16" x14ac:dyDescent="0.25">
      <c r="A15" s="77" t="str">
        <f>'Revenues - Proposed Rates (2)'!A14</f>
        <v>3"</v>
      </c>
      <c r="C15" s="77">
        <f>'Revenues - Proposed Rates (2)'!C14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 (2)'!I14</f>
        <v>88.104299225859279</v>
      </c>
      <c r="J15" s="53"/>
      <c r="K15" s="3">
        <f t="shared" si="0"/>
        <v>20087.780223495916</v>
      </c>
    </row>
    <row r="16" spans="1:16" x14ac:dyDescent="0.25">
      <c r="A16" s="77" t="str">
        <f>'Revenues - Proposed Rates (2)'!A15</f>
        <v xml:space="preserve"> 4"</v>
      </c>
      <c r="C16" s="77">
        <f>'Revenues - Proposed Rates (2)'!C15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 (2)'!I15</f>
        <v>176.20859845171856</v>
      </c>
      <c r="J16" s="53"/>
      <c r="K16" s="3">
        <f t="shared" si="0"/>
        <v>14801.522269944358</v>
      </c>
    </row>
    <row r="17" spans="1:15" x14ac:dyDescent="0.25">
      <c r="A17" s="77" t="str">
        <f>'Revenues - Proposed Rates (2)'!A16</f>
        <v xml:space="preserve"> 6"</v>
      </c>
      <c r="C17" s="77">
        <f>'Revenues - Proposed Rates (2)'!C16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 (2)'!I16</f>
        <v>352.41719690343712</v>
      </c>
      <c r="J17" s="53"/>
      <c r="K17" s="56">
        <f t="shared" si="0"/>
        <v>0</v>
      </c>
    </row>
    <row r="18" spans="1:15" x14ac:dyDescent="0.25">
      <c r="A18" s="77" t="str">
        <f>'Revenues - Proposed Rates (2)'!A17</f>
        <v>Flat Rate - Unmetered</v>
      </c>
      <c r="C18" s="77">
        <f>'Revenues - Proposed Rates (2)'!C17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 (2)'!I17</f>
        <v>42.290063628412454</v>
      </c>
      <c r="J18" s="53"/>
      <c r="K18" s="56">
        <f t="shared" si="0"/>
        <v>3044.8845812456966</v>
      </c>
    </row>
    <row r="19" spans="1:15" x14ac:dyDescent="0.25">
      <c r="A19" s="24" t="s">
        <v>20</v>
      </c>
      <c r="B19" s="25"/>
      <c r="C19" s="26">
        <f>SUM(C8:C18)</f>
        <v>4836</v>
      </c>
      <c r="D19" s="25"/>
      <c r="E19" s="25"/>
      <c r="F19" s="25"/>
      <c r="G19" s="27">
        <f>SUM(G8:G18)</f>
        <v>58032</v>
      </c>
      <c r="H19" s="25"/>
      <c r="I19" s="25"/>
      <c r="J19" s="25"/>
      <c r="K19" s="28">
        <f>SUM(K9:K18)</f>
        <v>1130603.7060737931</v>
      </c>
    </row>
    <row r="20" spans="1:15" x14ac:dyDescent="0.25">
      <c r="A20" s="6" t="s">
        <v>48</v>
      </c>
    </row>
    <row r="21" spans="1:15" x14ac:dyDescent="0.25">
      <c r="A21" s="6"/>
    </row>
    <row r="22" spans="1:15" x14ac:dyDescent="0.25">
      <c r="A22" s="6"/>
    </row>
    <row r="23" spans="1:15" ht="19.5" thickBot="1" x14ac:dyDescent="0.35">
      <c r="A23" s="95" t="s">
        <v>49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5" x14ac:dyDescent="0.25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25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25">
      <c r="A26" s="20"/>
      <c r="G26" s="16">
        <f>289524728/1000</f>
        <v>289524.728</v>
      </c>
      <c r="I26" s="32">
        <f>'Revenues - Proposed Rates (2)'!I23</f>
        <v>4.4987324672530473</v>
      </c>
      <c r="K26" s="9">
        <f t="shared" ref="K26" si="2">G26*I26</f>
        <v>1302494.2939262073</v>
      </c>
    </row>
    <row r="27" spans="1:15" x14ac:dyDescent="0.25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1302494.2939262073</v>
      </c>
      <c r="O27" s="29"/>
    </row>
    <row r="28" spans="1:15" x14ac:dyDescent="0.25">
      <c r="A28" s="6" t="s">
        <v>107</v>
      </c>
    </row>
    <row r="29" spans="1:15" ht="19.5" thickBot="1" x14ac:dyDescent="0.35">
      <c r="A29" s="95" t="s">
        <v>56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1" spans="1:15" x14ac:dyDescent="0.25">
      <c r="A31" t="s">
        <v>57</v>
      </c>
      <c r="G31" s="3">
        <v>14411</v>
      </c>
    </row>
    <row r="32" spans="1:15" x14ac:dyDescent="0.25">
      <c r="A32" t="s">
        <v>58</v>
      </c>
      <c r="G32" s="3">
        <v>31694</v>
      </c>
    </row>
    <row r="33" spans="1:17" x14ac:dyDescent="0.25">
      <c r="A33" t="s">
        <v>59</v>
      </c>
      <c r="G33" s="3">
        <v>625</v>
      </c>
    </row>
    <row r="34" spans="1:17" ht="15.75" x14ac:dyDescent="0.25">
      <c r="A34" s="4" t="s">
        <v>60</v>
      </c>
      <c r="G34" s="35">
        <f>SUM(G31:G33)</f>
        <v>46730</v>
      </c>
      <c r="O34" s="16"/>
    </row>
    <row r="36" spans="1:17" ht="19.5" thickBot="1" x14ac:dyDescent="0.35">
      <c r="A36" s="95" t="s">
        <v>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7" x14ac:dyDescent="0.25">
      <c r="O37" s="29"/>
      <c r="P37" s="29"/>
      <c r="Q37" s="29"/>
    </row>
    <row r="38" spans="1:17" x14ac:dyDescent="0.25">
      <c r="A38" t="s">
        <v>61</v>
      </c>
      <c r="G38" s="9">
        <f>K19</f>
        <v>1130603.7060737931</v>
      </c>
      <c r="Q38" s="29"/>
    </row>
    <row r="39" spans="1:17" x14ac:dyDescent="0.25">
      <c r="A39" t="s">
        <v>62</v>
      </c>
      <c r="G39" s="36">
        <f>K27</f>
        <v>1302494.2939262073</v>
      </c>
      <c r="P39" s="34"/>
      <c r="Q39" s="34"/>
    </row>
    <row r="40" spans="1:17" ht="15.75" x14ac:dyDescent="0.25">
      <c r="A40" s="4" t="s">
        <v>63</v>
      </c>
      <c r="G40" s="37">
        <f>SUM(G38:G39)</f>
        <v>2433098.0000000005</v>
      </c>
    </row>
    <row r="41" spans="1:17" ht="15.75" x14ac:dyDescent="0.25">
      <c r="A41" s="4" t="s">
        <v>56</v>
      </c>
      <c r="G41" s="38">
        <f>G34</f>
        <v>46730</v>
      </c>
    </row>
    <row r="42" spans="1:17" ht="16.5" thickBot="1" x14ac:dyDescent="0.3">
      <c r="A42" s="4" t="s">
        <v>4</v>
      </c>
      <c r="G42" s="39">
        <f>SUM(G40:G41)</f>
        <v>2479828.0000000005</v>
      </c>
    </row>
    <row r="43" spans="1:17" ht="15.75" thickTop="1" x14ac:dyDescent="0.25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8" orientation="portrait" r:id="rId1"/>
  <headerFooter>
    <oddFooter>&amp;RCase No. WR-2024-0104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56"/>
  <sheetViews>
    <sheetView topLeftCell="A4" zoomScaleNormal="100" workbookViewId="0">
      <selection activeCell="C30" activeCellId="1" sqref="C26 C30"/>
    </sheetView>
  </sheetViews>
  <sheetFormatPr defaultRowHeight="15" x14ac:dyDescent="0.25"/>
  <cols>
    <col min="1" max="1" width="30" customWidth="1"/>
    <col min="2" max="2" width="3.140625" customWidth="1"/>
    <col min="3" max="3" width="12.5703125" bestFit="1" customWidth="1"/>
    <col min="4" max="4" width="3.28515625" customWidth="1"/>
    <col min="5" max="5" width="13.5703125" customWidth="1"/>
    <col min="6" max="6" width="3.42578125" customWidth="1"/>
    <col min="7" max="7" width="12.42578125" customWidth="1"/>
    <col min="8" max="8" width="4.28515625" customWidth="1"/>
    <col min="9" max="9" width="12.7109375" bestFit="1" customWidth="1"/>
  </cols>
  <sheetData>
    <row r="1" spans="1:9" ht="21.75" thickBot="1" x14ac:dyDescent="0.4">
      <c r="A1" s="93" t="str">
        <f>'Income Statement (3)'!A1:D1</f>
        <v>Liberty Utilities (Missouri Water), LLC - Bolivar Water - Year 3</v>
      </c>
      <c r="B1" s="93"/>
      <c r="C1" s="93"/>
      <c r="D1" s="93"/>
      <c r="E1" s="93"/>
      <c r="F1" s="93"/>
      <c r="G1" s="93"/>
      <c r="H1" s="93"/>
      <c r="I1" s="93"/>
    </row>
    <row r="2" spans="1:9" ht="20.25" thickTop="1" thickBot="1" x14ac:dyDescent="0.35">
      <c r="A2" s="94" t="s">
        <v>64</v>
      </c>
      <c r="B2" s="94"/>
      <c r="C2" s="94"/>
      <c r="D2" s="94"/>
      <c r="E2" s="94"/>
      <c r="F2" s="94"/>
      <c r="G2" s="94"/>
      <c r="H2" s="94"/>
      <c r="I2" s="94"/>
    </row>
    <row r="3" spans="1:9" ht="15.75" thickTop="1" x14ac:dyDescent="0.25"/>
    <row r="4" spans="1:9" ht="15.75" x14ac:dyDescent="0.25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(3)'!G40</f>
        <v>2433098.0000000005</v>
      </c>
    </row>
    <row r="5" spans="1:9" ht="15.75" x14ac:dyDescent="0.25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(3)'!D13</f>
        <v>309384.99999999953</v>
      </c>
    </row>
    <row r="6" spans="1:9" ht="15.75" x14ac:dyDescent="0.25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0.12715681817994978</v>
      </c>
    </row>
    <row r="8" spans="1:9" ht="19.5" thickBot="1" x14ac:dyDescent="0.35">
      <c r="A8" s="95" t="s">
        <v>68</v>
      </c>
      <c r="B8" s="95"/>
      <c r="C8" s="95"/>
      <c r="D8" s="95"/>
      <c r="E8" s="95"/>
      <c r="F8" s="95"/>
      <c r="G8" s="95"/>
      <c r="H8" s="95"/>
      <c r="I8" s="95"/>
    </row>
    <row r="9" spans="1:9" ht="15.75" x14ac:dyDescent="0.25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75" x14ac:dyDescent="0.25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75" x14ac:dyDescent="0.25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25">
      <c r="A12" s="23" t="str">
        <f>'Revenues - Current Rates (3)'!A9</f>
        <v>1/2"</v>
      </c>
      <c r="C12" s="23">
        <f>'Revenues - Current Rates (3)'!I9</f>
        <v>17.620859845171857</v>
      </c>
      <c r="E12" s="23">
        <f>I26</f>
        <v>19.861472316678757</v>
      </c>
      <c r="G12" s="23">
        <f>'Revenues - Current Rates (3)'!$I$26</f>
        <v>4.4987324672530473</v>
      </c>
      <c r="I12" s="32">
        <f t="shared" ref="I12:I21" si="0">$E$41</f>
        <v>5.07077697363178</v>
      </c>
    </row>
    <row r="13" spans="1:9" x14ac:dyDescent="0.25">
      <c r="A13" s="23" t="str">
        <f>'Revenues - Current Rates (3)'!A10</f>
        <v>5/8"</v>
      </c>
      <c r="C13" s="23">
        <f>'Revenues - Current Rates (3)'!I10</f>
        <v>17.620859845171857</v>
      </c>
      <c r="E13" s="23">
        <f t="shared" ref="E13:E21" si="1">I27</f>
        <v>19.861472316678757</v>
      </c>
      <c r="G13" s="23">
        <f>'Revenues - Current Rates (3)'!$I$26</f>
        <v>4.4987324672530473</v>
      </c>
      <c r="I13" s="32">
        <f t="shared" si="0"/>
        <v>5.07077697363178</v>
      </c>
    </row>
    <row r="14" spans="1:9" x14ac:dyDescent="0.25">
      <c r="A14" s="23" t="str">
        <f>'Revenues - Current Rates (3)'!A11</f>
        <v>3/4"</v>
      </c>
      <c r="C14" s="23">
        <f>'Revenues - Current Rates (3)'!I11</f>
        <v>17.620859845171857</v>
      </c>
      <c r="E14" s="23">
        <f t="shared" si="1"/>
        <v>19.861472316678757</v>
      </c>
      <c r="G14" s="23">
        <f>'Revenues - Current Rates (3)'!$I$26</f>
        <v>4.4987324672530473</v>
      </c>
      <c r="I14" s="32">
        <f t="shared" si="0"/>
        <v>5.07077697363178</v>
      </c>
    </row>
    <row r="15" spans="1:9" x14ac:dyDescent="0.25">
      <c r="A15" s="23" t="str">
        <f>'Revenues - Current Rates (3)'!A12</f>
        <v>1"</v>
      </c>
      <c r="C15" s="23">
        <f>'Revenues - Current Rates (3)'!I12</f>
        <v>30.836504729050752</v>
      </c>
      <c r="E15" s="23">
        <f t="shared" si="1"/>
        <v>34.757576554187821</v>
      </c>
      <c r="G15" s="23">
        <f>'Revenues - Current Rates (3)'!$I$26</f>
        <v>4.4987324672530473</v>
      </c>
      <c r="I15" s="32">
        <f t="shared" si="0"/>
        <v>5.07077697363178</v>
      </c>
    </row>
    <row r="16" spans="1:9" x14ac:dyDescent="0.25">
      <c r="A16" s="23" t="str">
        <f>'Revenues - Current Rates (3)'!A13</f>
        <v>1  1/2"</v>
      </c>
      <c r="C16" s="23">
        <f>'Revenues - Current Rates (3)'!I13</f>
        <v>52.862579535515572</v>
      </c>
      <c r="E16" s="23">
        <f t="shared" si="1"/>
        <v>59.584416950036271</v>
      </c>
      <c r="G16" s="23">
        <f>'Revenues - Current Rates (3)'!$I$26</f>
        <v>4.4987324672530473</v>
      </c>
      <c r="I16" s="32">
        <f t="shared" si="0"/>
        <v>5.07077697363178</v>
      </c>
    </row>
    <row r="17" spans="1:9" x14ac:dyDescent="0.25">
      <c r="A17" s="23" t="str">
        <f>'Revenues - Current Rates (3)'!A14</f>
        <v xml:space="preserve"> 2"</v>
      </c>
      <c r="C17" s="23">
        <f>'Revenues - Current Rates (3)'!I14</f>
        <v>61.673009458101504</v>
      </c>
      <c r="E17" s="23">
        <f t="shared" si="1"/>
        <v>69.515153108375642</v>
      </c>
      <c r="G17" s="23">
        <f>'Revenues - Current Rates (3)'!$I$26</f>
        <v>4.4987324672530473</v>
      </c>
      <c r="I17" s="32">
        <f t="shared" si="0"/>
        <v>5.07077697363178</v>
      </c>
    </row>
    <row r="18" spans="1:9" x14ac:dyDescent="0.25">
      <c r="A18" s="23" t="str">
        <f>'Revenues - Current Rates (3)'!A15</f>
        <v>3"</v>
      </c>
      <c r="C18" s="23">
        <f>'Revenues - Current Rates (3)'!I15</f>
        <v>88.104299225859279</v>
      </c>
      <c r="E18" s="23">
        <f t="shared" si="1"/>
        <v>99.307361583393785</v>
      </c>
      <c r="G18" s="23">
        <f>'Revenues - Current Rates (3)'!$I$26</f>
        <v>4.4987324672530473</v>
      </c>
      <c r="I18" s="32">
        <f t="shared" si="0"/>
        <v>5.07077697363178</v>
      </c>
    </row>
    <row r="19" spans="1:9" x14ac:dyDescent="0.25">
      <c r="A19" s="23" t="str">
        <f>'Revenues - Current Rates (3)'!A16</f>
        <v xml:space="preserve"> 4"</v>
      </c>
      <c r="C19" s="23">
        <f>'Revenues - Current Rates (3)'!I16</f>
        <v>176.20859845171856</v>
      </c>
      <c r="E19" s="23">
        <f t="shared" si="1"/>
        <v>198.61472316678757</v>
      </c>
      <c r="G19" s="23">
        <f>'Revenues - Current Rates (3)'!$I$26</f>
        <v>4.4987324672530473</v>
      </c>
      <c r="I19" s="32">
        <f t="shared" si="0"/>
        <v>5.07077697363178</v>
      </c>
    </row>
    <row r="20" spans="1:9" x14ac:dyDescent="0.25">
      <c r="A20" s="23" t="str">
        <f>'Revenues - Current Rates (3)'!A17</f>
        <v xml:space="preserve"> 6"</v>
      </c>
      <c r="C20" s="23">
        <f>'Revenues - Current Rates (3)'!I17</f>
        <v>352.41719690343712</v>
      </c>
      <c r="E20" s="23">
        <f t="shared" si="1"/>
        <v>397.22944633357514</v>
      </c>
      <c r="G20" s="23">
        <f>'Revenues - Current Rates (3)'!$I$26</f>
        <v>4.4987324672530473</v>
      </c>
      <c r="I20" s="32">
        <f t="shared" si="0"/>
        <v>5.07077697363178</v>
      </c>
    </row>
    <row r="21" spans="1:9" x14ac:dyDescent="0.25">
      <c r="A21" s="23" t="str">
        <f>'Revenues - Current Rates (3)'!A18</f>
        <v>Flat Rate - Unmetered</v>
      </c>
      <c r="C21" s="23">
        <f>'Revenues - Current Rates (3)'!I18</f>
        <v>42.290063628412454</v>
      </c>
      <c r="E21" s="23">
        <f t="shared" si="1"/>
        <v>47.667533560029014</v>
      </c>
      <c r="G21" s="23">
        <f>'Revenues - Current Rates (3)'!$I$26</f>
        <v>4.4987324672530473</v>
      </c>
      <c r="I21" s="32">
        <f t="shared" si="0"/>
        <v>5.07077697363178</v>
      </c>
    </row>
    <row r="22" spans="1:9" x14ac:dyDescent="0.25">
      <c r="A22" s="23"/>
      <c r="C22" s="23"/>
      <c r="E22" s="23"/>
      <c r="G22" s="32"/>
    </row>
    <row r="23" spans="1:9" ht="15.75" x14ac:dyDescent="0.25">
      <c r="C23" s="7"/>
      <c r="D23" s="7"/>
      <c r="E23" s="7"/>
      <c r="G23" s="7"/>
      <c r="H23" s="7"/>
      <c r="I23" s="7" t="s">
        <v>70</v>
      </c>
    </row>
    <row r="24" spans="1:9" ht="15.75" x14ac:dyDescent="0.25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75" x14ac:dyDescent="0.25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25">
      <c r="A26" s="77" t="s">
        <v>74</v>
      </c>
      <c r="C26" s="90">
        <f>'Revenues - Current Rates (3)'!C9</f>
        <v>1</v>
      </c>
      <c r="E26" s="77">
        <v>1</v>
      </c>
      <c r="G26" s="21">
        <f>C26*E26</f>
        <v>1</v>
      </c>
      <c r="I26" s="32">
        <f>E26*$G$38</f>
        <v>19.861472316678757</v>
      </c>
    </row>
    <row r="27" spans="1:9" x14ac:dyDescent="0.25">
      <c r="A27" s="77" t="s">
        <v>75</v>
      </c>
      <c r="C27" s="77">
        <f>SUMIF('Revenues - Current Rates (3)'!$A$10:$A$18,"*"&amp;A27&amp;"*",'Revenues - Current Rates (3)'!$C$10:$C$18)</f>
        <v>459</v>
      </c>
      <c r="E27" s="77">
        <v>1</v>
      </c>
      <c r="G27" s="21">
        <f>C27*E27</f>
        <v>459</v>
      </c>
      <c r="I27" s="32">
        <f>E27*$G$38</f>
        <v>19.861472316678757</v>
      </c>
    </row>
    <row r="28" spans="1:9" x14ac:dyDescent="0.25">
      <c r="A28" s="77" t="s">
        <v>76</v>
      </c>
      <c r="C28" s="77">
        <f>SUMIF('Revenues - Current Rates (3)'!$A$10:$A$18,"*"&amp;A28&amp;"*",'Revenues - Current Rates (3)'!$C$10:$C$18)</f>
        <v>4044</v>
      </c>
      <c r="E28" s="77">
        <v>1</v>
      </c>
      <c r="G28" s="21">
        <f>C28*E28</f>
        <v>4044</v>
      </c>
      <c r="I28" s="32">
        <f t="shared" ref="I28:I35" si="2">E28*$G$38</f>
        <v>19.861472316678757</v>
      </c>
    </row>
    <row r="29" spans="1:9" x14ac:dyDescent="0.25">
      <c r="A29" s="77" t="s">
        <v>77</v>
      </c>
      <c r="C29" s="77">
        <f>SUMIF('Revenues - Current Rates (3)'!$A$10:$A$18,"*"&amp;A29&amp;"*",'Revenues - Current Rates (3)'!$C$10:$C$18)</f>
        <v>218</v>
      </c>
      <c r="E29" s="77">
        <v>1.75</v>
      </c>
      <c r="G29" s="21">
        <f t="shared" ref="G29:G35" si="3">C29*E29</f>
        <v>381.5</v>
      </c>
      <c r="I29" s="32">
        <f t="shared" si="2"/>
        <v>34.757576554187821</v>
      </c>
    </row>
    <row r="30" spans="1:9" x14ac:dyDescent="0.25">
      <c r="A30" s="77" t="s">
        <v>78</v>
      </c>
      <c r="C30" s="90">
        <f>SUMIF('Revenues - Current Rates (3)'!$A$10:$A$18,"*"&amp;A30&amp;"*",'Revenues - Current Rates (3)'!$C$10:$C$18)</f>
        <v>10</v>
      </c>
      <c r="E30" s="77">
        <v>3</v>
      </c>
      <c r="G30" s="21">
        <f t="shared" si="3"/>
        <v>30</v>
      </c>
      <c r="I30" s="32">
        <f t="shared" si="2"/>
        <v>59.584416950036271</v>
      </c>
    </row>
    <row r="31" spans="1:9" x14ac:dyDescent="0.25">
      <c r="A31" s="77" t="s">
        <v>79</v>
      </c>
      <c r="C31" s="77">
        <f>SUMIF('Revenues - Current Rates (3)'!$A$10:$A$18,"*"&amp;A31&amp;"*",'Revenues - Current Rates (3)'!$C$10:$C$18)</f>
        <v>72</v>
      </c>
      <c r="E31" s="77">
        <v>3.5</v>
      </c>
      <c r="G31" s="21">
        <f t="shared" si="3"/>
        <v>252</v>
      </c>
      <c r="I31" s="32">
        <f t="shared" si="2"/>
        <v>69.515153108375642</v>
      </c>
    </row>
    <row r="32" spans="1:9" x14ac:dyDescent="0.25">
      <c r="A32" s="77" t="s">
        <v>80</v>
      </c>
      <c r="C32" s="77">
        <f>SUMIF('Revenues - Current Rates (3)'!$A$10:$A$18,"*"&amp;A32&amp;"*",'Revenues - Current Rates (3)'!$C$10:$C$18)</f>
        <v>19</v>
      </c>
      <c r="E32" s="77">
        <v>5</v>
      </c>
      <c r="G32" s="21">
        <f t="shared" si="3"/>
        <v>95</v>
      </c>
      <c r="I32" s="32">
        <f t="shared" si="2"/>
        <v>99.307361583393785</v>
      </c>
    </row>
    <row r="33" spans="1:10" x14ac:dyDescent="0.25">
      <c r="A33" s="77" t="s">
        <v>81</v>
      </c>
      <c r="C33" s="77">
        <f>SUMIF('Revenues - Current Rates (3)'!$A$10:$A$18,"*"&amp;A33&amp;"*",'Revenues - Current Rates (3)'!$C$10:$C$18)</f>
        <v>7</v>
      </c>
      <c r="E33" s="77">
        <v>10</v>
      </c>
      <c r="G33" s="41">
        <f t="shared" si="3"/>
        <v>70</v>
      </c>
      <c r="I33" s="32">
        <f t="shared" si="2"/>
        <v>198.61472316678757</v>
      </c>
    </row>
    <row r="34" spans="1:10" x14ac:dyDescent="0.25">
      <c r="A34" s="77" t="s">
        <v>82</v>
      </c>
      <c r="C34" s="77">
        <f>SUMIF('Revenues - Current Rates (3)'!$A$10:$A$18,"*"&amp;A34&amp;"*",'Revenues - Current Rates (3)'!$C$10:$C$18)</f>
        <v>0</v>
      </c>
      <c r="E34" s="77">
        <v>20</v>
      </c>
      <c r="G34" s="41">
        <f t="shared" si="3"/>
        <v>0</v>
      </c>
      <c r="I34" s="32">
        <f t="shared" si="2"/>
        <v>397.22944633357514</v>
      </c>
    </row>
    <row r="35" spans="1:10" x14ac:dyDescent="0.25">
      <c r="A35" s="42" t="s">
        <v>83</v>
      </c>
      <c r="B35" s="31"/>
      <c r="C35" s="42">
        <v>6</v>
      </c>
      <c r="D35" s="31"/>
      <c r="E35" s="77">
        <v>2.4</v>
      </c>
      <c r="F35" s="31"/>
      <c r="G35" s="43">
        <f t="shared" si="3"/>
        <v>14.399999999999999</v>
      </c>
      <c r="H35" s="31"/>
      <c r="I35" s="32">
        <f t="shared" si="2"/>
        <v>47.667533560029014</v>
      </c>
    </row>
    <row r="36" spans="1:10" x14ac:dyDescent="0.25">
      <c r="C36" s="44">
        <f>SUM(C26:C35)</f>
        <v>4836</v>
      </c>
      <c r="E36" s="25"/>
      <c r="G36" s="44">
        <f>SUM(G26:G35)</f>
        <v>5346.9</v>
      </c>
      <c r="I36" s="25"/>
    </row>
    <row r="38" spans="1:10" x14ac:dyDescent="0.25">
      <c r="A38" s="45" t="s">
        <v>84</v>
      </c>
      <c r="B38" s="1"/>
      <c r="C38" s="1"/>
      <c r="D38" s="1"/>
      <c r="E38" s="46">
        <f>'Income Statement (3)'!F12</f>
        <v>1274367.6759605957</v>
      </c>
      <c r="F38" s="1"/>
      <c r="G38" s="47">
        <f>E38/12/G36</f>
        <v>19.861472316678757</v>
      </c>
      <c r="H38" s="1"/>
      <c r="I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ht="15.75" x14ac:dyDescent="0.25">
      <c r="A40" s="79" t="s">
        <v>8</v>
      </c>
      <c r="B40" s="79"/>
      <c r="C40" s="79" t="s">
        <v>108</v>
      </c>
      <c r="D40" s="79"/>
      <c r="E40" s="79" t="s">
        <v>70</v>
      </c>
      <c r="F40" s="1"/>
      <c r="G40" s="1"/>
      <c r="H40" s="1"/>
      <c r="I40" s="1"/>
    </row>
    <row r="41" spans="1:10" x14ac:dyDescent="0.25">
      <c r="A41" s="46">
        <f>'Income Statement (3)'!G12</f>
        <v>1468115.3240394043</v>
      </c>
      <c r="B41" s="1"/>
      <c r="C41" s="50">
        <v>289524728</v>
      </c>
      <c r="D41" s="1"/>
      <c r="E41" s="51">
        <f>(A41/C41)*1000</f>
        <v>5.07077697363178</v>
      </c>
      <c r="F41" s="1"/>
      <c r="G41" s="1"/>
      <c r="H41" s="1"/>
      <c r="I41" s="1"/>
    </row>
    <row r="43" spans="1:10" ht="44.25" customHeight="1" x14ac:dyDescent="0.25">
      <c r="A43" s="104" t="s">
        <v>85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x14ac:dyDescent="0.25">
      <c r="A44" s="78"/>
      <c r="B44" s="78"/>
      <c r="C44" s="78"/>
      <c r="D44" s="78"/>
      <c r="E44" s="78"/>
      <c r="F44" s="78"/>
      <c r="G44" s="78"/>
      <c r="H44" s="78"/>
      <c r="I44" s="78"/>
    </row>
    <row r="45" spans="1:10" x14ac:dyDescent="0.25">
      <c r="A45" s="20" t="s">
        <v>110</v>
      </c>
      <c r="B45" s="77"/>
      <c r="C45" s="77"/>
      <c r="D45" s="77"/>
      <c r="E45" s="77"/>
      <c r="F45" s="77"/>
      <c r="G45" s="77"/>
      <c r="H45" s="77"/>
      <c r="I45" s="77"/>
    </row>
    <row r="49" spans="10:14" x14ac:dyDescent="0.25">
      <c r="J49" s="48"/>
      <c r="K49" s="48"/>
      <c r="L49" s="48"/>
      <c r="M49" s="48"/>
      <c r="N49" s="48"/>
    </row>
    <row r="50" spans="10:14" x14ac:dyDescent="0.25">
      <c r="J50" s="48"/>
      <c r="K50" s="48"/>
      <c r="L50" s="48"/>
      <c r="M50" s="48"/>
      <c r="N50" s="48"/>
    </row>
    <row r="51" spans="10:14" x14ac:dyDescent="0.25">
      <c r="J51" s="48"/>
      <c r="K51" s="48"/>
      <c r="L51" s="48"/>
      <c r="M51" s="48"/>
      <c r="N51" s="48"/>
    </row>
    <row r="52" spans="10:14" x14ac:dyDescent="0.25">
      <c r="J52" s="48"/>
      <c r="K52" s="48"/>
      <c r="L52" s="48"/>
      <c r="M52" s="48"/>
      <c r="N52" s="48"/>
    </row>
    <row r="54" spans="10:14" ht="15" customHeight="1" x14ac:dyDescent="0.25">
      <c r="J54" s="78"/>
    </row>
    <row r="55" spans="10:14" x14ac:dyDescent="0.25">
      <c r="J55" s="78"/>
    </row>
    <row r="56" spans="10:14" x14ac:dyDescent="0.25">
      <c r="J56" s="77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42"/>
  <sheetViews>
    <sheetView topLeftCell="A21" zoomScaleNormal="100" workbookViewId="0">
      <selection activeCell="E6" sqref="E6"/>
    </sheetView>
  </sheetViews>
  <sheetFormatPr defaultRowHeight="15" x14ac:dyDescent="0.25"/>
  <cols>
    <col min="1" max="1" width="20.42578125" customWidth="1"/>
    <col min="2" max="2" width="2.42578125" customWidth="1"/>
    <col min="3" max="3" width="11.42578125" customWidth="1"/>
    <col min="4" max="4" width="2.28515625" customWidth="1"/>
    <col min="6" max="6" width="2.42578125" customWidth="1"/>
    <col min="7" max="7" width="12.5703125" bestFit="1" customWidth="1"/>
    <col min="8" max="8" width="2.42578125" customWidth="1"/>
    <col min="9" max="9" width="14" bestFit="1" customWidth="1"/>
    <col min="10" max="10" width="2.42578125" customWidth="1"/>
    <col min="11" max="11" width="12.5703125" bestFit="1" customWidth="1"/>
  </cols>
  <sheetData>
    <row r="1" spans="1:11" ht="21.75" thickBot="1" x14ac:dyDescent="0.4">
      <c r="A1" s="93" t="str">
        <f>'Income Statement (3)'!A1:D1</f>
        <v>Liberty Utilities (Missouri Water), LLC - Bolivar Water - Year 3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0.25" thickTop="1" thickBot="1" x14ac:dyDescent="0.35">
      <c r="A2" s="94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.75" thickTop="1" x14ac:dyDescent="0.25"/>
    <row r="4" spans="1:11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6" spans="1:11" ht="15.75" x14ac:dyDescent="0.25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75" x14ac:dyDescent="0.25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25">
      <c r="A8" s="77" t="str">
        <f>'Rate Design (3)'!A26</f>
        <v>1/2"</v>
      </c>
      <c r="C8" s="77">
        <f>'Rate Design (3)'!C26</f>
        <v>1</v>
      </c>
      <c r="E8" s="52">
        <v>12</v>
      </c>
      <c r="G8" s="21">
        <f>C8*E8</f>
        <v>12</v>
      </c>
      <c r="I8" s="32">
        <f>'Rate Design (3)'!I26</f>
        <v>19.861472316678757</v>
      </c>
      <c r="K8" s="3">
        <f>G8*I8</f>
        <v>238.33766780014508</v>
      </c>
    </row>
    <row r="9" spans="1:11" x14ac:dyDescent="0.25">
      <c r="A9" s="77" t="str">
        <f>'Rate Design (3)'!A27</f>
        <v>5/8"</v>
      </c>
      <c r="C9" s="77">
        <f>'Rate Design (3)'!C27</f>
        <v>459</v>
      </c>
      <c r="E9" s="52">
        <v>12</v>
      </c>
      <c r="G9" s="21">
        <f>C9*E9</f>
        <v>5508</v>
      </c>
      <c r="I9" s="32">
        <f>'Rate Design (3)'!I27</f>
        <v>19.861472316678757</v>
      </c>
      <c r="K9" s="3">
        <f t="shared" ref="K9:K17" si="0">G9*I9</f>
        <v>109396.98952026659</v>
      </c>
    </row>
    <row r="10" spans="1:11" x14ac:dyDescent="0.25">
      <c r="A10" s="77" t="str">
        <f>'Rate Design (3)'!A28</f>
        <v>3/4"</v>
      </c>
      <c r="C10" s="77">
        <f>'Rate Design (3)'!C28</f>
        <v>4044</v>
      </c>
      <c r="E10" s="52">
        <v>12</v>
      </c>
      <c r="G10" s="21">
        <f t="shared" ref="G10:G17" si="1">C10*E10</f>
        <v>48528</v>
      </c>
      <c r="I10" s="32">
        <f>'Rate Design (3)'!I28</f>
        <v>19.861472316678757</v>
      </c>
      <c r="K10" s="3">
        <f t="shared" si="0"/>
        <v>963837.52858378668</v>
      </c>
    </row>
    <row r="11" spans="1:11" x14ac:dyDescent="0.25">
      <c r="A11" s="77" t="str">
        <f>'Rate Design (3)'!A29</f>
        <v>1"</v>
      </c>
      <c r="C11" s="77">
        <f>'Rate Design (3)'!C29</f>
        <v>218</v>
      </c>
      <c r="E11" s="52">
        <v>12</v>
      </c>
      <c r="G11" s="21">
        <f t="shared" si="1"/>
        <v>2616</v>
      </c>
      <c r="I11" s="32">
        <f>'Rate Design (3)'!I29</f>
        <v>34.757576554187821</v>
      </c>
      <c r="K11" s="3">
        <f t="shared" si="0"/>
        <v>90925.820265755334</v>
      </c>
    </row>
    <row r="12" spans="1:11" x14ac:dyDescent="0.25">
      <c r="A12" s="77" t="str">
        <f>'Rate Design (3)'!A30</f>
        <v>1  1/2"</v>
      </c>
      <c r="C12" s="77">
        <f>'Rate Design (3)'!C30</f>
        <v>10</v>
      </c>
      <c r="E12" s="52">
        <v>12</v>
      </c>
      <c r="G12" s="21">
        <f t="shared" si="1"/>
        <v>120</v>
      </c>
      <c r="I12" s="32">
        <f>'Rate Design (3)'!I30</f>
        <v>59.584416950036271</v>
      </c>
      <c r="K12" s="3">
        <f t="shared" si="0"/>
        <v>7150.1300340043526</v>
      </c>
    </row>
    <row r="13" spans="1:11" x14ac:dyDescent="0.25">
      <c r="A13" s="77" t="str">
        <f>'Rate Design (3)'!A31</f>
        <v xml:space="preserve"> 2"</v>
      </c>
      <c r="B13" s="53"/>
      <c r="C13" s="77">
        <f>'Rate Design (3)'!C31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(3)'!I31</f>
        <v>69.515153108375642</v>
      </c>
      <c r="J13" s="53"/>
      <c r="K13" s="3">
        <f t="shared" si="0"/>
        <v>60061.092285636558</v>
      </c>
    </row>
    <row r="14" spans="1:11" x14ac:dyDescent="0.25">
      <c r="A14" s="77" t="str">
        <f>'Rate Design (3)'!A32</f>
        <v>3"</v>
      </c>
      <c r="B14" s="53"/>
      <c r="C14" s="77">
        <f>'Rate Design (3)'!C32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(3)'!I32</f>
        <v>99.307361583393785</v>
      </c>
      <c r="J14" s="53"/>
      <c r="K14" s="3">
        <f t="shared" si="0"/>
        <v>22642.078441013782</v>
      </c>
    </row>
    <row r="15" spans="1:11" x14ac:dyDescent="0.25">
      <c r="A15" s="77" t="str">
        <f>'Rate Design (3)'!A33</f>
        <v xml:space="preserve"> 4"</v>
      </c>
      <c r="B15" s="53"/>
      <c r="C15" s="77">
        <f>'Rate Design (3)'!C33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(3)'!I33</f>
        <v>198.61472316678757</v>
      </c>
      <c r="J15" s="53"/>
      <c r="K15" s="56">
        <f t="shared" si="0"/>
        <v>16683.636746010157</v>
      </c>
    </row>
    <row r="16" spans="1:11" x14ac:dyDescent="0.25">
      <c r="A16" s="77" t="str">
        <f>'Rate Design (3)'!A34</f>
        <v xml:space="preserve"> 6"</v>
      </c>
      <c r="B16" s="53"/>
      <c r="C16" s="77">
        <f>'Rate Design (3)'!C34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(3)'!I34</f>
        <v>397.22944633357514</v>
      </c>
      <c r="J16" s="53"/>
      <c r="K16" s="56">
        <f t="shared" si="0"/>
        <v>0</v>
      </c>
    </row>
    <row r="17" spans="1:11" x14ac:dyDescent="0.25">
      <c r="A17" s="77" t="str">
        <f>'Rate Design (3)'!A35</f>
        <v>Flat Rate - Unmetered</v>
      </c>
      <c r="B17" s="31"/>
      <c r="C17" s="77">
        <f>'Rate Design (3)'!C35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(3)'!I35</f>
        <v>47.667533560029014</v>
      </c>
      <c r="J17" s="31"/>
      <c r="K17" s="59">
        <f t="shared" si="0"/>
        <v>3432.0624163220891</v>
      </c>
    </row>
    <row r="18" spans="1:11" ht="15.75" x14ac:dyDescent="0.25">
      <c r="A18" s="60" t="s">
        <v>20</v>
      </c>
      <c r="C18" s="24">
        <f>SUM(C9:C15)</f>
        <v>4829</v>
      </c>
      <c r="G18" s="61">
        <f>SUM(G9:G17)</f>
        <v>58020</v>
      </c>
      <c r="K18" s="62">
        <f>SUM(K8:K17)</f>
        <v>1274367.6759605955</v>
      </c>
    </row>
    <row r="19" spans="1:11" ht="15.75" x14ac:dyDescent="0.25">
      <c r="A19" s="63" t="s">
        <v>48</v>
      </c>
      <c r="C19" s="18"/>
      <c r="G19" s="64"/>
      <c r="K19" s="65"/>
    </row>
    <row r="20" spans="1:11" ht="19.5" thickBot="1" x14ac:dyDescent="0.35">
      <c r="A20" s="95" t="s">
        <v>49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x14ac:dyDescent="0.25">
      <c r="A21" s="6"/>
      <c r="G21" s="18"/>
      <c r="H21" s="18"/>
      <c r="I21" s="18"/>
      <c r="J21" s="18"/>
      <c r="K21" s="18" t="s">
        <v>21</v>
      </c>
    </row>
    <row r="22" spans="1:11" x14ac:dyDescent="0.25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25">
      <c r="A23" s="6"/>
      <c r="G23" s="16">
        <f>'Rate Design (3)'!C41/1000</f>
        <v>289524.728</v>
      </c>
      <c r="I23" s="32">
        <f>'Rate Design (3)'!E41</f>
        <v>5.07077697363178</v>
      </c>
      <c r="K23" s="9">
        <f>G23*I23</f>
        <v>1468115.3240394043</v>
      </c>
    </row>
    <row r="24" spans="1:11" x14ac:dyDescent="0.25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1468115.3240394043</v>
      </c>
    </row>
    <row r="25" spans="1:11" x14ac:dyDescent="0.25">
      <c r="G25" s="16"/>
    </row>
    <row r="26" spans="1:11" ht="19.5" thickBot="1" x14ac:dyDescent="0.35">
      <c r="A26" s="95" t="s">
        <v>56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8" spans="1:11" ht="15.75" x14ac:dyDescent="0.25">
      <c r="A28" s="4" t="s">
        <v>60</v>
      </c>
      <c r="G28" s="66">
        <f>'Revenues - Current Rates (3)'!G41</f>
        <v>46730</v>
      </c>
    </row>
    <row r="30" spans="1:11" ht="19.5" thickBot="1" x14ac:dyDescent="0.35">
      <c r="A30" s="95" t="s">
        <v>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2" spans="1:11" x14ac:dyDescent="0.25">
      <c r="A32" t="s">
        <v>61</v>
      </c>
      <c r="I32" s="3">
        <f>K18</f>
        <v>1274367.6759605955</v>
      </c>
    </row>
    <row r="33" spans="1:9" x14ac:dyDescent="0.25">
      <c r="A33" t="s">
        <v>62</v>
      </c>
      <c r="I33" s="36">
        <f>K24</f>
        <v>1468115.3240394043</v>
      </c>
    </row>
    <row r="34" spans="1:9" ht="15.75" x14ac:dyDescent="0.25">
      <c r="A34" s="4" t="s">
        <v>63</v>
      </c>
      <c r="I34" s="38">
        <f>SUM(I32:I33)</f>
        <v>2742483</v>
      </c>
    </row>
    <row r="35" spans="1:9" ht="15.75" x14ac:dyDescent="0.25">
      <c r="A35" s="4" t="s">
        <v>56</v>
      </c>
      <c r="I35" s="38">
        <f>G28</f>
        <v>46730</v>
      </c>
    </row>
    <row r="36" spans="1:9" ht="16.5" thickBot="1" x14ac:dyDescent="0.3">
      <c r="A36" s="4" t="s">
        <v>91</v>
      </c>
      <c r="I36" s="39">
        <f>SUM(I34:I35)</f>
        <v>2789213</v>
      </c>
    </row>
    <row r="37" spans="1:9" ht="15.75" thickTop="1" x14ac:dyDescent="0.25"/>
    <row r="38" spans="1:9" x14ac:dyDescent="0.25">
      <c r="A38" s="100" t="s">
        <v>92</v>
      </c>
      <c r="B38" s="100"/>
      <c r="C38" s="100"/>
      <c r="D38" s="100"/>
      <c r="E38" s="100"/>
      <c r="F38" s="100"/>
      <c r="G38" s="100"/>
    </row>
    <row r="39" spans="1:9" x14ac:dyDescent="0.25">
      <c r="A39" s="6" t="s">
        <v>91</v>
      </c>
      <c r="G39" s="9">
        <f>I36</f>
        <v>2789213</v>
      </c>
    </row>
    <row r="40" spans="1:9" x14ac:dyDescent="0.25">
      <c r="A40" s="6" t="s">
        <v>93</v>
      </c>
      <c r="G40" s="9">
        <f>'Revenues - Current Rates (3)'!G42</f>
        <v>2479828.0000000005</v>
      </c>
    </row>
    <row r="41" spans="1:9" x14ac:dyDescent="0.25">
      <c r="A41" s="6" t="s">
        <v>94</v>
      </c>
      <c r="G41" s="67">
        <f>G39-G40</f>
        <v>309384.99999999953</v>
      </c>
    </row>
    <row r="42" spans="1:9" x14ac:dyDescent="0.25">
      <c r="A42" s="6" t="s">
        <v>95</v>
      </c>
      <c r="G42" s="68">
        <f>'Income Statement (3)'!D13</f>
        <v>309384.99999999953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22"/>
  <sheetViews>
    <sheetView zoomScaleNormal="100" workbookViewId="0">
      <selection activeCell="C21" sqref="C21"/>
    </sheetView>
  </sheetViews>
  <sheetFormatPr defaultRowHeight="15" x14ac:dyDescent="0.25"/>
  <cols>
    <col min="1" max="1" width="14" customWidth="1"/>
    <col min="2" max="2" width="4.5703125" customWidth="1"/>
    <col min="3" max="3" width="11.5703125" bestFit="1" customWidth="1"/>
    <col min="4" max="4" width="9.42578125" customWidth="1"/>
    <col min="5" max="5" width="25.5703125" customWidth="1"/>
    <col min="6" max="6" width="4.7109375" customWidth="1"/>
    <col min="7" max="7" width="12.42578125" customWidth="1"/>
    <col min="8" max="8" width="9.42578125" customWidth="1"/>
    <col min="9" max="9" width="25.85546875" bestFit="1" customWidth="1"/>
    <col min="10" max="10" width="4.7109375" customWidth="1"/>
  </cols>
  <sheetData>
    <row r="1" spans="1:11" ht="21" x14ac:dyDescent="0.35">
      <c r="A1" s="69" t="str">
        <f>'Income Statement (3)'!A1:D1</f>
        <v>Liberty Utilities (Missouri Water), LLC - Bolivar Water - Year 3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.75" x14ac:dyDescent="0.3">
      <c r="A2" s="101" t="s">
        <v>96</v>
      </c>
      <c r="B2" s="101"/>
      <c r="C2" s="101"/>
      <c r="D2" s="101"/>
      <c r="E2" s="101"/>
      <c r="F2" s="70"/>
      <c r="G2" s="70"/>
      <c r="H2" s="70"/>
      <c r="I2" s="70"/>
      <c r="J2" s="70"/>
      <c r="K2" s="70"/>
    </row>
    <row r="4" spans="1:11" ht="15.75" x14ac:dyDescent="0.25">
      <c r="E4" s="53"/>
      <c r="F4" s="53"/>
      <c r="G4" s="71"/>
      <c r="H4" s="53"/>
    </row>
    <row r="5" spans="1:11" ht="15.75" x14ac:dyDescent="0.25">
      <c r="B5" s="31"/>
      <c r="C5" s="80" t="s">
        <v>97</v>
      </c>
      <c r="D5" s="31"/>
      <c r="E5" s="53"/>
      <c r="F5" s="53"/>
      <c r="G5" s="71"/>
      <c r="H5" s="53"/>
    </row>
    <row r="6" spans="1:11" x14ac:dyDescent="0.25">
      <c r="A6" t="s">
        <v>98</v>
      </c>
      <c r="C6" s="32">
        <f>'Rate Design (3)'!G38</f>
        <v>19.861472316678757</v>
      </c>
      <c r="E6" s="53"/>
      <c r="F6" s="53"/>
      <c r="G6" s="55"/>
      <c r="H6" s="53"/>
    </row>
    <row r="7" spans="1:11" x14ac:dyDescent="0.25">
      <c r="A7" s="1" t="s">
        <v>99</v>
      </c>
      <c r="B7" s="1"/>
      <c r="C7" s="72">
        <f>'Rate Design (3)'!E41*4</f>
        <v>20.28310789452712</v>
      </c>
      <c r="E7" s="65"/>
      <c r="F7" s="65"/>
      <c r="G7" s="73"/>
      <c r="H7" s="53"/>
    </row>
    <row r="8" spans="1:11" x14ac:dyDescent="0.25">
      <c r="A8" s="1" t="s">
        <v>100</v>
      </c>
      <c r="B8" s="1"/>
      <c r="C8" s="47">
        <f>SUM(C6:C7)</f>
        <v>40.144580211205877</v>
      </c>
      <c r="E8" s="65"/>
      <c r="F8" s="65"/>
      <c r="G8" s="74"/>
      <c r="H8" s="53"/>
    </row>
    <row r="10" spans="1:11" ht="18.75" x14ac:dyDescent="0.3">
      <c r="A10" s="102" t="s">
        <v>101</v>
      </c>
      <c r="B10" s="102"/>
      <c r="C10" s="102"/>
      <c r="D10" s="102"/>
      <c r="E10" s="102"/>
      <c r="F10" s="2"/>
      <c r="G10" s="2"/>
      <c r="H10" s="2"/>
      <c r="I10" s="2"/>
      <c r="J10" s="2"/>
      <c r="K10" s="2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B12" s="103" t="s">
        <v>102</v>
      </c>
      <c r="C12" s="103"/>
      <c r="D12" s="103"/>
      <c r="E12" s="75"/>
      <c r="F12" s="75"/>
      <c r="G12" s="65"/>
      <c r="H12" s="65"/>
      <c r="I12" s="75"/>
      <c r="J12" s="75"/>
      <c r="K12" s="65"/>
    </row>
    <row r="13" spans="1:11" x14ac:dyDescent="0.25">
      <c r="A13" s="1" t="s">
        <v>98</v>
      </c>
      <c r="B13" s="1"/>
      <c r="C13" s="47">
        <f>'Revenues - Current Rates (3)'!I10</f>
        <v>17.620859845171857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25">
      <c r="A14" s="1" t="s">
        <v>99</v>
      </c>
      <c r="B14" s="1"/>
      <c r="C14" s="72">
        <f>'Revenues - Current Rates (3)'!I26*4</f>
        <v>17.994929869012189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25">
      <c r="A15" s="1" t="s">
        <v>100</v>
      </c>
      <c r="B15" s="1"/>
      <c r="C15" s="47">
        <f>SUM(C13:C14)</f>
        <v>35.615789714184046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25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.75" x14ac:dyDescent="0.3">
      <c r="A18" s="102" t="s">
        <v>103</v>
      </c>
      <c r="B18" s="102"/>
      <c r="C18" s="102"/>
      <c r="D18" s="102"/>
      <c r="E18" s="102"/>
      <c r="F18" s="2"/>
      <c r="G18" s="2"/>
      <c r="H18" s="2"/>
      <c r="I18" s="2"/>
      <c r="J18" s="2"/>
      <c r="K18" s="2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104</v>
      </c>
      <c r="B20" s="1"/>
      <c r="C20" s="47">
        <f>C8-C15</f>
        <v>4.5287904970218307</v>
      </c>
      <c r="D20" s="86"/>
      <c r="E20" s="65"/>
      <c r="F20" s="65"/>
      <c r="G20" s="74"/>
      <c r="H20" s="65"/>
      <c r="I20" s="65"/>
      <c r="J20" s="65"/>
      <c r="K20" s="74"/>
    </row>
    <row r="21" spans="1:11" x14ac:dyDescent="0.25">
      <c r="A21" s="1" t="s">
        <v>105</v>
      </c>
      <c r="B21" s="1"/>
      <c r="C21" s="91">
        <f>(C8-C15)/C15</f>
        <v>0.12715681817994989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9"/>
  <sheetViews>
    <sheetView zoomScaleNormal="100" zoomScalePageLayoutView="90" workbookViewId="0">
      <selection activeCell="G19" sqref="G19"/>
    </sheetView>
  </sheetViews>
  <sheetFormatPr defaultRowHeight="15" x14ac:dyDescent="0.25"/>
  <cols>
    <col min="1" max="1" width="3.140625" customWidth="1"/>
    <col min="2" max="2" width="46.42578125" customWidth="1"/>
    <col min="3" max="3" width="6.42578125" customWidth="1"/>
    <col min="4" max="4" width="27.42578125" customWidth="1"/>
    <col min="5" max="5" width="7.42578125" style="1" customWidth="1"/>
    <col min="6" max="6" width="14.7109375" customWidth="1"/>
    <col min="7" max="7" width="15" bestFit="1" customWidth="1"/>
    <col min="8" max="8" width="12.5703125" bestFit="1" customWidth="1"/>
  </cols>
  <sheetData>
    <row r="1" spans="1:8" ht="21.75" thickBot="1" x14ac:dyDescent="0.4">
      <c r="A1" s="93" t="s">
        <v>117</v>
      </c>
      <c r="B1" s="93"/>
      <c r="C1" s="93"/>
      <c r="D1" s="93"/>
    </row>
    <row r="2" spans="1:8" ht="20.25" thickTop="1" thickBot="1" x14ac:dyDescent="0.35">
      <c r="A2" s="94" t="s">
        <v>0</v>
      </c>
      <c r="B2" s="94"/>
      <c r="C2" s="94"/>
      <c r="D2" s="94"/>
    </row>
    <row r="3" spans="1:8" ht="15.75" thickTop="1" x14ac:dyDescent="0.25"/>
    <row r="4" spans="1:8" ht="19.5" thickBot="1" x14ac:dyDescent="0.35">
      <c r="A4" s="2"/>
      <c r="B4" s="95" t="s">
        <v>1</v>
      </c>
      <c r="C4" s="95"/>
      <c r="D4" s="95"/>
    </row>
    <row r="5" spans="1:8" x14ac:dyDescent="0.25">
      <c r="B5" t="s">
        <v>2</v>
      </c>
      <c r="D5" s="3">
        <f>'Revenues - Current Rates (4)'!G40</f>
        <v>2742483</v>
      </c>
    </row>
    <row r="6" spans="1:8" x14ac:dyDescent="0.25">
      <c r="B6" t="s">
        <v>3</v>
      </c>
      <c r="D6" s="3">
        <f>'Revenues - Current Rates (4)'!G41</f>
        <v>46730</v>
      </c>
    </row>
    <row r="7" spans="1:8" ht="15.75" x14ac:dyDescent="0.25">
      <c r="B7" s="4" t="s">
        <v>4</v>
      </c>
      <c r="D7" s="5">
        <f>SUM(D5:D6)</f>
        <v>2789213</v>
      </c>
    </row>
    <row r="8" spans="1:8" x14ac:dyDescent="0.25">
      <c r="B8" s="6" t="s">
        <v>5</v>
      </c>
    </row>
    <row r="10" spans="1:8" ht="19.5" thickBot="1" x14ac:dyDescent="0.35">
      <c r="B10" s="95" t="s">
        <v>6</v>
      </c>
      <c r="C10" s="95"/>
      <c r="D10" s="95"/>
      <c r="F10" s="7" t="s">
        <v>7</v>
      </c>
      <c r="G10" s="7" t="s">
        <v>8</v>
      </c>
    </row>
    <row r="11" spans="1:8" ht="17.25" thickTop="1" thickBot="1" x14ac:dyDescent="0.3">
      <c r="B11" s="10" t="s">
        <v>10</v>
      </c>
      <c r="D11" s="11">
        <v>3098598</v>
      </c>
      <c r="F11" s="11"/>
      <c r="G11" s="11"/>
      <c r="H11" s="9"/>
    </row>
    <row r="12" spans="1:8" ht="17.25" thickTop="1" thickBot="1" x14ac:dyDescent="0.3">
      <c r="B12" s="4" t="s">
        <v>11</v>
      </c>
      <c r="D12" s="9">
        <f>D11-D6</f>
        <v>3051868</v>
      </c>
      <c r="F12" s="85">
        <f>F14*D12</f>
        <v>1418131.6458473986</v>
      </c>
      <c r="G12" s="12">
        <f>G14*D12</f>
        <v>1633736.3541526014</v>
      </c>
      <c r="H12" s="12">
        <f>SUM(F12:G12)</f>
        <v>3051868</v>
      </c>
    </row>
    <row r="13" spans="1:8" ht="17.25" thickTop="1" thickBot="1" x14ac:dyDescent="0.3">
      <c r="B13" s="13" t="s">
        <v>12</v>
      </c>
      <c r="D13" s="14">
        <f>D11-D7</f>
        <v>309385</v>
      </c>
    </row>
    <row r="14" spans="1:8" ht="15.75" thickTop="1" x14ac:dyDescent="0.25">
      <c r="F14" s="84">
        <v>0.46467659998643407</v>
      </c>
      <c r="G14" s="84">
        <v>0.53532340001356593</v>
      </c>
    </row>
    <row r="15" spans="1:8" ht="21" customHeight="1" x14ac:dyDescent="0.25">
      <c r="B15" s="96" t="s">
        <v>13</v>
      </c>
      <c r="C15" s="96"/>
      <c r="D15" s="96"/>
      <c r="F15" s="9"/>
    </row>
    <row r="16" spans="1:8" x14ac:dyDescent="0.25">
      <c r="B16" s="96"/>
      <c r="C16" s="96"/>
      <c r="D16" s="96"/>
      <c r="G16" s="9"/>
    </row>
    <row r="17" spans="2:4" x14ac:dyDescent="0.25">
      <c r="D17" s="9"/>
    </row>
    <row r="18" spans="2:4" x14ac:dyDescent="0.25">
      <c r="B18" s="15"/>
      <c r="D18" s="16"/>
    </row>
    <row r="19" spans="2:4" x14ac:dyDescent="0.25">
      <c r="B19" s="15"/>
      <c r="D19" s="16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43"/>
  <sheetViews>
    <sheetView topLeftCell="A19" zoomScaleNormal="100" workbookViewId="0">
      <selection activeCell="I27" sqref="I27"/>
    </sheetView>
  </sheetViews>
  <sheetFormatPr defaultRowHeight="15" x14ac:dyDescent="0.25"/>
  <cols>
    <col min="1" max="1" width="33.28515625" customWidth="1"/>
    <col min="2" max="2" width="2.140625" customWidth="1"/>
    <col min="3" max="3" width="11.140625" customWidth="1"/>
    <col min="4" max="4" width="2" customWidth="1"/>
    <col min="6" max="6" width="1.85546875" customWidth="1"/>
    <col min="7" max="7" width="15.140625" bestFit="1" customWidth="1"/>
    <col min="8" max="8" width="1.85546875" customWidth="1"/>
    <col min="10" max="10" width="1.85546875" customWidth="1"/>
    <col min="11" max="11" width="14.28515625" bestFit="1" customWidth="1"/>
    <col min="14" max="15" width="11.5703125" bestFit="1" customWidth="1"/>
    <col min="16" max="17" width="14.85546875" bestFit="1" customWidth="1"/>
  </cols>
  <sheetData>
    <row r="1" spans="1:16" ht="21.75" thickBot="1" x14ac:dyDescent="0.4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 ht="20.25" thickTop="1" thickBot="1" x14ac:dyDescent="0.35">
      <c r="A2" s="94" t="s">
        <v>118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O2" s="9"/>
      <c r="P2" s="9"/>
    </row>
    <row r="3" spans="1:16" ht="15.75" thickTop="1" x14ac:dyDescent="0.25">
      <c r="O3" s="9"/>
      <c r="P3" s="9"/>
    </row>
    <row r="4" spans="1:16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O4" s="9"/>
      <c r="P4" s="9"/>
    </row>
    <row r="5" spans="1:16" x14ac:dyDescent="0.25">
      <c r="O5" s="9"/>
      <c r="P5" s="9"/>
    </row>
    <row r="6" spans="1:16" ht="15.75" thickBot="1" x14ac:dyDescent="0.3">
      <c r="A6" s="97" t="s">
        <v>16</v>
      </c>
      <c r="B6" s="97"/>
      <c r="C6" s="97"/>
      <c r="D6" s="97"/>
      <c r="E6" s="97"/>
      <c r="F6" s="97"/>
      <c r="G6" s="97"/>
      <c r="H6" s="97"/>
      <c r="I6" s="97"/>
      <c r="J6" s="97"/>
      <c r="K6" s="97"/>
      <c r="O6" s="9"/>
    </row>
    <row r="7" spans="1:16" x14ac:dyDescent="0.25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25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25">
      <c r="A9" s="81" t="str">
        <f>'Revenues - Proposed Rates (2)'!A8</f>
        <v>1/2"</v>
      </c>
      <c r="C9" s="81">
        <f>'Revenues - Proposed Rates (2)'!C8</f>
        <v>1</v>
      </c>
      <c r="E9" s="52">
        <v>12</v>
      </c>
      <c r="G9" s="21">
        <f>C9*E9</f>
        <v>12</v>
      </c>
      <c r="I9" s="32">
        <f>'Revenues - Proposed Rates (3)'!I8</f>
        <v>19.861472316678757</v>
      </c>
      <c r="K9" s="3">
        <f>G9*I9</f>
        <v>238.33766780014508</v>
      </c>
    </row>
    <row r="10" spans="1:16" x14ac:dyDescent="0.25">
      <c r="A10" s="81" t="str">
        <f>'Revenues - Proposed Rates (2)'!A9</f>
        <v>5/8"</v>
      </c>
      <c r="C10" s="81">
        <f>'Revenues - Proposed Rates (2)'!C9</f>
        <v>459</v>
      </c>
      <c r="E10" s="52">
        <v>12</v>
      </c>
      <c r="G10" s="21">
        <f>C10*E10</f>
        <v>5508</v>
      </c>
      <c r="I10" s="32">
        <f>'Revenues - Proposed Rates (3)'!I9</f>
        <v>19.861472316678757</v>
      </c>
      <c r="K10" s="3">
        <f>G10*I10</f>
        <v>109396.98952026659</v>
      </c>
    </row>
    <row r="11" spans="1:16" x14ac:dyDescent="0.25">
      <c r="A11" s="81" t="str">
        <f>'Revenues - Proposed Rates (2)'!A10</f>
        <v>3/4"</v>
      </c>
      <c r="C11" s="81">
        <f>'Revenues - Proposed Rates (2)'!C10</f>
        <v>4044</v>
      </c>
      <c r="E11" s="52">
        <v>12</v>
      </c>
      <c r="G11" s="21">
        <f>C11*E11</f>
        <v>48528</v>
      </c>
      <c r="I11" s="32">
        <f>'Revenues - Proposed Rates (3)'!I10</f>
        <v>19.861472316678757</v>
      </c>
      <c r="K11" s="3">
        <f t="shared" ref="K11:K18" si="0">G11*I11</f>
        <v>963837.52858378668</v>
      </c>
    </row>
    <row r="12" spans="1:16" x14ac:dyDescent="0.25">
      <c r="A12" s="81" t="str">
        <f>'Revenues - Proposed Rates (2)'!A11</f>
        <v>1"</v>
      </c>
      <c r="C12" s="81">
        <f>'Revenues - Proposed Rates (2)'!C11</f>
        <v>218</v>
      </c>
      <c r="E12" s="52">
        <v>12</v>
      </c>
      <c r="G12" s="21">
        <f t="shared" ref="G12:G18" si="1">C12*E12</f>
        <v>2616</v>
      </c>
      <c r="I12" s="32">
        <f>'Revenues - Proposed Rates (3)'!I11</f>
        <v>34.757576554187821</v>
      </c>
      <c r="K12" s="3">
        <f t="shared" si="0"/>
        <v>90925.820265755334</v>
      </c>
      <c r="O12" s="21"/>
    </row>
    <row r="13" spans="1:16" x14ac:dyDescent="0.25">
      <c r="A13" s="81" t="str">
        <f>'Revenues - Proposed Rates (2)'!A12</f>
        <v>1  1/2"</v>
      </c>
      <c r="C13" s="81">
        <f>'Revenues - Proposed Rates (2)'!C12</f>
        <v>10</v>
      </c>
      <c r="E13" s="52">
        <v>12</v>
      </c>
      <c r="G13" s="21">
        <f t="shared" si="1"/>
        <v>120</v>
      </c>
      <c r="I13" s="32">
        <f>'Revenues - Proposed Rates (3)'!I12</f>
        <v>59.584416950036271</v>
      </c>
      <c r="K13" s="3">
        <f t="shared" si="0"/>
        <v>7150.1300340043526</v>
      </c>
      <c r="O13" s="21"/>
    </row>
    <row r="14" spans="1:16" x14ac:dyDescent="0.25">
      <c r="A14" s="81" t="str">
        <f>'Revenues - Proposed Rates (2)'!A13</f>
        <v xml:space="preserve"> 2"</v>
      </c>
      <c r="C14" s="81">
        <f>'Revenues - Proposed Rates (2)'!C13</f>
        <v>72</v>
      </c>
      <c r="E14" s="52">
        <v>12</v>
      </c>
      <c r="G14" s="21">
        <f t="shared" si="1"/>
        <v>864</v>
      </c>
      <c r="I14" s="32">
        <f>'Revenues - Proposed Rates (3)'!I13</f>
        <v>69.515153108375642</v>
      </c>
      <c r="K14" s="3">
        <f t="shared" si="0"/>
        <v>60061.092285636558</v>
      </c>
    </row>
    <row r="15" spans="1:16" x14ac:dyDescent="0.25">
      <c r="A15" s="81" t="str">
        <f>'Revenues - Proposed Rates (2)'!A14</f>
        <v>3"</v>
      </c>
      <c r="C15" s="81">
        <f>'Revenues - Proposed Rates (2)'!C14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 (3)'!I14</f>
        <v>99.307361583393785</v>
      </c>
      <c r="J15" s="53"/>
      <c r="K15" s="3">
        <f t="shared" si="0"/>
        <v>22642.078441013782</v>
      </c>
    </row>
    <row r="16" spans="1:16" x14ac:dyDescent="0.25">
      <c r="A16" s="81" t="str">
        <f>'Revenues - Proposed Rates (2)'!A15</f>
        <v xml:space="preserve"> 4"</v>
      </c>
      <c r="C16" s="81">
        <f>'Revenues - Proposed Rates (2)'!C15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 (3)'!I15</f>
        <v>198.61472316678757</v>
      </c>
      <c r="J16" s="53"/>
      <c r="K16" s="3">
        <f t="shared" si="0"/>
        <v>16683.636746010157</v>
      </c>
    </row>
    <row r="17" spans="1:15" x14ac:dyDescent="0.25">
      <c r="A17" s="81" t="str">
        <f>'Revenues - Proposed Rates (2)'!A16</f>
        <v xml:space="preserve"> 6"</v>
      </c>
      <c r="C17" s="81">
        <f>'Revenues - Proposed Rates (2)'!C16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 (3)'!I16</f>
        <v>397.22944633357514</v>
      </c>
      <c r="J17" s="53"/>
      <c r="K17" s="56">
        <f t="shared" si="0"/>
        <v>0</v>
      </c>
    </row>
    <row r="18" spans="1:15" x14ac:dyDescent="0.25">
      <c r="A18" s="81" t="str">
        <f>'Revenues - Proposed Rates (2)'!A17</f>
        <v>Flat Rate - Unmetered</v>
      </c>
      <c r="C18" s="81">
        <f>'Revenues - Proposed Rates (2)'!C17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 (3)'!I17</f>
        <v>47.667533560029014</v>
      </c>
      <c r="J18" s="53"/>
      <c r="K18" s="56">
        <f t="shared" si="0"/>
        <v>3432.0624163220891</v>
      </c>
    </row>
    <row r="19" spans="1:15" x14ac:dyDescent="0.25">
      <c r="A19" s="24" t="s">
        <v>20</v>
      </c>
      <c r="B19" s="25"/>
      <c r="C19" s="26">
        <f>SUM(C8:C18)</f>
        <v>4836</v>
      </c>
      <c r="D19" s="25"/>
      <c r="E19" s="25"/>
      <c r="F19" s="25"/>
      <c r="G19" s="27">
        <f>SUM(G8:G18)</f>
        <v>58032</v>
      </c>
      <c r="H19" s="25"/>
      <c r="I19" s="25"/>
      <c r="J19" s="25"/>
      <c r="K19" s="28">
        <f>SUM(K9:K18)</f>
        <v>1274367.6759605955</v>
      </c>
    </row>
    <row r="20" spans="1:15" x14ac:dyDescent="0.25">
      <c r="A20" s="6" t="s">
        <v>48</v>
      </c>
    </row>
    <row r="21" spans="1:15" x14ac:dyDescent="0.25">
      <c r="A21" s="6"/>
    </row>
    <row r="22" spans="1:15" x14ac:dyDescent="0.25">
      <c r="A22" s="6"/>
    </row>
    <row r="23" spans="1:15" ht="19.5" thickBot="1" x14ac:dyDescent="0.35">
      <c r="A23" s="95" t="s">
        <v>49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5" x14ac:dyDescent="0.25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25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25">
      <c r="A26" s="20"/>
      <c r="G26" s="16">
        <f>289524728/1000</f>
        <v>289524.728</v>
      </c>
      <c r="I26" s="32">
        <f>'Revenues - Proposed Rates (3)'!I23</f>
        <v>5.07077697363178</v>
      </c>
      <c r="K26" s="9">
        <f t="shared" ref="K26" si="2">G26*I26</f>
        <v>1468115.3240394043</v>
      </c>
    </row>
    <row r="27" spans="1:15" x14ac:dyDescent="0.25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1468115.3240394043</v>
      </c>
      <c r="O27" s="29"/>
    </row>
    <row r="28" spans="1:15" x14ac:dyDescent="0.25">
      <c r="A28" s="6" t="s">
        <v>107</v>
      </c>
    </row>
    <row r="29" spans="1:15" ht="19.5" thickBot="1" x14ac:dyDescent="0.35">
      <c r="A29" s="95" t="s">
        <v>56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1" spans="1:15" x14ac:dyDescent="0.25">
      <c r="A31" t="s">
        <v>57</v>
      </c>
      <c r="G31" s="3">
        <v>14411</v>
      </c>
    </row>
    <row r="32" spans="1:15" x14ac:dyDescent="0.25">
      <c r="A32" t="s">
        <v>58</v>
      </c>
      <c r="G32" s="3">
        <v>31694</v>
      </c>
    </row>
    <row r="33" spans="1:17" x14ac:dyDescent="0.25">
      <c r="A33" t="s">
        <v>59</v>
      </c>
      <c r="G33" s="3">
        <v>625</v>
      </c>
    </row>
    <row r="34" spans="1:17" ht="15.75" x14ac:dyDescent="0.25">
      <c r="A34" s="4" t="s">
        <v>60</v>
      </c>
      <c r="G34" s="35">
        <f>SUM(G31:G33)</f>
        <v>46730</v>
      </c>
      <c r="O34" s="16"/>
    </row>
    <row r="36" spans="1:17" ht="19.5" thickBot="1" x14ac:dyDescent="0.35">
      <c r="A36" s="95" t="s">
        <v>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7" x14ac:dyDescent="0.25">
      <c r="O37" s="29"/>
      <c r="P37" s="29"/>
      <c r="Q37" s="29"/>
    </row>
    <row r="38" spans="1:17" x14ac:dyDescent="0.25">
      <c r="A38" t="s">
        <v>61</v>
      </c>
      <c r="G38" s="9">
        <f>K19</f>
        <v>1274367.6759605955</v>
      </c>
      <c r="Q38" s="29"/>
    </row>
    <row r="39" spans="1:17" x14ac:dyDescent="0.25">
      <c r="A39" t="s">
        <v>62</v>
      </c>
      <c r="G39" s="36">
        <f>K27</f>
        <v>1468115.3240394043</v>
      </c>
      <c r="P39" s="34"/>
      <c r="Q39" s="34"/>
    </row>
    <row r="40" spans="1:17" ht="15.75" x14ac:dyDescent="0.25">
      <c r="A40" s="4" t="s">
        <v>63</v>
      </c>
      <c r="G40" s="37">
        <f>SUM(G38:G39)</f>
        <v>2742483</v>
      </c>
    </row>
    <row r="41" spans="1:17" ht="15.75" x14ac:dyDescent="0.25">
      <c r="A41" s="4" t="s">
        <v>56</v>
      </c>
      <c r="G41" s="38">
        <f>G34</f>
        <v>46730</v>
      </c>
    </row>
    <row r="42" spans="1:17" ht="16.5" thickBot="1" x14ac:dyDescent="0.3">
      <c r="A42" s="4" t="s">
        <v>4</v>
      </c>
      <c r="G42" s="39">
        <f>SUM(G40:G41)</f>
        <v>2789213</v>
      </c>
    </row>
    <row r="43" spans="1:17" ht="15.75" thickTop="1" x14ac:dyDescent="0.25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9" orientation="portrait" r:id="rId1"/>
  <headerFooter>
    <oddFooter>&amp;RCase No. WR-2024-0104
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56"/>
  <sheetViews>
    <sheetView topLeftCell="A10" zoomScaleNormal="100" workbookViewId="0">
      <selection activeCell="C27" sqref="C27"/>
    </sheetView>
  </sheetViews>
  <sheetFormatPr defaultRowHeight="15" x14ac:dyDescent="0.25"/>
  <cols>
    <col min="1" max="1" width="30" customWidth="1"/>
    <col min="2" max="2" width="3.140625" customWidth="1"/>
    <col min="3" max="3" width="12.5703125" bestFit="1" customWidth="1"/>
    <col min="4" max="4" width="3.28515625" customWidth="1"/>
    <col min="5" max="5" width="13.5703125" customWidth="1"/>
    <col min="6" max="6" width="3.42578125" customWidth="1"/>
    <col min="7" max="7" width="12.42578125" customWidth="1"/>
    <col min="8" max="8" width="4.28515625" customWidth="1"/>
    <col min="9" max="9" width="12.7109375" bestFit="1" customWidth="1"/>
  </cols>
  <sheetData>
    <row r="1" spans="1:9" ht="21.75" thickBot="1" x14ac:dyDescent="0.4">
      <c r="A1" s="93" t="str">
        <f>'Income Statement (4)'!A1:D1</f>
        <v>Liberty Utilities (Missouri Water), LLC - Bolivar Water - Year 4</v>
      </c>
      <c r="B1" s="93"/>
      <c r="C1" s="93"/>
      <c r="D1" s="93"/>
      <c r="E1" s="93"/>
      <c r="F1" s="93"/>
      <c r="G1" s="93"/>
      <c r="H1" s="93"/>
      <c r="I1" s="93"/>
    </row>
    <row r="2" spans="1:9" ht="20.25" thickTop="1" thickBot="1" x14ac:dyDescent="0.35">
      <c r="A2" s="94" t="s">
        <v>64</v>
      </c>
      <c r="B2" s="94"/>
      <c r="C2" s="94"/>
      <c r="D2" s="94"/>
      <c r="E2" s="94"/>
      <c r="F2" s="94"/>
      <c r="G2" s="94"/>
      <c r="H2" s="94"/>
      <c r="I2" s="94"/>
    </row>
    <row r="3" spans="1:9" ht="15.75" thickTop="1" x14ac:dyDescent="0.25"/>
    <row r="4" spans="1:9" ht="15.75" x14ac:dyDescent="0.25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(4)'!G40</f>
        <v>2742483</v>
      </c>
    </row>
    <row r="5" spans="1:9" ht="15.75" x14ac:dyDescent="0.25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(4)'!D13</f>
        <v>309385</v>
      </c>
    </row>
    <row r="6" spans="1:9" ht="15.75" x14ac:dyDescent="0.25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0.11281200284559649</v>
      </c>
    </row>
    <row r="8" spans="1:9" ht="19.5" thickBot="1" x14ac:dyDescent="0.35">
      <c r="A8" s="95" t="s">
        <v>68</v>
      </c>
      <c r="B8" s="95"/>
      <c r="C8" s="95"/>
      <c r="D8" s="95"/>
      <c r="E8" s="95"/>
      <c r="F8" s="95"/>
      <c r="G8" s="95"/>
      <c r="H8" s="95"/>
      <c r="I8" s="95"/>
    </row>
    <row r="9" spans="1:9" ht="15.75" x14ac:dyDescent="0.25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75" x14ac:dyDescent="0.25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75" x14ac:dyDescent="0.25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25">
      <c r="A12" s="23" t="str">
        <f>'Revenues - Current Rates (4)'!A9</f>
        <v>1/2"</v>
      </c>
      <c r="C12" s="23">
        <f>'Revenues - Current Rates (4)'!I9</f>
        <v>19.861472316678757</v>
      </c>
      <c r="E12" s="23">
        <f>I26</f>
        <v>22.102084788185657</v>
      </c>
      <c r="G12" s="23">
        <f>'Revenues - Current Rates (4)'!$I$26</f>
        <v>5.07077697363178</v>
      </c>
      <c r="I12" s="32">
        <f t="shared" ref="I12:I21" si="0">$E$41</f>
        <v>5.6428214800105145</v>
      </c>
    </row>
    <row r="13" spans="1:9" x14ac:dyDescent="0.25">
      <c r="A13" s="23" t="str">
        <f>'Revenues - Current Rates (4)'!A10</f>
        <v>5/8"</v>
      </c>
      <c r="C13" s="23">
        <f>'Revenues - Current Rates (4)'!I10</f>
        <v>19.861472316678757</v>
      </c>
      <c r="E13" s="23">
        <f t="shared" ref="E13:E21" si="1">I27</f>
        <v>22.102084788185657</v>
      </c>
      <c r="G13" s="23">
        <f>'Revenues - Current Rates (4)'!$I$26</f>
        <v>5.07077697363178</v>
      </c>
      <c r="I13" s="32">
        <f t="shared" si="0"/>
        <v>5.6428214800105145</v>
      </c>
    </row>
    <row r="14" spans="1:9" x14ac:dyDescent="0.25">
      <c r="A14" s="23" t="str">
        <f>'Revenues - Current Rates (4)'!A11</f>
        <v>3/4"</v>
      </c>
      <c r="C14" s="23">
        <f>'Revenues - Current Rates (4)'!I11</f>
        <v>19.861472316678757</v>
      </c>
      <c r="E14" s="23">
        <f t="shared" si="1"/>
        <v>22.102084788185657</v>
      </c>
      <c r="G14" s="23">
        <f>'Revenues - Current Rates (4)'!$I$26</f>
        <v>5.07077697363178</v>
      </c>
      <c r="I14" s="32">
        <f t="shared" si="0"/>
        <v>5.6428214800105145</v>
      </c>
    </row>
    <row r="15" spans="1:9" x14ac:dyDescent="0.25">
      <c r="A15" s="23" t="str">
        <f>'Revenues - Current Rates (4)'!A12</f>
        <v>1"</v>
      </c>
      <c r="C15" s="23">
        <f>'Revenues - Current Rates (4)'!I12</f>
        <v>34.757576554187821</v>
      </c>
      <c r="E15" s="23">
        <f t="shared" si="1"/>
        <v>38.678648379324898</v>
      </c>
      <c r="G15" s="23">
        <f>'Revenues - Current Rates (4)'!$I$26</f>
        <v>5.07077697363178</v>
      </c>
      <c r="I15" s="32">
        <f t="shared" si="0"/>
        <v>5.6428214800105145</v>
      </c>
    </row>
    <row r="16" spans="1:9" x14ac:dyDescent="0.25">
      <c r="A16" s="23" t="str">
        <f>'Revenues - Current Rates (4)'!A13</f>
        <v>1  1/2"</v>
      </c>
      <c r="C16" s="23">
        <f>'Revenues - Current Rates (4)'!I13</f>
        <v>59.584416950036271</v>
      </c>
      <c r="E16" s="23">
        <f t="shared" si="1"/>
        <v>66.306254364556963</v>
      </c>
      <c r="G16" s="23">
        <f>'Revenues - Current Rates (4)'!$I$26</f>
        <v>5.07077697363178</v>
      </c>
      <c r="I16" s="32">
        <f t="shared" si="0"/>
        <v>5.6428214800105145</v>
      </c>
    </row>
    <row r="17" spans="1:9" x14ac:dyDescent="0.25">
      <c r="A17" s="23" t="str">
        <f>'Revenues - Current Rates (4)'!A14</f>
        <v xml:space="preserve"> 2"</v>
      </c>
      <c r="C17" s="23">
        <f>'Revenues - Current Rates (4)'!I14</f>
        <v>69.515153108375642</v>
      </c>
      <c r="E17" s="23">
        <f t="shared" si="1"/>
        <v>77.357296758649795</v>
      </c>
      <c r="G17" s="23">
        <f>'Revenues - Current Rates (4)'!$I$26</f>
        <v>5.07077697363178</v>
      </c>
      <c r="I17" s="32">
        <f t="shared" si="0"/>
        <v>5.6428214800105145</v>
      </c>
    </row>
    <row r="18" spans="1:9" x14ac:dyDescent="0.25">
      <c r="A18" s="23" t="str">
        <f>'Revenues - Current Rates (4)'!A15</f>
        <v>3"</v>
      </c>
      <c r="C18" s="23">
        <f>'Revenues - Current Rates (4)'!I15</f>
        <v>99.307361583393785</v>
      </c>
      <c r="E18" s="23">
        <f t="shared" si="1"/>
        <v>110.51042394092829</v>
      </c>
      <c r="G18" s="23">
        <f>'Revenues - Current Rates (4)'!$I$26</f>
        <v>5.07077697363178</v>
      </c>
      <c r="I18" s="32">
        <f t="shared" si="0"/>
        <v>5.6428214800105145</v>
      </c>
    </row>
    <row r="19" spans="1:9" x14ac:dyDescent="0.25">
      <c r="A19" s="23" t="str">
        <f>'Revenues - Current Rates (4)'!A16</f>
        <v xml:space="preserve"> 4"</v>
      </c>
      <c r="C19" s="23">
        <f>'Revenues - Current Rates (4)'!I16</f>
        <v>198.61472316678757</v>
      </c>
      <c r="E19" s="23">
        <f t="shared" si="1"/>
        <v>221.02084788185658</v>
      </c>
      <c r="G19" s="23">
        <f>'Revenues - Current Rates (4)'!$I$26</f>
        <v>5.07077697363178</v>
      </c>
      <c r="I19" s="32">
        <f t="shared" si="0"/>
        <v>5.6428214800105145</v>
      </c>
    </row>
    <row r="20" spans="1:9" x14ac:dyDescent="0.25">
      <c r="A20" s="23" t="str">
        <f>'Revenues - Current Rates (4)'!A17</f>
        <v xml:space="preserve"> 6"</v>
      </c>
      <c r="C20" s="23">
        <f>'Revenues - Current Rates (4)'!I17</f>
        <v>397.22944633357514</v>
      </c>
      <c r="E20" s="23">
        <f t="shared" si="1"/>
        <v>442.04169576371316</v>
      </c>
      <c r="G20" s="23">
        <f>'Revenues - Current Rates (4)'!$I$26</f>
        <v>5.07077697363178</v>
      </c>
      <c r="I20" s="32">
        <f t="shared" si="0"/>
        <v>5.6428214800105145</v>
      </c>
    </row>
    <row r="21" spans="1:9" x14ac:dyDescent="0.25">
      <c r="A21" s="23" t="str">
        <f>'Revenues - Current Rates (4)'!A18</f>
        <v>Flat Rate - Unmetered</v>
      </c>
      <c r="C21" s="23">
        <f>'Revenues - Current Rates (4)'!I18</f>
        <v>47.667533560029014</v>
      </c>
      <c r="E21" s="23">
        <f t="shared" si="1"/>
        <v>53.045003491645573</v>
      </c>
      <c r="G21" s="23">
        <f>'Revenues - Current Rates (4)'!$I$26</f>
        <v>5.07077697363178</v>
      </c>
      <c r="I21" s="32">
        <f t="shared" si="0"/>
        <v>5.6428214800105145</v>
      </c>
    </row>
    <row r="22" spans="1:9" x14ac:dyDescent="0.25">
      <c r="A22" s="23"/>
      <c r="C22" s="23"/>
      <c r="E22" s="23"/>
      <c r="G22" s="32"/>
    </row>
    <row r="23" spans="1:9" ht="15.75" x14ac:dyDescent="0.25">
      <c r="C23" s="7"/>
      <c r="D23" s="7"/>
      <c r="E23" s="7"/>
      <c r="G23" s="7"/>
      <c r="H23" s="7"/>
      <c r="I23" s="7" t="s">
        <v>70</v>
      </c>
    </row>
    <row r="24" spans="1:9" ht="15.75" x14ac:dyDescent="0.25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75" x14ac:dyDescent="0.25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25">
      <c r="A26" s="81" t="s">
        <v>74</v>
      </c>
      <c r="C26" s="90">
        <f>'Revenues - Current Rates (4)'!C9</f>
        <v>1</v>
      </c>
      <c r="E26" s="81">
        <v>1</v>
      </c>
      <c r="G26" s="21">
        <f>C26*E26</f>
        <v>1</v>
      </c>
      <c r="I26" s="32">
        <f>E26*$G$38</f>
        <v>22.102084788185657</v>
      </c>
    </row>
    <row r="27" spans="1:9" x14ac:dyDescent="0.25">
      <c r="A27" s="81" t="s">
        <v>75</v>
      </c>
      <c r="C27" s="81">
        <f>SUMIF('Revenues - Current Rates (4)'!$A$10:$A$18,"*"&amp;A27&amp;"*",'Revenues - Current Rates (4)'!$C$10:$C$18)</f>
        <v>459</v>
      </c>
      <c r="E27" s="81">
        <v>1</v>
      </c>
      <c r="G27" s="21">
        <f>C27*E27</f>
        <v>459</v>
      </c>
      <c r="I27" s="32">
        <f>E27*$G$38</f>
        <v>22.102084788185657</v>
      </c>
    </row>
    <row r="28" spans="1:9" x14ac:dyDescent="0.25">
      <c r="A28" s="81" t="s">
        <v>76</v>
      </c>
      <c r="C28" s="87">
        <f>SUMIF('Revenues - Current Rates (4)'!$A$10:$A$18,"*"&amp;A28&amp;"*",'Revenues - Current Rates (4)'!$C$10:$C$18)</f>
        <v>4044</v>
      </c>
      <c r="E28" s="81">
        <v>1</v>
      </c>
      <c r="G28" s="21">
        <f>C28*E28</f>
        <v>4044</v>
      </c>
      <c r="I28" s="32">
        <f t="shared" ref="I28:I35" si="2">E28*$G$38</f>
        <v>22.102084788185657</v>
      </c>
    </row>
    <row r="29" spans="1:9" x14ac:dyDescent="0.25">
      <c r="A29" s="81" t="s">
        <v>77</v>
      </c>
      <c r="C29" s="87">
        <f>SUMIF('Revenues - Current Rates (4)'!$A$10:$A$18,"*"&amp;A29&amp;"*",'Revenues - Current Rates (4)'!$C$10:$C$18)</f>
        <v>218</v>
      </c>
      <c r="E29" s="81">
        <v>1.75</v>
      </c>
      <c r="G29" s="21">
        <f t="shared" ref="G29:G35" si="3">C29*E29</f>
        <v>381.5</v>
      </c>
      <c r="I29" s="32">
        <f t="shared" si="2"/>
        <v>38.678648379324898</v>
      </c>
    </row>
    <row r="30" spans="1:9" x14ac:dyDescent="0.25">
      <c r="A30" s="81" t="s">
        <v>78</v>
      </c>
      <c r="C30" s="90">
        <f>SUMIF('Revenues - Current Rates (4)'!$A$10:$A$18,"*"&amp;A30&amp;"*",'Revenues - Current Rates (4)'!$C$10:$C$18)</f>
        <v>10</v>
      </c>
      <c r="E30" s="81">
        <v>3</v>
      </c>
      <c r="G30" s="21">
        <f t="shared" si="3"/>
        <v>30</v>
      </c>
      <c r="I30" s="32">
        <f t="shared" si="2"/>
        <v>66.306254364556963</v>
      </c>
    </row>
    <row r="31" spans="1:9" x14ac:dyDescent="0.25">
      <c r="A31" s="81" t="s">
        <v>79</v>
      </c>
      <c r="C31" s="87">
        <f>SUMIF('Revenues - Current Rates (4)'!$A$10:$A$18,"*"&amp;A31&amp;"*",'Revenues - Current Rates (4)'!$C$10:$C$18)</f>
        <v>72</v>
      </c>
      <c r="E31" s="81">
        <v>3.5</v>
      </c>
      <c r="G31" s="21">
        <f t="shared" si="3"/>
        <v>252</v>
      </c>
      <c r="I31" s="32">
        <f t="shared" si="2"/>
        <v>77.357296758649795</v>
      </c>
    </row>
    <row r="32" spans="1:9" x14ac:dyDescent="0.25">
      <c r="A32" s="81" t="s">
        <v>80</v>
      </c>
      <c r="C32" s="81">
        <f>SUMIF('Revenues - Current Rates (4)'!$A$10:$A$18,"*"&amp;A32&amp;"*",'Revenues - Current Rates (4)'!$C$10:$C$18)</f>
        <v>19</v>
      </c>
      <c r="E32" s="81">
        <v>5</v>
      </c>
      <c r="G32" s="21">
        <f t="shared" si="3"/>
        <v>95</v>
      </c>
      <c r="I32" s="32">
        <f t="shared" si="2"/>
        <v>110.51042394092829</v>
      </c>
    </row>
    <row r="33" spans="1:10" x14ac:dyDescent="0.25">
      <c r="A33" s="81" t="s">
        <v>81</v>
      </c>
      <c r="C33" s="81">
        <f>SUMIF('Revenues - Current Rates (4)'!$A$10:$A$18,"*"&amp;A33&amp;"*",'Revenues - Current Rates (4)'!$C$10:$C$18)</f>
        <v>7</v>
      </c>
      <c r="E33" s="81">
        <v>10</v>
      </c>
      <c r="G33" s="41">
        <f t="shared" si="3"/>
        <v>70</v>
      </c>
      <c r="I33" s="32">
        <f t="shared" si="2"/>
        <v>221.02084788185658</v>
      </c>
    </row>
    <row r="34" spans="1:10" x14ac:dyDescent="0.25">
      <c r="A34" s="81" t="s">
        <v>82</v>
      </c>
      <c r="C34" s="81">
        <f>SUMIF('Revenues - Current Rates (4)'!$A$10:$A$18,"*"&amp;A34&amp;"*",'Revenues - Current Rates (4)'!$C$10:$C$18)</f>
        <v>0</v>
      </c>
      <c r="E34" s="81">
        <v>20</v>
      </c>
      <c r="G34" s="41">
        <f t="shared" si="3"/>
        <v>0</v>
      </c>
      <c r="I34" s="32">
        <f t="shared" si="2"/>
        <v>442.04169576371316</v>
      </c>
    </row>
    <row r="35" spans="1:10" x14ac:dyDescent="0.25">
      <c r="A35" s="42" t="s">
        <v>83</v>
      </c>
      <c r="B35" s="31"/>
      <c r="C35" s="42">
        <v>6</v>
      </c>
      <c r="D35" s="31"/>
      <c r="E35" s="81">
        <v>2.4</v>
      </c>
      <c r="F35" s="31"/>
      <c r="G35" s="43">
        <f t="shared" si="3"/>
        <v>14.399999999999999</v>
      </c>
      <c r="H35" s="31"/>
      <c r="I35" s="32">
        <f t="shared" si="2"/>
        <v>53.045003491645573</v>
      </c>
    </row>
    <row r="36" spans="1:10" x14ac:dyDescent="0.25">
      <c r="C36" s="44">
        <f>SUM(C26:C35)</f>
        <v>4836</v>
      </c>
      <c r="E36" s="25"/>
      <c r="G36" s="44">
        <f>SUM(G26:G35)</f>
        <v>5346.9</v>
      </c>
      <c r="I36" s="25"/>
    </row>
    <row r="38" spans="1:10" x14ac:dyDescent="0.25">
      <c r="A38" s="45" t="s">
        <v>84</v>
      </c>
      <c r="B38" s="1"/>
      <c r="C38" s="1"/>
      <c r="D38" s="1"/>
      <c r="E38" s="46">
        <f>'Income Statement (4)'!F12</f>
        <v>1418131.6458473986</v>
      </c>
      <c r="F38" s="1"/>
      <c r="G38" s="47">
        <f>E38/12/G36</f>
        <v>22.102084788185657</v>
      </c>
      <c r="H38" s="1"/>
      <c r="I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ht="15.75" x14ac:dyDescent="0.25">
      <c r="A40" s="83" t="s">
        <v>8</v>
      </c>
      <c r="B40" s="83"/>
      <c r="C40" s="83" t="s">
        <v>108</v>
      </c>
      <c r="D40" s="83"/>
      <c r="E40" s="83" t="s">
        <v>70</v>
      </c>
      <c r="F40" s="1"/>
      <c r="G40" s="1"/>
      <c r="H40" s="1"/>
      <c r="I40" s="1"/>
    </row>
    <row r="41" spans="1:10" x14ac:dyDescent="0.25">
      <c r="A41" s="46">
        <f>'Income Statement (4)'!G12</f>
        <v>1633736.3541526014</v>
      </c>
      <c r="B41" s="1"/>
      <c r="C41" s="50">
        <v>289524728</v>
      </c>
      <c r="D41" s="1"/>
      <c r="E41" s="51">
        <f>(A41/C41)*1000</f>
        <v>5.6428214800105145</v>
      </c>
      <c r="F41" s="1"/>
      <c r="G41" s="1"/>
      <c r="H41" s="1"/>
      <c r="I41" s="1"/>
    </row>
    <row r="43" spans="1:10" ht="44.25" customHeight="1" x14ac:dyDescent="0.25">
      <c r="A43" s="104" t="s">
        <v>85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x14ac:dyDescent="0.25">
      <c r="A44" s="82"/>
      <c r="B44" s="82"/>
      <c r="C44" s="82"/>
      <c r="D44" s="82"/>
      <c r="E44" s="82"/>
      <c r="F44" s="82"/>
      <c r="G44" s="82"/>
      <c r="H44" s="82"/>
      <c r="I44" s="82"/>
    </row>
    <row r="45" spans="1:10" x14ac:dyDescent="0.25">
      <c r="A45" s="20" t="s">
        <v>110</v>
      </c>
      <c r="B45" s="81"/>
      <c r="C45" s="81"/>
      <c r="D45" s="81"/>
      <c r="E45" s="81"/>
      <c r="F45" s="81"/>
      <c r="G45" s="81"/>
      <c r="H45" s="81"/>
      <c r="I45" s="81"/>
    </row>
    <row r="49" spans="10:14" x14ac:dyDescent="0.25">
      <c r="J49" s="48"/>
      <c r="K49" s="48"/>
      <c r="L49" s="48"/>
      <c r="M49" s="48"/>
      <c r="N49" s="48"/>
    </row>
    <row r="50" spans="10:14" x14ac:dyDescent="0.25">
      <c r="J50" s="48"/>
      <c r="K50" s="48"/>
      <c r="L50" s="48"/>
      <c r="M50" s="48"/>
      <c r="N50" s="48"/>
    </row>
    <row r="51" spans="10:14" x14ac:dyDescent="0.25">
      <c r="J51" s="48"/>
      <c r="K51" s="48"/>
      <c r="L51" s="48"/>
      <c r="M51" s="48"/>
      <c r="N51" s="48"/>
    </row>
    <row r="52" spans="10:14" x14ac:dyDescent="0.25">
      <c r="J52" s="48"/>
      <c r="K52" s="48"/>
      <c r="L52" s="48"/>
      <c r="M52" s="48"/>
      <c r="N52" s="48"/>
    </row>
    <row r="54" spans="10:14" ht="15" customHeight="1" x14ac:dyDescent="0.25">
      <c r="J54" s="82"/>
    </row>
    <row r="55" spans="10:14" x14ac:dyDescent="0.25">
      <c r="J55" s="82"/>
    </row>
    <row r="56" spans="10:14" x14ac:dyDescent="0.25">
      <c r="J56" s="81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42"/>
  <sheetViews>
    <sheetView topLeftCell="A22" zoomScaleNormal="100" workbookViewId="0">
      <selection activeCell="K42" sqref="K42"/>
    </sheetView>
  </sheetViews>
  <sheetFormatPr defaultRowHeight="15" x14ac:dyDescent="0.25"/>
  <cols>
    <col min="1" max="1" width="20.42578125" customWidth="1"/>
    <col min="2" max="2" width="2.42578125" customWidth="1"/>
    <col min="3" max="3" width="11.42578125" customWidth="1"/>
    <col min="4" max="4" width="2.28515625" customWidth="1"/>
    <col min="6" max="6" width="2.42578125" customWidth="1"/>
    <col min="7" max="7" width="12.5703125" bestFit="1" customWidth="1"/>
    <col min="8" max="8" width="2.42578125" customWidth="1"/>
    <col min="9" max="9" width="14" bestFit="1" customWidth="1"/>
    <col min="10" max="10" width="2.42578125" customWidth="1"/>
    <col min="11" max="11" width="12.5703125" bestFit="1" customWidth="1"/>
  </cols>
  <sheetData>
    <row r="1" spans="1:11" ht="21.75" thickBot="1" x14ac:dyDescent="0.4">
      <c r="A1" s="93" t="str">
        <f>'Income Statement (4)'!A1:D1</f>
        <v>Liberty Utilities (Missouri Water), LLC - Bolivar Water - Year 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0.25" thickTop="1" thickBot="1" x14ac:dyDescent="0.35">
      <c r="A2" s="94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.75" thickTop="1" x14ac:dyDescent="0.25"/>
    <row r="4" spans="1:11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6" spans="1:11" ht="15.75" x14ac:dyDescent="0.25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75" x14ac:dyDescent="0.25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25">
      <c r="A8" s="81" t="str">
        <f>'Rate Design (4)'!A26</f>
        <v>1/2"</v>
      </c>
      <c r="C8" s="81">
        <f>'Rate Design (4)'!C26</f>
        <v>1</v>
      </c>
      <c r="E8" s="52">
        <v>12</v>
      </c>
      <c r="G8" s="21">
        <f>C8*E8</f>
        <v>12</v>
      </c>
      <c r="I8" s="32">
        <f>'Rate Design (4)'!I26</f>
        <v>22.102084788185657</v>
      </c>
      <c r="K8" s="3">
        <f>G8*I8</f>
        <v>265.22501745822785</v>
      </c>
    </row>
    <row r="9" spans="1:11" x14ac:dyDescent="0.25">
      <c r="A9" s="81" t="str">
        <f>'Rate Design (4)'!A27</f>
        <v>5/8"</v>
      </c>
      <c r="C9" s="81">
        <f>'Rate Design (4)'!C27</f>
        <v>459</v>
      </c>
      <c r="E9" s="52">
        <v>12</v>
      </c>
      <c r="G9" s="21">
        <f>C9*E9</f>
        <v>5508</v>
      </c>
      <c r="I9" s="32">
        <f>'Rate Design (4)'!I27</f>
        <v>22.102084788185657</v>
      </c>
      <c r="K9" s="3">
        <f t="shared" ref="K9:K17" si="0">G9*I9</f>
        <v>121738.2830133266</v>
      </c>
    </row>
    <row r="10" spans="1:11" x14ac:dyDescent="0.25">
      <c r="A10" s="81" t="str">
        <f>'Rate Design (4)'!A28</f>
        <v>3/4"</v>
      </c>
      <c r="C10" s="81">
        <f>'Rate Design (4)'!C28</f>
        <v>4044</v>
      </c>
      <c r="E10" s="52">
        <v>12</v>
      </c>
      <c r="G10" s="21">
        <f t="shared" ref="G10:G17" si="1">C10*E10</f>
        <v>48528</v>
      </c>
      <c r="I10" s="32">
        <f>'Rate Design (4)'!I28</f>
        <v>22.102084788185657</v>
      </c>
      <c r="K10" s="3">
        <f t="shared" si="0"/>
        <v>1072569.9706010735</v>
      </c>
    </row>
    <row r="11" spans="1:11" x14ac:dyDescent="0.25">
      <c r="A11" s="81" t="str">
        <f>'Rate Design (4)'!A29</f>
        <v>1"</v>
      </c>
      <c r="C11" s="81">
        <f>'Rate Design (4)'!C29</f>
        <v>218</v>
      </c>
      <c r="E11" s="52">
        <v>12</v>
      </c>
      <c r="G11" s="21">
        <f t="shared" si="1"/>
        <v>2616</v>
      </c>
      <c r="I11" s="32">
        <f>'Rate Design (4)'!I29</f>
        <v>38.678648379324898</v>
      </c>
      <c r="K11" s="3">
        <f t="shared" si="0"/>
        <v>101183.34416031394</v>
      </c>
    </row>
    <row r="12" spans="1:11" x14ac:dyDescent="0.25">
      <c r="A12" s="81" t="str">
        <f>'Rate Design (4)'!A30</f>
        <v>1  1/2"</v>
      </c>
      <c r="C12" s="81">
        <f>'Rate Design (4)'!C30</f>
        <v>10</v>
      </c>
      <c r="E12" s="52">
        <v>12</v>
      </c>
      <c r="G12" s="21">
        <f t="shared" si="1"/>
        <v>120</v>
      </c>
      <c r="I12" s="32">
        <f>'Rate Design (4)'!I30</f>
        <v>66.306254364556963</v>
      </c>
      <c r="K12" s="3">
        <f t="shared" si="0"/>
        <v>7956.7505237468358</v>
      </c>
    </row>
    <row r="13" spans="1:11" x14ac:dyDescent="0.25">
      <c r="A13" s="81" t="str">
        <f>'Rate Design (4)'!A31</f>
        <v xml:space="preserve"> 2"</v>
      </c>
      <c r="B13" s="53"/>
      <c r="C13" s="81">
        <f>'Rate Design (4)'!C31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(4)'!I31</f>
        <v>77.357296758649795</v>
      </c>
      <c r="J13" s="53"/>
      <c r="K13" s="3">
        <f t="shared" si="0"/>
        <v>66836.704399473427</v>
      </c>
    </row>
    <row r="14" spans="1:11" x14ac:dyDescent="0.25">
      <c r="A14" s="81" t="str">
        <f>'Rate Design (4)'!A32</f>
        <v>3"</v>
      </c>
      <c r="B14" s="53"/>
      <c r="C14" s="81">
        <f>'Rate Design (4)'!C32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(4)'!I32</f>
        <v>110.51042394092829</v>
      </c>
      <c r="J14" s="53"/>
      <c r="K14" s="3">
        <f t="shared" si="0"/>
        <v>25196.376658531652</v>
      </c>
    </row>
    <row r="15" spans="1:11" x14ac:dyDescent="0.25">
      <c r="A15" s="81" t="str">
        <f>'Rate Design (4)'!A33</f>
        <v xml:space="preserve"> 4"</v>
      </c>
      <c r="B15" s="53"/>
      <c r="C15" s="81">
        <f>'Rate Design (4)'!C33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(4)'!I33</f>
        <v>221.02084788185658</v>
      </c>
      <c r="J15" s="53"/>
      <c r="K15" s="56">
        <f t="shared" si="0"/>
        <v>18565.751222075953</v>
      </c>
    </row>
    <row r="16" spans="1:11" x14ac:dyDescent="0.25">
      <c r="A16" s="81" t="str">
        <f>'Rate Design (4)'!A34</f>
        <v xml:space="preserve"> 6"</v>
      </c>
      <c r="B16" s="53"/>
      <c r="C16" s="81">
        <f>'Rate Design (4)'!C34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(4)'!I34</f>
        <v>442.04169576371316</v>
      </c>
      <c r="J16" s="53"/>
      <c r="K16" s="56">
        <f t="shared" si="0"/>
        <v>0</v>
      </c>
    </row>
    <row r="17" spans="1:11" x14ac:dyDescent="0.25">
      <c r="A17" s="81" t="str">
        <f>'Rate Design (4)'!A35</f>
        <v>Flat Rate - Unmetered</v>
      </c>
      <c r="B17" s="31"/>
      <c r="C17" s="81">
        <f>'Rate Design (4)'!C35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(4)'!I35</f>
        <v>53.045003491645573</v>
      </c>
      <c r="J17" s="31"/>
      <c r="K17" s="59">
        <f t="shared" si="0"/>
        <v>3819.2402513984812</v>
      </c>
    </row>
    <row r="18" spans="1:11" ht="15.75" x14ac:dyDescent="0.25">
      <c r="A18" s="60" t="s">
        <v>20</v>
      </c>
      <c r="C18" s="24">
        <f>SUM(C9:C15)</f>
        <v>4829</v>
      </c>
      <c r="G18" s="61">
        <f>SUM(G9:G17)</f>
        <v>58020</v>
      </c>
      <c r="K18" s="62">
        <f>SUM(K8:K17)</f>
        <v>1418131.6458473986</v>
      </c>
    </row>
    <row r="19" spans="1:11" ht="15.75" x14ac:dyDescent="0.25">
      <c r="A19" s="63" t="s">
        <v>48</v>
      </c>
      <c r="C19" s="18"/>
      <c r="G19" s="64"/>
      <c r="K19" s="65"/>
    </row>
    <row r="20" spans="1:11" ht="19.5" thickBot="1" x14ac:dyDescent="0.35">
      <c r="A20" s="95" t="s">
        <v>49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x14ac:dyDescent="0.25">
      <c r="A21" s="6"/>
      <c r="G21" s="18"/>
      <c r="H21" s="18"/>
      <c r="I21" s="18"/>
      <c r="J21" s="18"/>
      <c r="K21" s="18" t="s">
        <v>21</v>
      </c>
    </row>
    <row r="22" spans="1:11" x14ac:dyDescent="0.25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25">
      <c r="A23" s="6"/>
      <c r="G23" s="16">
        <f>'Rate Design (4)'!C41/1000</f>
        <v>289524.728</v>
      </c>
      <c r="I23" s="32">
        <f>'Rate Design (4)'!E41</f>
        <v>5.6428214800105145</v>
      </c>
      <c r="K23" s="9">
        <f>G23*I23</f>
        <v>1633736.3541526017</v>
      </c>
    </row>
    <row r="24" spans="1:11" x14ac:dyDescent="0.25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1633736.3541526017</v>
      </c>
    </row>
    <row r="25" spans="1:11" x14ac:dyDescent="0.25">
      <c r="G25" s="16"/>
    </row>
    <row r="26" spans="1:11" ht="19.5" thickBot="1" x14ac:dyDescent="0.35">
      <c r="A26" s="95" t="s">
        <v>56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8" spans="1:11" ht="15.75" x14ac:dyDescent="0.25">
      <c r="A28" s="4" t="s">
        <v>60</v>
      </c>
      <c r="G28" s="66">
        <f>'Revenues - Current Rates (4)'!G41</f>
        <v>46730</v>
      </c>
    </row>
    <row r="30" spans="1:11" ht="19.5" thickBot="1" x14ac:dyDescent="0.35">
      <c r="A30" s="95" t="s">
        <v>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2" spans="1:11" x14ac:dyDescent="0.25">
      <c r="A32" t="s">
        <v>61</v>
      </c>
      <c r="I32" s="3">
        <f>K18</f>
        <v>1418131.6458473986</v>
      </c>
    </row>
    <row r="33" spans="1:11" x14ac:dyDescent="0.25">
      <c r="A33" t="s">
        <v>62</v>
      </c>
      <c r="I33" s="36">
        <f>K24</f>
        <v>1633736.3541526017</v>
      </c>
    </row>
    <row r="34" spans="1:11" ht="15.75" x14ac:dyDescent="0.25">
      <c r="A34" s="4" t="s">
        <v>63</v>
      </c>
      <c r="I34" s="38">
        <f>SUM(I32:I33)</f>
        <v>3051868</v>
      </c>
    </row>
    <row r="35" spans="1:11" ht="15.75" x14ac:dyDescent="0.25">
      <c r="A35" s="4" t="s">
        <v>56</v>
      </c>
      <c r="I35" s="38">
        <f>G28</f>
        <v>46730</v>
      </c>
    </row>
    <row r="36" spans="1:11" ht="16.5" thickBot="1" x14ac:dyDescent="0.3">
      <c r="A36" s="4" t="s">
        <v>91</v>
      </c>
      <c r="I36" s="39">
        <f>SUM(I34:I35)</f>
        <v>3098598</v>
      </c>
    </row>
    <row r="37" spans="1:11" ht="15.75" thickTop="1" x14ac:dyDescent="0.25"/>
    <row r="38" spans="1:11" x14ac:dyDescent="0.25">
      <c r="A38" s="100" t="s">
        <v>92</v>
      </c>
      <c r="B38" s="100"/>
      <c r="C38" s="100"/>
      <c r="D38" s="100"/>
      <c r="E38" s="100"/>
      <c r="F38" s="100"/>
      <c r="G38" s="100"/>
    </row>
    <row r="39" spans="1:11" x14ac:dyDescent="0.25">
      <c r="A39" s="6" t="s">
        <v>91</v>
      </c>
      <c r="G39" s="9">
        <f>I36</f>
        <v>3098598</v>
      </c>
    </row>
    <row r="40" spans="1:11" x14ac:dyDescent="0.25">
      <c r="A40" s="6" t="s">
        <v>93</v>
      </c>
      <c r="G40" s="9">
        <f>'Revenues - Current Rates (4)'!G42</f>
        <v>2789213</v>
      </c>
    </row>
    <row r="41" spans="1:11" x14ac:dyDescent="0.25">
      <c r="A41" s="6" t="s">
        <v>94</v>
      </c>
      <c r="G41" s="67">
        <f>G39-G40</f>
        <v>309385</v>
      </c>
      <c r="K41" t="s">
        <v>119</v>
      </c>
    </row>
    <row r="42" spans="1:11" x14ac:dyDescent="0.25">
      <c r="A42" s="6" t="s">
        <v>95</v>
      </c>
      <c r="G42" s="68">
        <f>'Income Statement (4)'!D13</f>
        <v>309385</v>
      </c>
      <c r="K42" s="9">
        <f>G41+'Revenues - Proposed Rates (3)'!G42+'Revenues - Proposed Rates (2)'!G41+'Revenues - Proposed Rates'!G41</f>
        <v>1237540.0845599999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6"/>
  <sheetViews>
    <sheetView zoomScaleNormal="100" workbookViewId="0">
      <selection activeCell="G52" sqref="G52"/>
    </sheetView>
  </sheetViews>
  <sheetFormatPr defaultRowHeight="15" x14ac:dyDescent="0.25"/>
  <cols>
    <col min="1" max="1" width="33.28515625" customWidth="1"/>
    <col min="2" max="2" width="2.140625" customWidth="1"/>
    <col min="3" max="3" width="11.140625" customWidth="1"/>
    <col min="4" max="4" width="2" customWidth="1"/>
    <col min="6" max="6" width="1.85546875" customWidth="1"/>
    <col min="7" max="7" width="15.140625" bestFit="1" customWidth="1"/>
    <col min="8" max="8" width="1.85546875" customWidth="1"/>
    <col min="10" max="10" width="1.85546875" customWidth="1"/>
    <col min="11" max="11" width="14.28515625" bestFit="1" customWidth="1"/>
    <col min="14" max="15" width="11.5703125" bestFit="1" customWidth="1"/>
    <col min="16" max="17" width="14.85546875" bestFit="1" customWidth="1"/>
  </cols>
  <sheetData>
    <row r="1" spans="1:16" ht="21.75" thickBot="1" x14ac:dyDescent="0.4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 ht="20.25" thickTop="1" thickBot="1" x14ac:dyDescent="0.35">
      <c r="A2" s="94" t="s">
        <v>112</v>
      </c>
      <c r="B2" s="94"/>
      <c r="C2" s="94"/>
      <c r="D2" s="94"/>
      <c r="E2" s="94"/>
      <c r="F2" s="94"/>
      <c r="G2" s="94"/>
      <c r="H2" s="94"/>
      <c r="I2" s="94"/>
      <c r="J2" s="94"/>
      <c r="K2" s="94"/>
      <c r="O2" s="9"/>
      <c r="P2" s="9"/>
    </row>
    <row r="3" spans="1:16" ht="15.75" thickTop="1" x14ac:dyDescent="0.25">
      <c r="O3" s="9"/>
      <c r="P3" s="9"/>
    </row>
    <row r="4" spans="1:16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O4" s="9"/>
      <c r="P4" s="9"/>
    </row>
    <row r="5" spans="1:16" x14ac:dyDescent="0.25">
      <c r="O5" s="9"/>
      <c r="P5" s="9"/>
    </row>
    <row r="6" spans="1:16" ht="15.75" thickBot="1" x14ac:dyDescent="0.3">
      <c r="A6" s="97" t="s">
        <v>16</v>
      </c>
      <c r="B6" s="97"/>
      <c r="C6" s="97"/>
      <c r="D6" s="97"/>
      <c r="E6" s="97"/>
      <c r="F6" s="97"/>
      <c r="G6" s="97"/>
      <c r="H6" s="97"/>
      <c r="I6" s="97"/>
      <c r="J6" s="97"/>
      <c r="K6" s="97"/>
      <c r="O6" s="9"/>
    </row>
    <row r="7" spans="1:16" x14ac:dyDescent="0.25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25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25">
      <c r="A9" s="20" t="s">
        <v>28</v>
      </c>
      <c r="C9" s="89">
        <v>92</v>
      </c>
      <c r="D9" s="22"/>
      <c r="E9" s="22">
        <v>12</v>
      </c>
      <c r="F9" s="22"/>
      <c r="G9" s="21">
        <f t="shared" ref="G9:G29" si="0">C9*E9</f>
        <v>1104</v>
      </c>
      <c r="I9" s="23">
        <v>18.07</v>
      </c>
      <c r="K9" s="9">
        <f t="shared" ref="K9:K29" si="1">G9*I9</f>
        <v>19949.28</v>
      </c>
    </row>
    <row r="10" spans="1:16" x14ac:dyDescent="0.25">
      <c r="A10" s="20" t="s">
        <v>29</v>
      </c>
      <c r="C10" s="89">
        <v>12</v>
      </c>
      <c r="D10" s="22"/>
      <c r="E10" s="22">
        <v>12</v>
      </c>
      <c r="F10" s="22"/>
      <c r="G10" s="21">
        <f t="shared" si="0"/>
        <v>144</v>
      </c>
      <c r="I10" s="23">
        <v>18.07</v>
      </c>
      <c r="K10" s="9">
        <f t="shared" si="1"/>
        <v>2602.08</v>
      </c>
    </row>
    <row r="11" spans="1:16" x14ac:dyDescent="0.25">
      <c r="A11" s="20" t="s">
        <v>30</v>
      </c>
      <c r="C11" s="89">
        <v>1</v>
      </c>
      <c r="D11" s="22"/>
      <c r="E11" s="22">
        <v>12</v>
      </c>
      <c r="F11" s="22"/>
      <c r="G11" s="21">
        <f t="shared" si="0"/>
        <v>12</v>
      </c>
      <c r="I11" s="23">
        <v>18.07</v>
      </c>
      <c r="K11" s="9">
        <f t="shared" si="1"/>
        <v>216.84</v>
      </c>
    </row>
    <row r="12" spans="1:16" x14ac:dyDescent="0.25">
      <c r="A12" s="20" t="s">
        <v>31</v>
      </c>
      <c r="C12" s="89">
        <v>3660</v>
      </c>
      <c r="D12" s="22"/>
      <c r="E12" s="22">
        <v>12</v>
      </c>
      <c r="F12" s="22"/>
      <c r="G12" s="21">
        <f t="shared" si="0"/>
        <v>43920</v>
      </c>
      <c r="I12" s="23">
        <v>18.07</v>
      </c>
      <c r="K12" s="9">
        <f t="shared" si="1"/>
        <v>793634.4</v>
      </c>
      <c r="O12" s="21"/>
    </row>
    <row r="13" spans="1:16" x14ac:dyDescent="0.25">
      <c r="A13" s="20" t="s">
        <v>32</v>
      </c>
      <c r="C13" s="89">
        <v>418</v>
      </c>
      <c r="D13" s="22"/>
      <c r="E13" s="22">
        <v>12</v>
      </c>
      <c r="F13" s="22"/>
      <c r="G13" s="21">
        <f t="shared" si="0"/>
        <v>5016</v>
      </c>
      <c r="I13" s="23">
        <v>18.07</v>
      </c>
      <c r="K13" s="9">
        <f t="shared" si="1"/>
        <v>90639.12</v>
      </c>
      <c r="O13" s="21"/>
    </row>
    <row r="14" spans="1:16" x14ac:dyDescent="0.25">
      <c r="A14" s="20" t="s">
        <v>33</v>
      </c>
      <c r="C14" s="89">
        <v>3</v>
      </c>
      <c r="D14" s="22"/>
      <c r="E14" s="22">
        <v>12</v>
      </c>
      <c r="F14" s="22"/>
      <c r="G14" s="21">
        <f t="shared" si="0"/>
        <v>36</v>
      </c>
      <c r="I14" s="23">
        <v>18.07</v>
      </c>
      <c r="K14" s="9">
        <f t="shared" si="1"/>
        <v>650.52</v>
      </c>
    </row>
    <row r="15" spans="1:16" x14ac:dyDescent="0.25">
      <c r="A15" s="20" t="s">
        <v>34</v>
      </c>
      <c r="C15" s="89">
        <v>1</v>
      </c>
      <c r="D15" s="22"/>
      <c r="E15" s="22">
        <v>12</v>
      </c>
      <c r="F15" s="22"/>
      <c r="G15" s="21">
        <f t="shared" si="0"/>
        <v>12</v>
      </c>
      <c r="I15" s="23">
        <v>18.07</v>
      </c>
      <c r="K15" s="9">
        <f t="shared" si="1"/>
        <v>216.84</v>
      </c>
    </row>
    <row r="16" spans="1:16" x14ac:dyDescent="0.25">
      <c r="A16" s="20" t="s">
        <v>35</v>
      </c>
      <c r="C16" s="89">
        <v>1</v>
      </c>
      <c r="D16" s="22"/>
      <c r="E16" s="22">
        <v>12</v>
      </c>
      <c r="F16" s="22"/>
      <c r="G16" s="21">
        <f t="shared" si="0"/>
        <v>12</v>
      </c>
      <c r="I16" s="23">
        <v>18.07</v>
      </c>
      <c r="K16" s="9">
        <f t="shared" si="1"/>
        <v>216.84</v>
      </c>
    </row>
    <row r="17" spans="1:15" x14ac:dyDescent="0.25">
      <c r="A17" s="20" t="s">
        <v>36</v>
      </c>
      <c r="C17" s="89">
        <v>124</v>
      </c>
      <c r="D17" s="22"/>
      <c r="E17" s="22">
        <v>12</v>
      </c>
      <c r="F17" s="22"/>
      <c r="G17" s="21">
        <f t="shared" si="0"/>
        <v>1488</v>
      </c>
      <c r="I17" s="23">
        <v>21.26</v>
      </c>
      <c r="K17" s="9">
        <f t="shared" si="1"/>
        <v>31634.880000000001</v>
      </c>
    </row>
    <row r="18" spans="1:15" x14ac:dyDescent="0.25">
      <c r="A18" s="20" t="s">
        <v>37</v>
      </c>
      <c r="C18" s="89">
        <v>59</v>
      </c>
      <c r="D18" s="22"/>
      <c r="E18" s="22">
        <v>12</v>
      </c>
      <c r="F18" s="22"/>
      <c r="G18" s="21">
        <f t="shared" si="0"/>
        <v>708</v>
      </c>
      <c r="I18" s="23">
        <v>21.26</v>
      </c>
      <c r="K18" s="9">
        <f t="shared" si="1"/>
        <v>15052.080000000002</v>
      </c>
    </row>
    <row r="19" spans="1:15" x14ac:dyDescent="0.25">
      <c r="A19" s="20" t="s">
        <v>38</v>
      </c>
      <c r="C19" s="89">
        <v>16</v>
      </c>
      <c r="D19" s="22"/>
      <c r="E19" s="22">
        <v>12</v>
      </c>
      <c r="F19" s="22"/>
      <c r="G19" s="21">
        <f t="shared" si="0"/>
        <v>192</v>
      </c>
      <c r="I19" s="23">
        <v>21.26</v>
      </c>
      <c r="K19" s="9">
        <f t="shared" si="1"/>
        <v>4081.92</v>
      </c>
    </row>
    <row r="20" spans="1:15" x14ac:dyDescent="0.25">
      <c r="A20" s="20" t="s">
        <v>39</v>
      </c>
      <c r="C20" s="89">
        <v>374</v>
      </c>
      <c r="D20" s="22"/>
      <c r="E20" s="22">
        <v>12</v>
      </c>
      <c r="F20" s="22"/>
      <c r="G20" s="21">
        <f t="shared" si="0"/>
        <v>4488</v>
      </c>
      <c r="I20" s="23">
        <v>21.26</v>
      </c>
      <c r="K20" s="9">
        <f t="shared" si="1"/>
        <v>95414.88</v>
      </c>
    </row>
    <row r="21" spans="1:15" x14ac:dyDescent="0.25">
      <c r="A21" s="20" t="s">
        <v>40</v>
      </c>
      <c r="C21" s="89">
        <v>41</v>
      </c>
      <c r="D21" s="22"/>
      <c r="E21" s="22">
        <v>12</v>
      </c>
      <c r="F21" s="22"/>
      <c r="G21" s="21">
        <f t="shared" si="0"/>
        <v>492</v>
      </c>
      <c r="I21" s="23">
        <v>21.26</v>
      </c>
      <c r="K21" s="9">
        <f t="shared" si="1"/>
        <v>10459.92</v>
      </c>
    </row>
    <row r="22" spans="1:15" x14ac:dyDescent="0.25">
      <c r="A22" s="20" t="s">
        <v>41</v>
      </c>
      <c r="C22" s="89">
        <v>7</v>
      </c>
      <c r="D22" s="22"/>
      <c r="E22" s="22">
        <v>12</v>
      </c>
      <c r="F22" s="22"/>
      <c r="G22" s="21">
        <f t="shared" si="0"/>
        <v>84</v>
      </c>
      <c r="I22" s="23">
        <v>21.26</v>
      </c>
      <c r="K22" s="9">
        <f t="shared" si="1"/>
        <v>1785.8400000000001</v>
      </c>
    </row>
    <row r="23" spans="1:15" x14ac:dyDescent="0.25">
      <c r="A23" s="20" t="s">
        <v>42</v>
      </c>
      <c r="C23" s="89">
        <v>0</v>
      </c>
      <c r="D23" s="22"/>
      <c r="E23" s="22">
        <v>12</v>
      </c>
      <c r="F23" s="22"/>
      <c r="G23" s="21">
        <f t="shared" si="0"/>
        <v>0</v>
      </c>
      <c r="I23" s="23">
        <v>21.26</v>
      </c>
      <c r="K23" s="9">
        <f t="shared" si="1"/>
        <v>0</v>
      </c>
    </row>
    <row r="24" spans="1:15" x14ac:dyDescent="0.25">
      <c r="A24" s="20" t="s">
        <v>43</v>
      </c>
      <c r="C24" s="89">
        <v>6</v>
      </c>
      <c r="D24" s="22"/>
      <c r="E24" s="22">
        <v>12</v>
      </c>
      <c r="F24" s="22"/>
      <c r="G24" s="21">
        <f t="shared" si="0"/>
        <v>72</v>
      </c>
      <c r="I24" s="23">
        <v>21.26</v>
      </c>
      <c r="K24" s="9">
        <f t="shared" si="1"/>
        <v>1530.72</v>
      </c>
    </row>
    <row r="25" spans="1:15" x14ac:dyDescent="0.25">
      <c r="A25" s="20" t="s">
        <v>44</v>
      </c>
      <c r="C25" s="89">
        <v>2</v>
      </c>
      <c r="D25" s="22"/>
      <c r="E25" s="22">
        <v>12</v>
      </c>
      <c r="F25" s="22"/>
      <c r="G25" s="21">
        <f t="shared" si="0"/>
        <v>24</v>
      </c>
      <c r="I25" s="23">
        <v>21.26</v>
      </c>
      <c r="K25" s="9">
        <f t="shared" si="1"/>
        <v>510.24</v>
      </c>
    </row>
    <row r="26" spans="1:15" x14ac:dyDescent="0.25">
      <c r="A26" s="20" t="s">
        <v>45</v>
      </c>
      <c r="C26" s="89">
        <v>1</v>
      </c>
      <c r="D26" s="22"/>
      <c r="E26" s="22">
        <v>12</v>
      </c>
      <c r="F26" s="22"/>
      <c r="G26" s="21">
        <f t="shared" si="0"/>
        <v>12</v>
      </c>
      <c r="I26" s="23">
        <v>21.26</v>
      </c>
      <c r="K26" s="9">
        <f t="shared" si="1"/>
        <v>255.12</v>
      </c>
    </row>
    <row r="27" spans="1:15" x14ac:dyDescent="0.25">
      <c r="A27" s="20" t="s">
        <v>46</v>
      </c>
      <c r="C27" s="89">
        <v>2</v>
      </c>
      <c r="D27" s="22"/>
      <c r="E27" s="22">
        <v>12</v>
      </c>
      <c r="F27" s="22"/>
      <c r="G27" s="21">
        <f t="shared" si="0"/>
        <v>24</v>
      </c>
      <c r="I27" s="23">
        <v>21.26</v>
      </c>
      <c r="K27" s="9">
        <f t="shared" si="1"/>
        <v>510.24</v>
      </c>
    </row>
    <row r="28" spans="1:15" x14ac:dyDescent="0.25">
      <c r="A28" s="20" t="s">
        <v>47</v>
      </c>
      <c r="C28" s="89">
        <v>10</v>
      </c>
      <c r="D28" s="22"/>
      <c r="E28" s="22">
        <v>12</v>
      </c>
      <c r="F28" s="22"/>
      <c r="G28" s="21">
        <f t="shared" si="0"/>
        <v>120</v>
      </c>
      <c r="I28" s="23">
        <v>21.26</v>
      </c>
      <c r="K28" s="9">
        <f t="shared" si="1"/>
        <v>2551.2000000000003</v>
      </c>
    </row>
    <row r="29" spans="1:15" x14ac:dyDescent="0.25">
      <c r="A29" s="20" t="s">
        <v>83</v>
      </c>
      <c r="C29" s="88">
        <v>6</v>
      </c>
      <c r="D29" s="87"/>
      <c r="E29" s="87">
        <v>12</v>
      </c>
      <c r="F29" s="87"/>
      <c r="G29" s="21">
        <f t="shared" si="0"/>
        <v>72</v>
      </c>
      <c r="I29" s="23">
        <v>18.07</v>
      </c>
      <c r="K29" s="9">
        <f t="shared" si="1"/>
        <v>1301.04</v>
      </c>
    </row>
    <row r="30" spans="1:15" x14ac:dyDescent="0.25">
      <c r="A30" s="24" t="s">
        <v>20</v>
      </c>
      <c r="B30" s="25"/>
      <c r="C30" s="26">
        <f>SUM(C9:C29)</f>
        <v>4836</v>
      </c>
      <c r="D30" s="25"/>
      <c r="E30" s="25"/>
      <c r="F30" s="25"/>
      <c r="G30" s="27">
        <f>SUM(G9:G29)</f>
        <v>58032</v>
      </c>
      <c r="H30" s="25"/>
      <c r="I30" s="25"/>
      <c r="J30" s="25"/>
      <c r="K30" s="28">
        <f>SUM(K9:K29)</f>
        <v>1073214</v>
      </c>
      <c r="O30" s="29"/>
    </row>
    <row r="31" spans="1:15" x14ac:dyDescent="0.25">
      <c r="A31" s="6" t="s">
        <v>48</v>
      </c>
    </row>
    <row r="32" spans="1:15" x14ac:dyDescent="0.25">
      <c r="A32" s="6"/>
    </row>
    <row r="33" spans="1:17" x14ac:dyDescent="0.25">
      <c r="A33" s="6"/>
    </row>
    <row r="34" spans="1:17" ht="19.5" thickBot="1" x14ac:dyDescent="0.35">
      <c r="A34" s="95" t="s">
        <v>49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</row>
    <row r="35" spans="1:17" x14ac:dyDescent="0.25">
      <c r="A35" s="6"/>
      <c r="G35" s="18" t="s">
        <v>50</v>
      </c>
      <c r="H35" s="18"/>
      <c r="I35" s="18"/>
      <c r="J35" s="18"/>
      <c r="K35" s="18" t="s">
        <v>21</v>
      </c>
    </row>
    <row r="36" spans="1:17" x14ac:dyDescent="0.25">
      <c r="A36" s="30"/>
      <c r="B36" s="31"/>
      <c r="C36" s="31"/>
      <c r="D36" s="31"/>
      <c r="E36" s="31"/>
      <c r="F36" s="31"/>
      <c r="G36" s="19" t="s">
        <v>51</v>
      </c>
      <c r="H36" s="19"/>
      <c r="I36" s="19" t="s">
        <v>52</v>
      </c>
      <c r="J36" s="19"/>
      <c r="K36" s="19" t="s">
        <v>27</v>
      </c>
    </row>
    <row r="37" spans="1:17" x14ac:dyDescent="0.25">
      <c r="A37" s="20" t="s">
        <v>53</v>
      </c>
      <c r="G37" s="16">
        <f>109064181/1000</f>
        <v>109064.181</v>
      </c>
      <c r="I37" s="32">
        <v>3.72</v>
      </c>
      <c r="K37" s="9">
        <f>G37*I37</f>
        <v>405718.75332000002</v>
      </c>
      <c r="O37" s="16"/>
    </row>
    <row r="38" spans="1:17" x14ac:dyDescent="0.25">
      <c r="A38" s="20" t="s">
        <v>54</v>
      </c>
      <c r="G38" s="16">
        <f>89969661/1000</f>
        <v>89969.660999999993</v>
      </c>
      <c r="I38" s="32">
        <v>3.72</v>
      </c>
      <c r="K38" s="9">
        <f t="shared" ref="K38:K39" si="2">G38*I38</f>
        <v>334687.13892</v>
      </c>
    </row>
    <row r="39" spans="1:17" x14ac:dyDescent="0.25">
      <c r="A39" s="20" t="s">
        <v>55</v>
      </c>
      <c r="G39" s="16">
        <f>190060/1000</f>
        <v>190.06</v>
      </c>
      <c r="I39" s="32">
        <v>3.72</v>
      </c>
      <c r="K39" s="9">
        <f t="shared" si="2"/>
        <v>707.02320000000009</v>
      </c>
    </row>
    <row r="40" spans="1:17" x14ac:dyDescent="0.25">
      <c r="A40" s="6"/>
      <c r="E40" s="18" t="s">
        <v>106</v>
      </c>
      <c r="G40" s="33">
        <f>SUM(G37:G39)</f>
        <v>199223.902</v>
      </c>
      <c r="H40" s="25"/>
      <c r="I40" s="25"/>
      <c r="J40" s="25"/>
      <c r="K40" s="28">
        <f>SUM(K37:K39)</f>
        <v>741112.91544000001</v>
      </c>
      <c r="O40" s="29"/>
      <c r="P40" s="29"/>
      <c r="Q40" s="29"/>
    </row>
    <row r="41" spans="1:17" x14ac:dyDescent="0.25">
      <c r="A41" s="6" t="s">
        <v>107</v>
      </c>
      <c r="Q41" s="29"/>
    </row>
    <row r="42" spans="1:17" ht="19.5" thickBot="1" x14ac:dyDescent="0.35">
      <c r="A42" s="95" t="s">
        <v>56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P42" s="34"/>
      <c r="Q42" s="34"/>
    </row>
    <row r="44" spans="1:17" x14ac:dyDescent="0.25">
      <c r="A44" t="s">
        <v>57</v>
      </c>
      <c r="G44" s="3">
        <v>14411</v>
      </c>
    </row>
    <row r="45" spans="1:17" x14ac:dyDescent="0.25">
      <c r="A45" t="s">
        <v>58</v>
      </c>
      <c r="G45" s="3">
        <v>31694</v>
      </c>
    </row>
    <row r="46" spans="1:17" x14ac:dyDescent="0.25">
      <c r="A46" t="s">
        <v>59</v>
      </c>
      <c r="G46" s="3">
        <v>625</v>
      </c>
    </row>
    <row r="47" spans="1:17" ht="15.75" x14ac:dyDescent="0.25">
      <c r="A47" s="4" t="s">
        <v>60</v>
      </c>
      <c r="G47" s="35">
        <f>SUM(G44:G46)</f>
        <v>46730</v>
      </c>
    </row>
    <row r="49" spans="1:11" ht="19.5" thickBot="1" x14ac:dyDescent="0.35">
      <c r="A49" s="95" t="s">
        <v>4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</row>
    <row r="51" spans="1:11" x14ac:dyDescent="0.25">
      <c r="A51" t="s">
        <v>61</v>
      </c>
      <c r="G51" s="9">
        <f>K30</f>
        <v>1073214</v>
      </c>
    </row>
    <row r="52" spans="1:11" x14ac:dyDescent="0.25">
      <c r="A52" t="s">
        <v>62</v>
      </c>
      <c r="G52" s="36">
        <f>K40</f>
        <v>741112.91544000001</v>
      </c>
    </row>
    <row r="53" spans="1:11" ht="15.75" x14ac:dyDescent="0.25">
      <c r="A53" s="4" t="s">
        <v>63</v>
      </c>
      <c r="G53" s="37">
        <f>SUM(G51:G52)+1</f>
        <v>1814327.9154400001</v>
      </c>
    </row>
    <row r="54" spans="1:11" ht="15.75" x14ac:dyDescent="0.25">
      <c r="A54" s="4" t="s">
        <v>56</v>
      </c>
      <c r="G54" s="38">
        <f>G47</f>
        <v>46730</v>
      </c>
    </row>
    <row r="55" spans="1:11" ht="16.5" thickBot="1" x14ac:dyDescent="0.3">
      <c r="A55" s="4" t="s">
        <v>4</v>
      </c>
      <c r="G55" s="39">
        <f>SUM(G53:G54)</f>
        <v>1861057.9154400001</v>
      </c>
    </row>
    <row r="56" spans="1:11" ht="15.75" thickTop="1" x14ac:dyDescent="0.25"/>
  </sheetData>
  <mergeCells count="7">
    <mergeCell ref="A49:K49"/>
    <mergeCell ref="A1:K1"/>
    <mergeCell ref="A2:K2"/>
    <mergeCell ref="A4:K4"/>
    <mergeCell ref="A6:K6"/>
    <mergeCell ref="A34:K34"/>
    <mergeCell ref="A42:K42"/>
  </mergeCells>
  <pageMargins left="0.7" right="0.7" top="0.75" bottom="0.75" header="0.3" footer="0.3"/>
  <pageSetup scale="82" orientation="portrait" r:id="rId1"/>
  <headerFooter>
    <oddFooter>&amp;RCase No. WR-2024-0104
Page &amp;P of &amp;N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22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14" customWidth="1"/>
    <col min="2" max="2" width="4.5703125" customWidth="1"/>
    <col min="3" max="3" width="11.5703125" bestFit="1" customWidth="1"/>
    <col min="4" max="4" width="9.42578125" customWidth="1"/>
    <col min="5" max="5" width="25.5703125" customWidth="1"/>
    <col min="6" max="6" width="4.7109375" customWidth="1"/>
    <col min="7" max="7" width="12.42578125" customWidth="1"/>
    <col min="8" max="8" width="9.42578125" customWidth="1"/>
    <col min="9" max="9" width="25.85546875" bestFit="1" customWidth="1"/>
    <col min="10" max="10" width="4.7109375" customWidth="1"/>
  </cols>
  <sheetData>
    <row r="1" spans="1:11" ht="21" x14ac:dyDescent="0.35">
      <c r="A1" s="69" t="str">
        <f>'Income Statement (4)'!A1:D1</f>
        <v>Liberty Utilities (Missouri Water), LLC - Bolivar Water - Year 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.75" x14ac:dyDescent="0.3">
      <c r="A2" s="101" t="s">
        <v>96</v>
      </c>
      <c r="B2" s="101"/>
      <c r="C2" s="101"/>
      <c r="D2" s="101"/>
      <c r="E2" s="101"/>
      <c r="F2" s="70"/>
      <c r="G2" s="70"/>
      <c r="H2" s="70"/>
      <c r="I2" s="70"/>
      <c r="J2" s="70"/>
      <c r="K2" s="70"/>
    </row>
    <row r="4" spans="1:11" ht="15.75" x14ac:dyDescent="0.25">
      <c r="E4" s="53"/>
      <c r="F4" s="53"/>
      <c r="G4" s="71"/>
      <c r="H4" s="53"/>
    </row>
    <row r="5" spans="1:11" ht="15.75" x14ac:dyDescent="0.25">
      <c r="B5" s="31"/>
      <c r="C5" s="80" t="s">
        <v>97</v>
      </c>
      <c r="D5" s="31"/>
      <c r="E5" s="53"/>
      <c r="F5" s="53"/>
      <c r="G5" s="71"/>
      <c r="H5" s="53"/>
    </row>
    <row r="6" spans="1:11" x14ac:dyDescent="0.25">
      <c r="A6" t="s">
        <v>98</v>
      </c>
      <c r="C6" s="32">
        <f>'Rate Design (4)'!G38</f>
        <v>22.102084788185657</v>
      </c>
      <c r="E6" s="53"/>
      <c r="F6" s="53"/>
      <c r="G6" s="55"/>
      <c r="H6" s="53"/>
    </row>
    <row r="7" spans="1:11" x14ac:dyDescent="0.25">
      <c r="A7" s="1" t="s">
        <v>99</v>
      </c>
      <c r="B7" s="1"/>
      <c r="C7" s="72">
        <f>'Rate Design (4)'!E41*4</f>
        <v>22.571285920042058</v>
      </c>
      <c r="E7" s="65"/>
      <c r="F7" s="65"/>
      <c r="G7" s="73"/>
      <c r="H7" s="53"/>
    </row>
    <row r="8" spans="1:11" x14ac:dyDescent="0.25">
      <c r="A8" s="1" t="s">
        <v>100</v>
      </c>
      <c r="B8" s="1"/>
      <c r="C8" s="47">
        <f>SUM(C6:C7)</f>
        <v>44.673370708227715</v>
      </c>
      <c r="E8" s="65"/>
      <c r="F8" s="65"/>
      <c r="G8" s="74"/>
      <c r="H8" s="53"/>
    </row>
    <row r="10" spans="1:11" ht="18.75" x14ac:dyDescent="0.3">
      <c r="A10" s="102" t="s">
        <v>101</v>
      </c>
      <c r="B10" s="102"/>
      <c r="C10" s="102"/>
      <c r="D10" s="102"/>
      <c r="E10" s="102"/>
      <c r="F10" s="2"/>
      <c r="G10" s="2"/>
      <c r="H10" s="2"/>
      <c r="I10" s="2"/>
      <c r="J10" s="2"/>
      <c r="K10" s="2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B12" s="103" t="s">
        <v>102</v>
      </c>
      <c r="C12" s="103"/>
      <c r="D12" s="103"/>
      <c r="E12" s="75"/>
      <c r="F12" s="75"/>
      <c r="G12" s="65"/>
      <c r="H12" s="65"/>
      <c r="I12" s="75"/>
      <c r="J12" s="75"/>
      <c r="K12" s="65"/>
    </row>
    <row r="13" spans="1:11" x14ac:dyDescent="0.25">
      <c r="A13" s="1" t="s">
        <v>98</v>
      </c>
      <c r="B13" s="1"/>
      <c r="C13" s="47">
        <f>'Revenues - Current Rates (4)'!I10</f>
        <v>19.861472316678757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25">
      <c r="A14" s="1" t="s">
        <v>99</v>
      </c>
      <c r="B14" s="1"/>
      <c r="C14" s="72">
        <f>'Revenues - Current Rates (4)'!I26*4</f>
        <v>20.28310789452712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25">
      <c r="A15" s="1" t="s">
        <v>100</v>
      </c>
      <c r="B15" s="1"/>
      <c r="C15" s="47">
        <f>SUM(C13:C14)</f>
        <v>40.144580211205877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25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.75" x14ac:dyDescent="0.3">
      <c r="A18" s="102" t="s">
        <v>103</v>
      </c>
      <c r="B18" s="102"/>
      <c r="C18" s="102"/>
      <c r="D18" s="102"/>
      <c r="E18" s="102"/>
      <c r="F18" s="2"/>
      <c r="G18" s="2"/>
      <c r="H18" s="2"/>
      <c r="I18" s="2"/>
      <c r="J18" s="2"/>
      <c r="K18" s="2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104</v>
      </c>
      <c r="B20" s="1"/>
      <c r="C20" s="47">
        <f>C8-C15</f>
        <v>4.5287904970218378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25">
      <c r="A21" s="1" t="s">
        <v>105</v>
      </c>
      <c r="B21" s="1"/>
      <c r="C21" s="91">
        <f>(C8-C15)/C15</f>
        <v>0.11281200284559659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E16" sqref="E16"/>
    </sheetView>
  </sheetViews>
  <sheetFormatPr defaultRowHeight="15" x14ac:dyDescent="0.25"/>
  <cols>
    <col min="1" max="1" width="30" customWidth="1"/>
    <col min="2" max="2" width="3.140625" customWidth="1"/>
    <col min="3" max="3" width="12.5703125" bestFit="1" customWidth="1"/>
    <col min="4" max="4" width="3.28515625" customWidth="1"/>
    <col min="5" max="5" width="13.5703125" customWidth="1"/>
    <col min="6" max="6" width="3.42578125" customWidth="1"/>
    <col min="7" max="7" width="12.42578125" customWidth="1"/>
    <col min="8" max="8" width="4.28515625" customWidth="1"/>
    <col min="9" max="9" width="12.7109375" bestFit="1" customWidth="1"/>
  </cols>
  <sheetData>
    <row r="1" spans="1:9" ht="21.75" thickBot="1" x14ac:dyDescent="0.4">
      <c r="A1" s="93" t="str">
        <f>'Income Statement'!A1:D1</f>
        <v>Liberty Utilities (Missouri Water), LLC - Bolivar Water - Year 1</v>
      </c>
      <c r="B1" s="93"/>
      <c r="C1" s="93"/>
      <c r="D1" s="93"/>
      <c r="E1" s="93"/>
      <c r="F1" s="93"/>
      <c r="G1" s="93"/>
      <c r="H1" s="93"/>
      <c r="I1" s="93"/>
    </row>
    <row r="2" spans="1:9" ht="20.25" thickTop="1" thickBot="1" x14ac:dyDescent="0.35">
      <c r="A2" s="94" t="s">
        <v>64</v>
      </c>
      <c r="B2" s="94"/>
      <c r="C2" s="94"/>
      <c r="D2" s="94"/>
      <c r="E2" s="94"/>
      <c r="F2" s="94"/>
      <c r="G2" s="94"/>
      <c r="H2" s="94"/>
      <c r="I2" s="94"/>
    </row>
    <row r="3" spans="1:9" ht="15.75" thickTop="1" x14ac:dyDescent="0.25"/>
    <row r="4" spans="1:9" ht="15.75" x14ac:dyDescent="0.25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Rates'!G53</f>
        <v>1814327.9154400001</v>
      </c>
    </row>
    <row r="5" spans="1:9" ht="15.75" x14ac:dyDescent="0.25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Statement'!D13</f>
        <v>309385.08455999987</v>
      </c>
    </row>
    <row r="6" spans="1:9" ht="15.75" x14ac:dyDescent="0.25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0.17052324550987777</v>
      </c>
    </row>
    <row r="8" spans="1:9" ht="19.5" thickBot="1" x14ac:dyDescent="0.35">
      <c r="A8" s="95" t="s">
        <v>68</v>
      </c>
      <c r="B8" s="95"/>
      <c r="C8" s="95"/>
      <c r="D8" s="95"/>
      <c r="E8" s="95"/>
      <c r="F8" s="95"/>
      <c r="G8" s="95"/>
      <c r="H8" s="95"/>
      <c r="I8" s="95"/>
    </row>
    <row r="9" spans="1:9" ht="15.75" x14ac:dyDescent="0.25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75" x14ac:dyDescent="0.25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75" x14ac:dyDescent="0.25">
      <c r="A11" s="8" t="s">
        <v>22</v>
      </c>
      <c r="B11" s="8"/>
      <c r="C11" s="8" t="s">
        <v>9</v>
      </c>
      <c r="D11" s="8"/>
      <c r="E11" s="8" t="s">
        <v>9</v>
      </c>
      <c r="F11" s="31"/>
      <c r="G11" s="8" t="s">
        <v>52</v>
      </c>
      <c r="H11" s="8"/>
      <c r="I11" s="8" t="s">
        <v>52</v>
      </c>
    </row>
    <row r="12" spans="1:9" x14ac:dyDescent="0.25">
      <c r="A12" s="23" t="str">
        <f>'Revenues - Current Rates'!A9</f>
        <v>Bolivar Residential 1"</v>
      </c>
      <c r="C12" s="23">
        <f>'Revenues - Current Rates'!I9</f>
        <v>18.07</v>
      </c>
      <c r="E12" s="23">
        <f>IF(ISNUMBER(SEARCH("*"&amp;$A$37&amp;"*",A12)), $I$37, "0")+IF(ISNUMBER(SEARCH("*"&amp;$A$36&amp;"*",A12)), $I$36, "0")+IF(ISNUMBER(SEARCH("*"&amp;$A$38&amp;"*",A12)), $I$38, "0")+IF(ISNUMBER(SEARCH("*"&amp;$A$39&amp;"*",A12)), $I$39, "0")+IF(ISNUMBER(SEARCH("*"&amp;$A$40&amp;"*",A12)), $I$40, "0")+IF(ISNUMBER(SEARCH("*"&amp;$A$41&amp;"*",A12)), $I$41, "0")+IF(ISNUMBER(SEARCH("*"&amp;$A$42&amp;"*",A12)), $I$42, "0")+IF(ISNUMBER(SEARCH("*"&amp;$A$43&amp;"*",A12)), $I$43, "0")+IF(ISNUMBER(SEARCH("*"&amp;$A$44&amp;"*",A12)), $I$44, "0")</f>
        <v>26.915432903913675</v>
      </c>
      <c r="G12" s="23">
        <f>'Revenues - Current Rates'!$I$37</f>
        <v>3.72</v>
      </c>
      <c r="I12" s="32">
        <f t="shared" ref="I12:I31" si="0">$E$51</f>
        <v>3.9266879608743133</v>
      </c>
    </row>
    <row r="13" spans="1:9" x14ac:dyDescent="0.25">
      <c r="A13" s="23" t="str">
        <f>'Revenues - Current Rates'!A10</f>
        <v>Bolivar Residential 2"</v>
      </c>
      <c r="C13" s="23">
        <f>'Revenues - Current Rates'!I10</f>
        <v>18.07</v>
      </c>
      <c r="E13" s="23">
        <f>IF(ISNUMBER(SEARCH("*"&amp;$A$37&amp;"*",A13)), $I$37, "0")+IF(ISNUMBER(SEARCH("*"&amp;$A$36&amp;"*",A13)), $I$36, "0")+IF(ISNUMBER(SEARCH("*"&amp;$A$38&amp;"*",A13)), $I$38, "0")+IF(ISNUMBER(SEARCH("*"&amp;$A$39&amp;"*",A13)), $I$39, "0")+IF(ISNUMBER(SEARCH("*"&amp;$A$40&amp;"*",A13)), $I$40, "0")+IF(ISNUMBER(SEARCH("*"&amp;$A$41&amp;"*",A13)), $I$41, "0")+IF(ISNUMBER(SEARCH("*"&amp;$A$42&amp;"*",A13)), $I$42, "0")+IF(ISNUMBER(SEARCH("*"&amp;$A$43&amp;"*",A13)), $I$43, "0")+IF(ISNUMBER(SEARCH("*"&amp;$A$44&amp;"*",A13)), $I$44, "0")</f>
        <v>53.830865807827351</v>
      </c>
      <c r="G13" s="23">
        <f>'Revenues - Current Rates'!$I$37</f>
        <v>3.72</v>
      </c>
      <c r="I13" s="32">
        <f t="shared" si="0"/>
        <v>3.9266879608743133</v>
      </c>
    </row>
    <row r="14" spans="1:9" x14ac:dyDescent="0.25">
      <c r="A14" s="23" t="str">
        <f>'Revenues - Current Rates'!A11</f>
        <v>Bolivar Residential 3"</v>
      </c>
      <c r="C14" s="23">
        <f>'Revenues - Current Rates'!I11</f>
        <v>18.07</v>
      </c>
      <c r="E14" s="23">
        <f>IF(ISNUMBER(SEARCH("*"&amp;$A$37&amp;"*",A14)), $I$37, "0")+IF(ISNUMBER(SEARCH("*"&amp;$A$36&amp;"*",A14)), $I$36, "0")+IF(ISNUMBER(SEARCH("*"&amp;$A$38&amp;"*",A14)), $I$38, "0")+IF(ISNUMBER(SEARCH("*"&amp;$A$39&amp;"*",A14)), $I$39, "0")+IF(ISNUMBER(SEARCH("*"&amp;$A$40&amp;"*",A14)), $I$40, "0")+IF(ISNUMBER(SEARCH("*"&amp;$A$41&amp;"*",A14)), $I$41, "0")+IF(ISNUMBER(SEARCH("*"&amp;$A$42&amp;"*",A14)), $I$42, "0")+IF(ISNUMBER(SEARCH("*"&amp;$A$43&amp;"*",A14)), $I$43, "0")+IF(ISNUMBER(SEARCH("*"&amp;$A$44&amp;"*",A14)), $I$44, "0")</f>
        <v>76.901236868324787</v>
      </c>
      <c r="G14" s="23">
        <f>'Revenues - Current Rates'!$I$37</f>
        <v>3.72</v>
      </c>
      <c r="I14" s="32">
        <f t="shared" si="0"/>
        <v>3.9266879608743133</v>
      </c>
    </row>
    <row r="15" spans="1:9" x14ac:dyDescent="0.25">
      <c r="A15" s="23" t="str">
        <f>'Revenues - Current Rates'!A12</f>
        <v>Bolivar Residential 3/4"</v>
      </c>
      <c r="C15" s="23">
        <f>'Revenues - Current Rates'!I12</f>
        <v>18.07</v>
      </c>
      <c r="E15" s="23">
        <f>IF(ISNUMBER(SEARCH("*"&amp;$A$37&amp;"*",A15)), $I$37, "0")+IF(ISNUMBER(SEARCH("*"&amp;$A$36&amp;"*",A15)), $I$36, "0")+IF(ISNUMBER(SEARCH("*"&amp;$A$38&amp;"*",A15)), $I$38, "0")+IF(ISNUMBER(SEARCH("*"&amp;$A$39&amp;"*",A15)), $I$39, "0")+IF(ISNUMBER(SEARCH("*"&amp;$A$40&amp;"*",A15)), $I$40, "0")+IF(ISNUMBER(SEARCH("*"&amp;$A$41&amp;"*",A15)), $I$41, "0")+IF(ISNUMBER(SEARCH("*"&amp;$A$42&amp;"*",A15)), $I$42, "0")+IF(ISNUMBER(SEARCH("*"&amp;$A$43&amp;"*",A15)), $I$43, "0")+IF(ISNUMBER(SEARCH("*"&amp;$A$44&amp;"*",A15)), $I$44, "0")</f>
        <v>15.380247373664957</v>
      </c>
      <c r="G15" s="23">
        <f>'Revenues - Current Rates'!$I$37</f>
        <v>3.72</v>
      </c>
      <c r="I15" s="32">
        <f t="shared" si="0"/>
        <v>3.9266879608743133</v>
      </c>
    </row>
    <row r="16" spans="1:9" x14ac:dyDescent="0.25">
      <c r="A16" s="23" t="str">
        <f>'Revenues - Current Rates'!A13</f>
        <v>Bolivar Residential 5/8"</v>
      </c>
      <c r="C16" s="23">
        <f>'Revenues - Current Rates'!I13</f>
        <v>18.07</v>
      </c>
      <c r="E16" s="23">
        <f>IF(ISNUMBER(SEARCH("*"&amp;$A$37&amp;"*",A16)), $I$37, "0")+IF(ISNUMBER(SEARCH("*"&amp;$A$36&amp;"*",A16)), $I$36, "0")+IF(ISNUMBER(SEARCH("*"&amp;$A$38&amp;"*",A16)), $I$38, "0")+IF(ISNUMBER(SEARCH("*"&amp;$A$39&amp;"*",A16)), $I$39, "0")+IF(ISNUMBER(SEARCH("*"&amp;$A$40&amp;"*",A16)), $I$40, "0")+IF(ISNUMBER(SEARCH("*"&amp;$A$41&amp;"*",A16)), $I$41, "0")+IF(ISNUMBER(SEARCH("*"&amp;$A$42&amp;"*",A16)), $I$42, "0")+IF(ISNUMBER(SEARCH("*"&amp;$A$43&amp;"*",A16)), $I$43, "0")+IF(ISNUMBER(SEARCH("*"&amp;$A$44&amp;"*",A16)), $I$44, "0")</f>
        <v>15.380247373664957</v>
      </c>
      <c r="G16" s="23">
        <f>'Revenues - Current Rates'!$I$37</f>
        <v>3.72</v>
      </c>
      <c r="I16" s="32">
        <f t="shared" si="0"/>
        <v>3.9266879608743133</v>
      </c>
    </row>
    <row r="17" spans="1:9" x14ac:dyDescent="0.25">
      <c r="A17" s="23" t="str">
        <f>'Revenues - Current Rates'!A14</f>
        <v>Bolivar Residential 1.5"</v>
      </c>
      <c r="C17" s="23">
        <f>'Revenues - Current Rates'!I14</f>
        <v>18.07</v>
      </c>
      <c r="E17" s="23">
        <f>$I$40</f>
        <v>46.140742120994872</v>
      </c>
      <c r="G17" s="23">
        <f>'Revenues - Current Rates'!$I$37</f>
        <v>3.72</v>
      </c>
      <c r="I17" s="32">
        <f t="shared" si="0"/>
        <v>3.9266879608743133</v>
      </c>
    </row>
    <row r="18" spans="1:9" x14ac:dyDescent="0.25">
      <c r="A18" s="23" t="str">
        <f>'Revenues - Current Rates'!A15</f>
        <v>Bolivar Residential 1/2"</v>
      </c>
      <c r="C18" s="23">
        <f>'Revenues - Current Rates'!I15</f>
        <v>18.07</v>
      </c>
      <c r="E18" s="23">
        <f t="shared" ref="E18:E24" si="1">IF(ISNUMBER(SEARCH("*"&amp;$A$37&amp;"*",A18)), $I$37, "0")+IF(ISNUMBER(SEARCH("*"&amp;$A$36&amp;"*",A18)), $I$36, "0")+IF(ISNUMBER(SEARCH("*"&amp;$A$38&amp;"*",A18)), $I$38, "0")+IF(ISNUMBER(SEARCH("*"&amp;$A$39&amp;"*",A18)), $I$39, "0")+IF(ISNUMBER(SEARCH("*"&amp;$A$40&amp;"*",A18)), $I$40, "0")+IF(ISNUMBER(SEARCH("*"&amp;$A$41&amp;"*",A18)), $I$41, "0")+IF(ISNUMBER(SEARCH("*"&amp;$A$42&amp;"*",A18)), $I$42, "0")+IF(ISNUMBER(SEARCH("*"&amp;$A$43&amp;"*",A18)), $I$43, "0")+IF(ISNUMBER(SEARCH("*"&amp;$A$44&amp;"*",A18)), $I$44, "0")</f>
        <v>15.380247373664957</v>
      </c>
      <c r="G18" s="23">
        <f>'Revenues - Current Rates'!$I$37</f>
        <v>3.72</v>
      </c>
      <c r="I18" s="32">
        <f t="shared" si="0"/>
        <v>3.9266879608743133</v>
      </c>
    </row>
    <row r="19" spans="1:9" x14ac:dyDescent="0.25">
      <c r="A19" s="23" t="str">
        <f>'Revenues - Current Rates'!A16</f>
        <v>Bolivar Residential 4"</v>
      </c>
      <c r="C19" s="23">
        <f>'Revenues - Current Rates'!I16</f>
        <v>18.07</v>
      </c>
      <c r="E19" s="23">
        <f t="shared" si="1"/>
        <v>153.80247373664957</v>
      </c>
      <c r="G19" s="23">
        <f>'Revenues - Current Rates'!$I$37</f>
        <v>3.72</v>
      </c>
      <c r="I19" s="32">
        <f t="shared" si="0"/>
        <v>3.9266879608743133</v>
      </c>
    </row>
    <row r="20" spans="1:9" x14ac:dyDescent="0.25">
      <c r="A20" s="23" t="str">
        <f>'Revenues - Current Rates'!A17</f>
        <v>Bolivar Commercial 1"</v>
      </c>
      <c r="C20" s="23">
        <f>'Revenues - Current Rates'!I17</f>
        <v>21.26</v>
      </c>
      <c r="E20" s="23">
        <f t="shared" si="1"/>
        <v>26.915432903913675</v>
      </c>
      <c r="G20" s="23">
        <f>'Revenues - Current Rates'!$I$38</f>
        <v>3.72</v>
      </c>
      <c r="I20" s="32">
        <f t="shared" si="0"/>
        <v>3.9266879608743133</v>
      </c>
    </row>
    <row r="21" spans="1:9" x14ac:dyDescent="0.25">
      <c r="A21" s="23" t="str">
        <f>'Revenues - Current Rates'!A18</f>
        <v>Bolivar Commercial 2"</v>
      </c>
      <c r="C21" s="23">
        <f>'Revenues - Current Rates'!I18</f>
        <v>21.26</v>
      </c>
      <c r="E21" s="23">
        <f t="shared" si="1"/>
        <v>53.830865807827351</v>
      </c>
      <c r="G21" s="23">
        <f>'Revenues - Current Rates'!$I$38</f>
        <v>3.72</v>
      </c>
      <c r="I21" s="32">
        <f t="shared" si="0"/>
        <v>3.9266879608743133</v>
      </c>
    </row>
    <row r="22" spans="1:9" x14ac:dyDescent="0.25">
      <c r="A22" s="23" t="str">
        <f>'Revenues - Current Rates'!A19</f>
        <v>Bolivar Commercial 3"</v>
      </c>
      <c r="C22" s="23">
        <f>'Revenues - Current Rates'!I19</f>
        <v>21.26</v>
      </c>
      <c r="E22" s="23">
        <f t="shared" si="1"/>
        <v>76.901236868324787</v>
      </c>
      <c r="G22" s="23">
        <f>'Revenues - Current Rates'!$I$38</f>
        <v>3.72</v>
      </c>
      <c r="I22" s="32">
        <f t="shared" si="0"/>
        <v>3.9266879608743133</v>
      </c>
    </row>
    <row r="23" spans="1:9" x14ac:dyDescent="0.25">
      <c r="A23" s="23" t="str">
        <f>'Revenues - Current Rates'!A20</f>
        <v>Bolivar Commercial 3/4"</v>
      </c>
      <c r="C23" s="23">
        <f>'Revenues - Current Rates'!I20</f>
        <v>21.26</v>
      </c>
      <c r="E23" s="23">
        <f t="shared" si="1"/>
        <v>15.380247373664957</v>
      </c>
      <c r="G23" s="23">
        <f>'Revenues - Current Rates'!$I$38</f>
        <v>3.72</v>
      </c>
      <c r="I23" s="32">
        <f t="shared" si="0"/>
        <v>3.9266879608743133</v>
      </c>
    </row>
    <row r="24" spans="1:9" x14ac:dyDescent="0.25">
      <c r="A24" s="23" t="str">
        <f>'Revenues - Current Rates'!A21</f>
        <v>Bolivar Commercial 5/8"</v>
      </c>
      <c r="C24" s="23">
        <f>'Revenues - Current Rates'!I21</f>
        <v>21.26</v>
      </c>
      <c r="E24" s="23">
        <f t="shared" si="1"/>
        <v>15.380247373664957</v>
      </c>
      <c r="G24" s="23">
        <f>'Revenues - Current Rates'!$I$38</f>
        <v>3.72</v>
      </c>
      <c r="I24" s="32">
        <f t="shared" si="0"/>
        <v>3.9266879608743133</v>
      </c>
    </row>
    <row r="25" spans="1:9" x14ac:dyDescent="0.25">
      <c r="A25" s="23" t="str">
        <f>'Revenues - Current Rates'!A22</f>
        <v>Bolivar Commercial 1.5"</v>
      </c>
      <c r="C25" s="23">
        <f>'Revenues - Current Rates'!I22</f>
        <v>21.26</v>
      </c>
      <c r="E25" s="23">
        <f>$I$40</f>
        <v>46.140742120994872</v>
      </c>
      <c r="G25" s="23">
        <f>'Revenues - Current Rates'!$I$38</f>
        <v>3.72</v>
      </c>
      <c r="I25" s="32">
        <f t="shared" si="0"/>
        <v>3.9266879608743133</v>
      </c>
    </row>
    <row r="26" spans="1:9" x14ac:dyDescent="0.25">
      <c r="A26" s="23" t="str">
        <f>'Revenues - Current Rates'!A23</f>
        <v>Bolivar Commercial 1/2"</v>
      </c>
      <c r="C26" s="23">
        <f>'Revenues - Current Rates'!I23</f>
        <v>21.26</v>
      </c>
      <c r="E26" s="23">
        <f t="shared" ref="E26:E31" si="2">IF(ISNUMBER(SEARCH("*"&amp;$A$37&amp;"*",A26)), $I$37, "0")+IF(ISNUMBER(SEARCH("*"&amp;$A$36&amp;"*",A26)), $I$36, "0")+IF(ISNUMBER(SEARCH("*"&amp;$A$38&amp;"*",A26)), $I$38, "0")+IF(ISNUMBER(SEARCH("*"&amp;$A$39&amp;"*",A26)), $I$39, "0")+IF(ISNUMBER(SEARCH("*"&amp;$A$40&amp;"*",A26)), $I$40, "0")+IF(ISNUMBER(SEARCH("*"&amp;$A$41&amp;"*",A26)), $I$41, "0")+IF(ISNUMBER(SEARCH("*"&amp;$A$42&amp;"*",A26)), $I$42, "0")+IF(ISNUMBER(SEARCH("*"&amp;$A$43&amp;"*",A26)), $I$43, "0")+IF(ISNUMBER(SEARCH("*"&amp;$A$44&amp;"*",A26)), $I$44, "0")</f>
        <v>15.380247373664957</v>
      </c>
      <c r="G26" s="23">
        <f>'Revenues - Current Rates'!$I$38</f>
        <v>3.72</v>
      </c>
      <c r="I26" s="32">
        <f t="shared" si="0"/>
        <v>3.9266879608743133</v>
      </c>
    </row>
    <row r="27" spans="1:9" x14ac:dyDescent="0.25">
      <c r="A27" s="23" t="str">
        <f>'Revenues - Current Rates'!A24</f>
        <v>Bolivar Commercial 4"</v>
      </c>
      <c r="C27" s="23">
        <f>'Revenues - Current Rates'!I24</f>
        <v>21.26</v>
      </c>
      <c r="E27" s="23">
        <f t="shared" si="2"/>
        <v>153.80247373664957</v>
      </c>
      <c r="G27" s="23">
        <f>'Revenues - Current Rates'!$I$38</f>
        <v>3.72</v>
      </c>
      <c r="I27" s="32">
        <f t="shared" si="0"/>
        <v>3.9266879608743133</v>
      </c>
    </row>
    <row r="28" spans="1:9" x14ac:dyDescent="0.25">
      <c r="A28" s="23" t="str">
        <f>'Revenues - Current Rates'!A25</f>
        <v>Bolivar Interdepartmental 1"</v>
      </c>
      <c r="C28" s="23">
        <f>'Revenues - Current Rates'!I25</f>
        <v>21.26</v>
      </c>
      <c r="E28" s="23">
        <f t="shared" si="2"/>
        <v>26.915432903913675</v>
      </c>
      <c r="G28" s="23">
        <f>'Revenues - Current Rates'!$I$39</f>
        <v>3.72</v>
      </c>
      <c r="I28" s="32">
        <f t="shared" si="0"/>
        <v>3.9266879608743133</v>
      </c>
    </row>
    <row r="29" spans="1:9" x14ac:dyDescent="0.25">
      <c r="A29" s="23" t="str">
        <f>'Revenues - Current Rates'!A26</f>
        <v>Bolivar Interdepartmental 2"</v>
      </c>
      <c r="C29" s="23">
        <f>'Revenues - Current Rates'!I26</f>
        <v>21.26</v>
      </c>
      <c r="E29" s="23">
        <f t="shared" si="2"/>
        <v>53.830865807827351</v>
      </c>
      <c r="G29" s="23">
        <f>'Revenues - Current Rates'!$I$39</f>
        <v>3.72</v>
      </c>
      <c r="I29" s="32">
        <f t="shared" si="0"/>
        <v>3.9266879608743133</v>
      </c>
    </row>
    <row r="30" spans="1:9" x14ac:dyDescent="0.25">
      <c r="A30" s="23" t="str">
        <f>'Revenues - Current Rates'!A27</f>
        <v>Bolivar Interdepartmental 3"</v>
      </c>
      <c r="C30" s="23">
        <f>'Revenues - Current Rates'!I27</f>
        <v>21.26</v>
      </c>
      <c r="E30" s="23">
        <f t="shared" si="2"/>
        <v>76.901236868324787</v>
      </c>
      <c r="G30" s="23">
        <f>'Revenues - Current Rates'!$I$39</f>
        <v>3.72</v>
      </c>
      <c r="I30" s="32">
        <f t="shared" si="0"/>
        <v>3.9266879608743133</v>
      </c>
    </row>
    <row r="31" spans="1:9" x14ac:dyDescent="0.25">
      <c r="A31" s="23" t="str">
        <f>'Revenues - Current Rates'!A28</f>
        <v>Bolivar Interdepartmental 3/4"</v>
      </c>
      <c r="C31" s="23">
        <f>'Revenues - Current Rates'!I28</f>
        <v>21.26</v>
      </c>
      <c r="E31" s="23">
        <f t="shared" si="2"/>
        <v>15.380247373664957</v>
      </c>
      <c r="G31" s="23">
        <f>'Revenues - Current Rates'!$I$39</f>
        <v>3.72</v>
      </c>
      <c r="I31" s="32">
        <f t="shared" si="0"/>
        <v>3.9266879608743133</v>
      </c>
    </row>
    <row r="32" spans="1:9" x14ac:dyDescent="0.25">
      <c r="A32" s="23"/>
      <c r="C32" s="23"/>
      <c r="E32" s="23"/>
      <c r="G32" s="32"/>
    </row>
    <row r="33" spans="1:14" ht="15.75" x14ac:dyDescent="0.25">
      <c r="C33" s="7"/>
      <c r="D33" s="7"/>
      <c r="E33" s="7"/>
      <c r="G33" s="7"/>
      <c r="H33" s="7"/>
      <c r="I33" s="7" t="s">
        <v>70</v>
      </c>
    </row>
    <row r="34" spans="1:14" ht="15.75" x14ac:dyDescent="0.25">
      <c r="A34" s="7" t="s">
        <v>7</v>
      </c>
      <c r="C34" s="7" t="s">
        <v>72</v>
      </c>
      <c r="D34" s="7"/>
      <c r="E34" s="7"/>
      <c r="G34" s="7" t="s">
        <v>7</v>
      </c>
      <c r="H34" s="7"/>
      <c r="I34" s="7" t="s">
        <v>7</v>
      </c>
    </row>
    <row r="35" spans="1:14" ht="15.75" x14ac:dyDescent="0.25">
      <c r="A35" s="8" t="s">
        <v>9</v>
      </c>
      <c r="B35" s="8"/>
      <c r="C35" s="8" t="s">
        <v>23</v>
      </c>
      <c r="D35" s="8"/>
      <c r="E35" s="8" t="s">
        <v>109</v>
      </c>
      <c r="F35" s="31"/>
      <c r="G35" s="8" t="s">
        <v>73</v>
      </c>
      <c r="H35" s="8"/>
      <c r="I35" s="8" t="s">
        <v>9</v>
      </c>
    </row>
    <row r="36" spans="1:14" x14ac:dyDescent="0.25">
      <c r="A36" s="22" t="s">
        <v>74</v>
      </c>
      <c r="C36" s="22">
        <f>SUMIF('Revenues - Current Rates'!$A$9:$A$28,"*"&amp;A36&amp;"*",'Revenues - Current Rates'!$C$9:$C$28)</f>
        <v>1</v>
      </c>
      <c r="E36" s="22">
        <v>1</v>
      </c>
      <c r="G36" s="21">
        <f>C36*E36</f>
        <v>1</v>
      </c>
      <c r="I36" s="32">
        <f>E36*$G$48</f>
        <v>15.380247373664957</v>
      </c>
    </row>
    <row r="37" spans="1:14" x14ac:dyDescent="0.25">
      <c r="A37" s="22" t="s">
        <v>75</v>
      </c>
      <c r="C37" s="22">
        <f>SUMIF('Revenues - Current Rates'!$A$9:$A$28,"*"&amp;A37&amp;"*",'Revenues - Current Rates'!$C$9:$C$28)</f>
        <v>459</v>
      </c>
      <c r="E37" s="22">
        <v>1</v>
      </c>
      <c r="G37" s="21">
        <f>C37*E37</f>
        <v>459</v>
      </c>
      <c r="I37" s="32">
        <f>E37*$G$48</f>
        <v>15.380247373664957</v>
      </c>
    </row>
    <row r="38" spans="1:14" x14ac:dyDescent="0.25">
      <c r="A38" s="22" t="s">
        <v>76</v>
      </c>
      <c r="C38" s="22">
        <f>SUMIF('Revenues - Current Rates'!$A$9:$A$28,"*"&amp;A38&amp;"*",'Revenues - Current Rates'!$C$9:$C$28)</f>
        <v>4044</v>
      </c>
      <c r="E38" s="22">
        <v>1</v>
      </c>
      <c r="G38" s="21">
        <f>C38*E38</f>
        <v>4044</v>
      </c>
      <c r="I38" s="32">
        <f t="shared" ref="I38:I45" si="3">E38*$G$48</f>
        <v>15.380247373664957</v>
      </c>
    </row>
    <row r="39" spans="1:14" x14ac:dyDescent="0.25">
      <c r="A39" s="22" t="s">
        <v>77</v>
      </c>
      <c r="C39" s="22">
        <f>SUMIF('Revenues - Current Rates'!$A$9:$A$28,"*"&amp;A39&amp;"*",'Revenues - Current Rates'!$C$9:$C$28)</f>
        <v>218</v>
      </c>
      <c r="E39" s="22">
        <v>1.75</v>
      </c>
      <c r="G39" s="21">
        <f>C39*E39</f>
        <v>381.5</v>
      </c>
      <c r="I39" s="32">
        <f t="shared" si="3"/>
        <v>26.915432903913675</v>
      </c>
    </row>
    <row r="40" spans="1:14" x14ac:dyDescent="0.25">
      <c r="A40" s="22" t="s">
        <v>78</v>
      </c>
      <c r="C40" s="22">
        <f>SUMIF('Revenues - Current Rates'!$A$9:$A$28,"*1.5*",'Revenues - Current Rates'!$C$9:$C$28)</f>
        <v>10</v>
      </c>
      <c r="E40" s="22">
        <v>3</v>
      </c>
      <c r="G40" s="21">
        <f t="shared" ref="G40:G44" si="4">C40*E40</f>
        <v>30</v>
      </c>
      <c r="I40" s="32">
        <f t="shared" si="3"/>
        <v>46.140742120994872</v>
      </c>
    </row>
    <row r="41" spans="1:14" x14ac:dyDescent="0.25">
      <c r="A41" s="22" t="s">
        <v>79</v>
      </c>
      <c r="C41" s="22">
        <f>SUMIF('Revenues - Current Rates'!$A$9:$A$28,"*"&amp;A41&amp;"*",'Revenues - Current Rates'!$C$9:$C$28)</f>
        <v>72</v>
      </c>
      <c r="E41" s="22">
        <v>3.5</v>
      </c>
      <c r="G41" s="21">
        <f>C41*E41</f>
        <v>252</v>
      </c>
      <c r="I41" s="32">
        <f t="shared" si="3"/>
        <v>53.830865807827351</v>
      </c>
    </row>
    <row r="42" spans="1:14" x14ac:dyDescent="0.25">
      <c r="A42" s="22" t="s">
        <v>80</v>
      </c>
      <c r="C42" s="22">
        <f>SUMIF('Revenues - Current Rates'!$A$9:$A$28,"*"&amp;A42&amp;"*",'Revenues - Current Rates'!$C$9:$C$28)</f>
        <v>19</v>
      </c>
      <c r="E42" s="22">
        <v>5</v>
      </c>
      <c r="G42" s="21">
        <f>C42*E42</f>
        <v>95</v>
      </c>
      <c r="I42" s="32">
        <f t="shared" si="3"/>
        <v>76.901236868324787</v>
      </c>
    </row>
    <row r="43" spans="1:14" x14ac:dyDescent="0.25">
      <c r="A43" s="22" t="s">
        <v>81</v>
      </c>
      <c r="C43" s="22">
        <f>SUMIF('Revenues - Current Rates'!$A$9:$A$28,"*"&amp;A43&amp;"*",'Revenues - Current Rates'!$C$9:$C$28)</f>
        <v>7</v>
      </c>
      <c r="E43" s="22">
        <v>10</v>
      </c>
      <c r="G43" s="41">
        <f>C43*E43</f>
        <v>70</v>
      </c>
      <c r="I43" s="32">
        <f t="shared" si="3"/>
        <v>153.80247373664957</v>
      </c>
    </row>
    <row r="44" spans="1:14" x14ac:dyDescent="0.25">
      <c r="A44" s="22" t="s">
        <v>82</v>
      </c>
      <c r="C44" s="22">
        <f>SUMIF('Revenues - Current Rates'!$A$9:$A$28,"*"&amp;A44&amp;"*",'Revenues - Current Rates'!$C$9:$C$28)</f>
        <v>0</v>
      </c>
      <c r="E44" s="22">
        <v>20</v>
      </c>
      <c r="G44" s="41">
        <f t="shared" si="4"/>
        <v>0</v>
      </c>
      <c r="I44" s="32">
        <f t="shared" si="3"/>
        <v>307.60494747329915</v>
      </c>
    </row>
    <row r="45" spans="1:14" x14ac:dyDescent="0.25">
      <c r="A45" s="42" t="s">
        <v>83</v>
      </c>
      <c r="B45" s="31"/>
      <c r="C45" s="42">
        <v>6</v>
      </c>
      <c r="D45" s="31"/>
      <c r="E45" s="22">
        <v>2.4</v>
      </c>
      <c r="F45" s="31"/>
      <c r="G45" s="43">
        <f>C45*E45</f>
        <v>14.399999999999999</v>
      </c>
      <c r="H45" s="31"/>
      <c r="I45" s="32">
        <f t="shared" si="3"/>
        <v>36.912593696795895</v>
      </c>
    </row>
    <row r="46" spans="1:14" x14ac:dyDescent="0.25">
      <c r="C46" s="44">
        <f>SUM(C36:C45)</f>
        <v>4836</v>
      </c>
      <c r="E46" s="25"/>
      <c r="G46" s="44">
        <f>SUM(G36:G45)</f>
        <v>5346.9</v>
      </c>
      <c r="I46" s="25"/>
    </row>
    <row r="48" spans="1:14" x14ac:dyDescent="0.25">
      <c r="A48" s="45" t="s">
        <v>84</v>
      </c>
      <c r="B48" s="1"/>
      <c r="C48" s="1"/>
      <c r="D48" s="1"/>
      <c r="E48" s="46">
        <f>'Income Statement'!F12</f>
        <v>986839.73618698982</v>
      </c>
      <c r="F48" s="1"/>
      <c r="G48" s="47">
        <f>E48/12/G46</f>
        <v>15.380247373664957</v>
      </c>
      <c r="H48" s="1"/>
      <c r="I48" s="1"/>
      <c r="J48" s="48"/>
      <c r="K48" s="48"/>
      <c r="L48" s="48"/>
      <c r="M48" s="48"/>
      <c r="N48" s="48"/>
    </row>
    <row r="49" spans="1:14" x14ac:dyDescent="0.25">
      <c r="A49" s="1"/>
      <c r="B49" s="1"/>
      <c r="C49" s="1"/>
      <c r="D49" s="1"/>
      <c r="E49" s="1"/>
      <c r="F49" s="1"/>
      <c r="G49" s="1"/>
      <c r="H49" s="1"/>
      <c r="I49" s="1"/>
      <c r="J49" s="48"/>
      <c r="K49" s="48"/>
      <c r="L49" s="48"/>
      <c r="M49" s="48"/>
      <c r="N49" s="48"/>
    </row>
    <row r="50" spans="1:14" ht="15.75" x14ac:dyDescent="0.25">
      <c r="A50" s="49" t="s">
        <v>8</v>
      </c>
      <c r="B50" s="49"/>
      <c r="C50" s="49" t="s">
        <v>108</v>
      </c>
      <c r="D50" s="49"/>
      <c r="E50" s="49" t="s">
        <v>70</v>
      </c>
      <c r="F50" s="1"/>
      <c r="G50" s="1"/>
      <c r="H50" s="1"/>
      <c r="I50" s="1"/>
      <c r="J50" s="48"/>
      <c r="K50" s="48"/>
      <c r="L50" s="48"/>
      <c r="M50" s="48"/>
      <c r="N50" s="48"/>
    </row>
    <row r="51" spans="1:14" x14ac:dyDescent="0.25">
      <c r="A51" s="46">
        <f>'Income Statement'!G12</f>
        <v>1136873.2638130102</v>
      </c>
      <c r="B51" s="1"/>
      <c r="C51" s="50">
        <v>289524728</v>
      </c>
      <c r="D51" s="1"/>
      <c r="E51" s="51">
        <f>(A51/C51)*1000</f>
        <v>3.9266879608743133</v>
      </c>
      <c r="F51" s="1"/>
      <c r="G51" s="1"/>
      <c r="H51" s="1"/>
      <c r="I51" s="1"/>
      <c r="J51" s="48"/>
      <c r="K51" s="48"/>
      <c r="L51" s="48"/>
      <c r="M51" s="48"/>
      <c r="N51" s="48"/>
    </row>
    <row r="53" spans="1:14" ht="15" customHeight="1" x14ac:dyDescent="0.25">
      <c r="A53" s="99" t="s">
        <v>85</v>
      </c>
      <c r="B53" s="99"/>
      <c r="C53" s="99"/>
      <c r="D53" s="99"/>
      <c r="E53" s="99"/>
      <c r="F53" s="99"/>
      <c r="G53" s="99"/>
      <c r="H53" s="99"/>
      <c r="I53" s="99"/>
      <c r="J53" s="99"/>
    </row>
    <row r="54" spans="1:14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</row>
    <row r="55" spans="1:14" x14ac:dyDescent="0.25">
      <c r="A55" s="98" t="s">
        <v>110</v>
      </c>
      <c r="B55" s="98"/>
      <c r="C55" s="98"/>
      <c r="D55" s="98"/>
      <c r="E55" s="98"/>
      <c r="F55" s="98"/>
      <c r="G55" s="98"/>
      <c r="H55" s="98"/>
      <c r="I55" s="98"/>
      <c r="J55" s="98"/>
    </row>
  </sheetData>
  <mergeCells count="5">
    <mergeCell ref="A55:J55"/>
    <mergeCell ref="A53:J54"/>
    <mergeCell ref="A1:I1"/>
    <mergeCell ref="A2:I2"/>
    <mergeCell ref="A8:I8"/>
  </mergeCells>
  <pageMargins left="0.7" right="0.7" top="0.75" bottom="0.75" header="0.3" footer="0.3"/>
  <pageSetup scale="82" orientation="portrait" r:id="rId1"/>
  <headerFooter>
    <oddFooter>&amp;RCase No. WR-2024-0104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2"/>
  <sheetViews>
    <sheetView view="pageLayout" zoomScaleNormal="100" workbookViewId="0">
      <selection activeCell="I39" sqref="I39"/>
    </sheetView>
  </sheetViews>
  <sheetFormatPr defaultRowHeight="15" x14ac:dyDescent="0.25"/>
  <cols>
    <col min="1" max="1" width="20.42578125" customWidth="1"/>
    <col min="2" max="2" width="2.42578125" customWidth="1"/>
    <col min="3" max="3" width="11.42578125" customWidth="1"/>
    <col min="4" max="4" width="2.28515625" customWidth="1"/>
    <col min="6" max="6" width="2.42578125" customWidth="1"/>
    <col min="7" max="7" width="12.5703125" bestFit="1" customWidth="1"/>
    <col min="8" max="8" width="2.42578125" customWidth="1"/>
    <col min="9" max="9" width="14" bestFit="1" customWidth="1"/>
    <col min="10" max="10" width="2.42578125" customWidth="1"/>
    <col min="11" max="11" width="12.5703125" bestFit="1" customWidth="1"/>
  </cols>
  <sheetData>
    <row r="1" spans="1:11" ht="21.75" thickBot="1" x14ac:dyDescent="0.4">
      <c r="A1" s="93" t="str">
        <f>'Income Statement'!A1:D1</f>
        <v>Liberty Utilities (Missouri Water), LLC - Bolivar Water - Year 1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0.25" thickTop="1" thickBot="1" x14ac:dyDescent="0.35">
      <c r="A2" s="94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.75" thickTop="1" x14ac:dyDescent="0.25"/>
    <row r="4" spans="1:11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6" spans="1:11" ht="15.75" x14ac:dyDescent="0.25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75" x14ac:dyDescent="0.25">
      <c r="A7" s="8" t="s">
        <v>89</v>
      </c>
      <c r="B7" s="31"/>
      <c r="C7" s="8" t="s">
        <v>23</v>
      </c>
      <c r="D7" s="8"/>
      <c r="E7" s="8" t="s">
        <v>24</v>
      </c>
      <c r="F7" s="8"/>
      <c r="G7" s="8" t="s">
        <v>25</v>
      </c>
      <c r="H7" s="31"/>
      <c r="I7" s="8" t="s">
        <v>26</v>
      </c>
      <c r="J7" s="8"/>
      <c r="K7" s="8" t="s">
        <v>27</v>
      </c>
    </row>
    <row r="8" spans="1:11" x14ac:dyDescent="0.25">
      <c r="A8" s="22" t="str">
        <f>'Rate Design'!A36</f>
        <v>1/2"</v>
      </c>
      <c r="C8" s="22">
        <f>'Rate Design'!C36</f>
        <v>1</v>
      </c>
      <c r="E8" s="52">
        <v>12</v>
      </c>
      <c r="G8" s="21">
        <f>C8*E8</f>
        <v>12</v>
      </c>
      <c r="I8" s="32">
        <f>'Rate Design'!I36</f>
        <v>15.380247373664957</v>
      </c>
      <c r="K8" s="3">
        <f>G8*I8</f>
        <v>184.56296848397949</v>
      </c>
    </row>
    <row r="9" spans="1:11" x14ac:dyDescent="0.25">
      <c r="A9" s="22" t="str">
        <f>'Rate Design'!A37</f>
        <v>5/8"</v>
      </c>
      <c r="C9" s="22">
        <f>'Rate Design'!C37</f>
        <v>459</v>
      </c>
      <c r="E9" s="52">
        <v>12</v>
      </c>
      <c r="G9" s="21">
        <f>C9*E9</f>
        <v>5508</v>
      </c>
      <c r="I9" s="32">
        <f>'Rate Design'!I37</f>
        <v>15.380247373664957</v>
      </c>
      <c r="K9" s="3">
        <f t="shared" ref="K9:K17" si="0">G9*I9</f>
        <v>84714.402534146589</v>
      </c>
    </row>
    <row r="10" spans="1:11" x14ac:dyDescent="0.25">
      <c r="A10" s="22" t="str">
        <f>'Rate Design'!A38</f>
        <v>3/4"</v>
      </c>
      <c r="C10" s="22">
        <f>'Rate Design'!C38</f>
        <v>4044</v>
      </c>
      <c r="E10" s="52">
        <v>12</v>
      </c>
      <c r="G10" s="21">
        <f t="shared" ref="G10:G17" si="1">C10*E10</f>
        <v>48528</v>
      </c>
      <c r="I10" s="32">
        <f>'Rate Design'!I38</f>
        <v>15.380247373664957</v>
      </c>
      <c r="K10" s="3">
        <f t="shared" si="0"/>
        <v>746372.644549213</v>
      </c>
    </row>
    <row r="11" spans="1:11" x14ac:dyDescent="0.25">
      <c r="A11" s="22" t="str">
        <f>'Rate Design'!A39</f>
        <v>1"</v>
      </c>
      <c r="C11" s="22">
        <f>'Rate Design'!C39</f>
        <v>218</v>
      </c>
      <c r="E11" s="52">
        <v>12</v>
      </c>
      <c r="G11" s="21">
        <f t="shared" si="1"/>
        <v>2616</v>
      </c>
      <c r="I11" s="32">
        <f>'Rate Design'!I39</f>
        <v>26.915432903913675</v>
      </c>
      <c r="K11" s="3">
        <f t="shared" si="0"/>
        <v>70410.772476638173</v>
      </c>
    </row>
    <row r="12" spans="1:11" x14ac:dyDescent="0.25">
      <c r="A12" s="22" t="str">
        <f>'Rate Design'!A40</f>
        <v>1  1/2"</v>
      </c>
      <c r="C12" s="22">
        <f>'Rate Design'!C40</f>
        <v>10</v>
      </c>
      <c r="E12" s="52">
        <v>12</v>
      </c>
      <c r="G12" s="21">
        <f t="shared" si="1"/>
        <v>120</v>
      </c>
      <c r="I12" s="32">
        <f>'Rate Design'!I40</f>
        <v>46.140742120994872</v>
      </c>
      <c r="K12" s="3">
        <f t="shared" si="0"/>
        <v>5536.8890545193844</v>
      </c>
    </row>
    <row r="13" spans="1:11" x14ac:dyDescent="0.25">
      <c r="A13" s="22" t="str">
        <f>'Rate Design'!A41</f>
        <v xml:space="preserve"> 2"</v>
      </c>
      <c r="B13" s="53"/>
      <c r="C13" s="22">
        <f>'Rate Design'!C41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Design'!I41</f>
        <v>53.830865807827351</v>
      </c>
      <c r="J13" s="53"/>
      <c r="K13" s="3">
        <f t="shared" si="0"/>
        <v>46509.868057962834</v>
      </c>
    </row>
    <row r="14" spans="1:11" x14ac:dyDescent="0.25">
      <c r="A14" s="22" t="str">
        <f>'Rate Design'!A42</f>
        <v>3"</v>
      </c>
      <c r="B14" s="53"/>
      <c r="C14" s="22">
        <f>'Rate Design'!C42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Design'!I42</f>
        <v>76.901236868324787</v>
      </c>
      <c r="J14" s="53"/>
      <c r="K14" s="3">
        <f t="shared" si="0"/>
        <v>17533.48200597805</v>
      </c>
    </row>
    <row r="15" spans="1:11" x14ac:dyDescent="0.25">
      <c r="A15" s="22" t="str">
        <f>'Rate Design'!A43</f>
        <v xml:space="preserve"> 4"</v>
      </c>
      <c r="B15" s="53"/>
      <c r="C15" s="22">
        <f>'Rate Design'!C43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Design'!I43</f>
        <v>153.80247373664957</v>
      </c>
      <c r="J15" s="53"/>
      <c r="K15" s="56">
        <f t="shared" si="0"/>
        <v>12919.407793878565</v>
      </c>
    </row>
    <row r="16" spans="1:11" x14ac:dyDescent="0.25">
      <c r="A16" s="22" t="str">
        <f>'Rate Design'!A44</f>
        <v xml:space="preserve"> 6"</v>
      </c>
      <c r="B16" s="53"/>
      <c r="C16" s="22">
        <f>'Rate Design'!C44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Design'!I44</f>
        <v>307.60494747329915</v>
      </c>
      <c r="J16" s="53"/>
      <c r="K16" s="56">
        <f t="shared" si="0"/>
        <v>0</v>
      </c>
    </row>
    <row r="17" spans="1:11" x14ac:dyDescent="0.25">
      <c r="A17" s="22" t="str">
        <f>'Rate Design'!A45</f>
        <v>Flat Rate - Unmetered</v>
      </c>
      <c r="B17" s="31"/>
      <c r="C17" s="22">
        <f>'Rate Design'!C45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Design'!I45</f>
        <v>36.912593696795895</v>
      </c>
      <c r="J17" s="31"/>
      <c r="K17" s="59">
        <f t="shared" si="0"/>
        <v>2657.7067461693046</v>
      </c>
    </row>
    <row r="18" spans="1:11" ht="15.75" x14ac:dyDescent="0.25">
      <c r="A18" s="60" t="s">
        <v>20</v>
      </c>
      <c r="C18" s="24">
        <f>SUM(C9:C17)+1</f>
        <v>4836</v>
      </c>
      <c r="G18" s="61">
        <f>SUM(G9:G17)</f>
        <v>58020</v>
      </c>
      <c r="K18" s="62">
        <f>SUM(K8:K17)</f>
        <v>986839.73618698982</v>
      </c>
    </row>
    <row r="19" spans="1:11" ht="15.75" x14ac:dyDescent="0.25">
      <c r="A19" s="63" t="s">
        <v>48</v>
      </c>
      <c r="C19" s="18"/>
      <c r="G19" s="64"/>
      <c r="K19" s="65"/>
    </row>
    <row r="20" spans="1:11" ht="19.5" thickBot="1" x14ac:dyDescent="0.35">
      <c r="A20" s="95" t="s">
        <v>49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x14ac:dyDescent="0.25">
      <c r="A21" s="6"/>
      <c r="G21" s="18"/>
      <c r="H21" s="18"/>
      <c r="I21" s="18"/>
      <c r="J21" s="18"/>
      <c r="K21" s="18" t="s">
        <v>21</v>
      </c>
    </row>
    <row r="22" spans="1:11" x14ac:dyDescent="0.25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25">
      <c r="A23" s="6"/>
      <c r="G23" s="16">
        <f>'Rate Design'!C51/1000</f>
        <v>289524.728</v>
      </c>
      <c r="I23" s="32">
        <f>'Rate Design'!E51</f>
        <v>3.9266879608743133</v>
      </c>
      <c r="K23" s="9">
        <f>G23*I23</f>
        <v>1136873.2638130102</v>
      </c>
    </row>
    <row r="24" spans="1:11" x14ac:dyDescent="0.25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1136873.2638130102</v>
      </c>
    </row>
    <row r="25" spans="1:11" x14ac:dyDescent="0.25">
      <c r="G25" s="16"/>
    </row>
    <row r="26" spans="1:11" ht="19.5" thickBot="1" x14ac:dyDescent="0.35">
      <c r="A26" s="95" t="s">
        <v>56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8" spans="1:11" ht="15.75" x14ac:dyDescent="0.25">
      <c r="A28" s="4" t="s">
        <v>60</v>
      </c>
      <c r="G28" s="66">
        <f>'Revenues - Current Rates'!G54</f>
        <v>46730</v>
      </c>
    </row>
    <row r="30" spans="1:11" ht="19.5" thickBot="1" x14ac:dyDescent="0.35">
      <c r="A30" s="95" t="s">
        <v>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2" spans="1:11" x14ac:dyDescent="0.25">
      <c r="A32" t="s">
        <v>61</v>
      </c>
      <c r="I32" s="3">
        <f>K18</f>
        <v>986839.73618698982</v>
      </c>
    </row>
    <row r="33" spans="1:9" x14ac:dyDescent="0.25">
      <c r="A33" t="s">
        <v>62</v>
      </c>
      <c r="I33" s="36">
        <f>K24</f>
        <v>1136873.2638130102</v>
      </c>
    </row>
    <row r="34" spans="1:9" ht="15.75" x14ac:dyDescent="0.25">
      <c r="A34" s="4" t="s">
        <v>63</v>
      </c>
      <c r="I34" s="38">
        <f>SUM(I32:I33)</f>
        <v>2123713</v>
      </c>
    </row>
    <row r="35" spans="1:9" ht="15.75" x14ac:dyDescent="0.25">
      <c r="A35" s="4" t="s">
        <v>56</v>
      </c>
      <c r="I35" s="38">
        <f>G28</f>
        <v>46730</v>
      </c>
    </row>
    <row r="36" spans="1:9" ht="16.5" thickBot="1" x14ac:dyDescent="0.3">
      <c r="A36" s="4" t="s">
        <v>91</v>
      </c>
      <c r="I36" s="39">
        <f>SUM(I34:I35)</f>
        <v>2170443</v>
      </c>
    </row>
    <row r="37" spans="1:9" ht="15.75" thickTop="1" x14ac:dyDescent="0.25"/>
    <row r="38" spans="1:9" x14ac:dyDescent="0.25">
      <c r="A38" s="100" t="s">
        <v>92</v>
      </c>
      <c r="B38" s="100"/>
      <c r="C38" s="100"/>
      <c r="D38" s="100"/>
      <c r="E38" s="100"/>
      <c r="F38" s="100"/>
      <c r="G38" s="100"/>
    </row>
    <row r="39" spans="1:9" x14ac:dyDescent="0.25">
      <c r="A39" s="6" t="s">
        <v>91</v>
      </c>
      <c r="G39" s="9">
        <f>I36</f>
        <v>2170443</v>
      </c>
    </row>
    <row r="40" spans="1:9" x14ac:dyDescent="0.25">
      <c r="A40" s="6" t="s">
        <v>93</v>
      </c>
      <c r="G40" s="9">
        <f>'Revenues - Current Rates'!G55</f>
        <v>1861057.9154400001</v>
      </c>
    </row>
    <row r="41" spans="1:9" x14ac:dyDescent="0.25">
      <c r="A41" s="6" t="s">
        <v>94</v>
      </c>
      <c r="G41" s="67">
        <f>G39-G40</f>
        <v>309385.08455999987</v>
      </c>
    </row>
    <row r="42" spans="1:9" x14ac:dyDescent="0.25">
      <c r="A42" s="6" t="s">
        <v>95</v>
      </c>
      <c r="G42" s="68">
        <f>'Income Statement'!D13</f>
        <v>309385.08455999987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2"/>
  <sheetViews>
    <sheetView view="pageLayout" zoomScaleNormal="100" workbookViewId="0">
      <selection activeCell="C21" sqref="C21"/>
    </sheetView>
  </sheetViews>
  <sheetFormatPr defaultRowHeight="15" x14ac:dyDescent="0.25"/>
  <cols>
    <col min="1" max="1" width="14" customWidth="1"/>
    <col min="2" max="2" width="4.5703125" customWidth="1"/>
    <col min="3" max="3" width="11.5703125" bestFit="1" customWidth="1"/>
    <col min="4" max="4" width="9.42578125" customWidth="1"/>
    <col min="5" max="5" width="25.5703125" customWidth="1"/>
    <col min="6" max="6" width="4.7109375" customWidth="1"/>
    <col min="7" max="7" width="12.42578125" customWidth="1"/>
    <col min="8" max="8" width="9.42578125" customWidth="1"/>
    <col min="9" max="9" width="25.85546875" bestFit="1" customWidth="1"/>
    <col min="10" max="10" width="4.7109375" customWidth="1"/>
  </cols>
  <sheetData>
    <row r="1" spans="1:11" ht="21" x14ac:dyDescent="0.35">
      <c r="A1" s="69" t="str">
        <f>'Income Statement'!A1:D1</f>
        <v>Liberty Utilities (Missouri Water), LLC - Bolivar Water - Year 1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8.75" x14ac:dyDescent="0.3">
      <c r="A2" s="101" t="s">
        <v>96</v>
      </c>
      <c r="B2" s="101"/>
      <c r="C2" s="101"/>
      <c r="D2" s="101"/>
      <c r="E2" s="101"/>
      <c r="F2" s="70"/>
      <c r="G2" s="70"/>
      <c r="H2" s="70"/>
      <c r="I2" s="70"/>
      <c r="J2" s="70"/>
      <c r="K2" s="70"/>
    </row>
    <row r="4" spans="1:11" ht="15.75" x14ac:dyDescent="0.25">
      <c r="E4" s="53"/>
      <c r="F4" s="53"/>
      <c r="G4" s="71"/>
      <c r="H4" s="53"/>
    </row>
    <row r="5" spans="1:11" ht="15.75" x14ac:dyDescent="0.25">
      <c r="B5" s="31"/>
      <c r="C5" s="8" t="s">
        <v>97</v>
      </c>
      <c r="D5" s="31"/>
      <c r="E5" s="53"/>
      <c r="F5" s="53"/>
      <c r="G5" s="71"/>
      <c r="H5" s="53"/>
    </row>
    <row r="6" spans="1:11" x14ac:dyDescent="0.25">
      <c r="A6" t="s">
        <v>98</v>
      </c>
      <c r="C6" s="32">
        <f>'Rate Design'!G48</f>
        <v>15.380247373664957</v>
      </c>
      <c r="E6" s="53"/>
      <c r="F6" s="53"/>
      <c r="G6" s="55"/>
      <c r="H6" s="53"/>
    </row>
    <row r="7" spans="1:11" x14ac:dyDescent="0.25">
      <c r="A7" s="1" t="s">
        <v>99</v>
      </c>
      <c r="B7" s="1"/>
      <c r="C7" s="72">
        <f>'Rate Design'!E51*4</f>
        <v>15.706751843497253</v>
      </c>
      <c r="E7" s="65"/>
      <c r="F7" s="65"/>
      <c r="G7" s="73"/>
      <c r="H7" s="53"/>
    </row>
    <row r="8" spans="1:11" x14ac:dyDescent="0.25">
      <c r="A8" s="1" t="s">
        <v>100</v>
      </c>
      <c r="B8" s="1"/>
      <c r="C8" s="47">
        <f>SUM(C6:C7)</f>
        <v>31.086999217162209</v>
      </c>
      <c r="E8" s="65"/>
      <c r="F8" s="65"/>
      <c r="G8" s="74"/>
      <c r="H8" s="53"/>
    </row>
    <row r="10" spans="1:11" ht="18.75" x14ac:dyDescent="0.3">
      <c r="A10" s="102" t="s">
        <v>101</v>
      </c>
      <c r="B10" s="102"/>
      <c r="C10" s="102"/>
      <c r="D10" s="102"/>
      <c r="E10" s="102"/>
      <c r="F10" s="2"/>
      <c r="G10" s="2"/>
      <c r="H10" s="2"/>
      <c r="I10" s="2"/>
      <c r="J10" s="2"/>
      <c r="K10" s="2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B12" s="103" t="s">
        <v>102</v>
      </c>
      <c r="C12" s="103"/>
      <c r="D12" s="103"/>
      <c r="E12" s="75"/>
      <c r="F12" s="75"/>
      <c r="G12" s="65"/>
      <c r="H12" s="65"/>
      <c r="I12" s="75"/>
      <c r="J12" s="75"/>
      <c r="K12" s="65"/>
    </row>
    <row r="13" spans="1:11" x14ac:dyDescent="0.25">
      <c r="A13" s="1" t="s">
        <v>98</v>
      </c>
      <c r="B13" s="1"/>
      <c r="C13" s="47">
        <f>'Revenues - Current Rates'!I13</f>
        <v>18.07</v>
      </c>
      <c r="D13" s="1"/>
      <c r="E13" s="65"/>
      <c r="F13" s="65"/>
      <c r="G13" s="74"/>
      <c r="H13" s="65"/>
      <c r="I13" s="65"/>
      <c r="J13" s="65"/>
      <c r="K13" s="74"/>
    </row>
    <row r="14" spans="1:11" x14ac:dyDescent="0.25">
      <c r="A14" s="1" t="s">
        <v>99</v>
      </c>
      <c r="B14" s="1"/>
      <c r="C14" s="72">
        <f>'Revenues - Current Rates'!I37*(2000/1000)</f>
        <v>7.44</v>
      </c>
      <c r="D14" s="1"/>
      <c r="E14" s="65"/>
      <c r="F14" s="65"/>
      <c r="G14" s="73"/>
      <c r="H14" s="65"/>
      <c r="I14" s="65"/>
      <c r="J14" s="65"/>
      <c r="K14" s="73"/>
    </row>
    <row r="15" spans="1:11" x14ac:dyDescent="0.25">
      <c r="A15" s="1" t="s">
        <v>100</v>
      </c>
      <c r="B15" s="1"/>
      <c r="C15" s="47">
        <f>SUM(C13:C14)</f>
        <v>25.51</v>
      </c>
      <c r="D15" s="1"/>
      <c r="E15" s="65"/>
      <c r="F15" s="65"/>
      <c r="G15" s="74"/>
      <c r="H15" s="65"/>
      <c r="I15" s="65"/>
      <c r="J15" s="65"/>
      <c r="K15" s="74"/>
    </row>
    <row r="16" spans="1:11" x14ac:dyDescent="0.25">
      <c r="A16" s="1"/>
      <c r="B16" s="1"/>
      <c r="C16" s="47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47"/>
      <c r="D17" s="1"/>
      <c r="E17" s="1"/>
      <c r="F17" s="1"/>
      <c r="G17" s="1"/>
      <c r="H17" s="1"/>
      <c r="I17" s="1"/>
      <c r="J17" s="1"/>
      <c r="K17" s="1"/>
    </row>
    <row r="18" spans="1:11" ht="18.75" x14ac:dyDescent="0.3">
      <c r="A18" s="102" t="s">
        <v>103</v>
      </c>
      <c r="B18" s="102"/>
      <c r="C18" s="102"/>
      <c r="D18" s="102"/>
      <c r="E18" s="102"/>
      <c r="F18" s="2"/>
      <c r="G18" s="2"/>
      <c r="H18" s="2"/>
      <c r="I18" s="2"/>
      <c r="J18" s="2"/>
      <c r="K18" s="2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 t="s">
        <v>104</v>
      </c>
      <c r="B20" s="1"/>
      <c r="C20" s="47">
        <f>C8-C15</f>
        <v>5.5769992171622071</v>
      </c>
      <c r="D20" s="1"/>
      <c r="E20" s="65"/>
      <c r="F20" s="65"/>
      <c r="G20" s="74"/>
      <c r="H20" s="65"/>
      <c r="I20" s="65"/>
      <c r="J20" s="65"/>
      <c r="K20" s="74"/>
    </row>
    <row r="21" spans="1:11" x14ac:dyDescent="0.25">
      <c r="A21" s="1" t="s">
        <v>105</v>
      </c>
      <c r="B21" s="1"/>
      <c r="C21" s="91">
        <f>(C8-C15)/C15</f>
        <v>0.2186201182737047</v>
      </c>
      <c r="D21" s="1"/>
      <c r="E21" s="65"/>
      <c r="F21" s="65"/>
      <c r="G21" s="76"/>
      <c r="H21" s="65"/>
      <c r="I21" s="65"/>
      <c r="J21" s="65"/>
      <c r="K21" s="76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</sheetData>
  <mergeCells count="4">
    <mergeCell ref="A2:E2"/>
    <mergeCell ref="A10:E10"/>
    <mergeCell ref="B12:D12"/>
    <mergeCell ref="A18:E18"/>
  </mergeCells>
  <pageMargins left="0.7" right="0.7" top="0.75" bottom="0.75" header="0.3" footer="0.3"/>
  <pageSetup orientation="portrait" r:id="rId1"/>
  <headerFooter>
    <oddFooter>&amp;RCase No. WR-2024-0104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zoomScaleNormal="100" zoomScalePageLayoutView="90" workbookViewId="0">
      <selection activeCell="G16" sqref="G16"/>
    </sheetView>
  </sheetViews>
  <sheetFormatPr defaultRowHeight="15" x14ac:dyDescent="0.25"/>
  <cols>
    <col min="1" max="1" width="3.140625" customWidth="1"/>
    <col min="2" max="2" width="46.42578125" customWidth="1"/>
    <col min="3" max="3" width="6.42578125" customWidth="1"/>
    <col min="4" max="4" width="27.42578125" customWidth="1"/>
    <col min="5" max="5" width="7.42578125" style="1" customWidth="1"/>
    <col min="6" max="6" width="14.7109375" customWidth="1"/>
    <col min="7" max="7" width="15" bestFit="1" customWidth="1"/>
    <col min="8" max="8" width="12.5703125" bestFit="1" customWidth="1"/>
  </cols>
  <sheetData>
    <row r="1" spans="1:8" ht="21.75" thickBot="1" x14ac:dyDescent="0.4">
      <c r="A1" s="93" t="s">
        <v>113</v>
      </c>
      <c r="B1" s="93"/>
      <c r="C1" s="93"/>
      <c r="D1" s="93"/>
    </row>
    <row r="2" spans="1:8" ht="20.25" thickTop="1" thickBot="1" x14ac:dyDescent="0.35">
      <c r="A2" s="94" t="s">
        <v>0</v>
      </c>
      <c r="B2" s="94"/>
      <c r="C2" s="94"/>
      <c r="D2" s="94"/>
    </row>
    <row r="3" spans="1:8" ht="15.75" thickTop="1" x14ac:dyDescent="0.25"/>
    <row r="4" spans="1:8" ht="19.5" thickBot="1" x14ac:dyDescent="0.35">
      <c r="A4" s="2"/>
      <c r="B4" s="95" t="s">
        <v>1</v>
      </c>
      <c r="C4" s="95"/>
      <c r="D4" s="95"/>
    </row>
    <row r="5" spans="1:8" x14ac:dyDescent="0.25">
      <c r="B5" t="s">
        <v>2</v>
      </c>
      <c r="D5" s="3">
        <f>'Revenues - Current Rates (2)'!G40</f>
        <v>2123713</v>
      </c>
    </row>
    <row r="6" spans="1:8" x14ac:dyDescent="0.25">
      <c r="B6" t="s">
        <v>3</v>
      </c>
      <c r="D6" s="3">
        <f>'Revenues - Current Rates (2)'!G41</f>
        <v>46730</v>
      </c>
    </row>
    <row r="7" spans="1:8" ht="15.75" x14ac:dyDescent="0.25">
      <c r="B7" s="4" t="s">
        <v>4</v>
      </c>
      <c r="D7" s="5">
        <f>SUM(D5:D6)</f>
        <v>2170443</v>
      </c>
    </row>
    <row r="8" spans="1:8" x14ac:dyDescent="0.25">
      <c r="B8" s="6" t="s">
        <v>5</v>
      </c>
    </row>
    <row r="10" spans="1:8" ht="19.5" thickBot="1" x14ac:dyDescent="0.35">
      <c r="B10" s="95" t="s">
        <v>6</v>
      </c>
      <c r="C10" s="95"/>
      <c r="D10" s="95"/>
      <c r="F10" s="7" t="s">
        <v>7</v>
      </c>
      <c r="G10" s="7" t="s">
        <v>8</v>
      </c>
    </row>
    <row r="11" spans="1:8" ht="17.25" thickTop="1" thickBot="1" x14ac:dyDescent="0.3">
      <c r="B11" s="10" t="s">
        <v>10</v>
      </c>
      <c r="D11" s="11">
        <v>2479828</v>
      </c>
      <c r="F11" s="11"/>
      <c r="G11" s="11"/>
      <c r="H11" s="9"/>
    </row>
    <row r="12" spans="1:8" ht="17.25" thickTop="1" thickBot="1" x14ac:dyDescent="0.3">
      <c r="B12" s="4" t="s">
        <v>11</v>
      </c>
      <c r="D12" s="9">
        <f>D11-D6</f>
        <v>2433098</v>
      </c>
      <c r="F12" s="12">
        <f>F14*D12</f>
        <v>1130603.7060737927</v>
      </c>
      <c r="G12" s="12">
        <f>G14*D12</f>
        <v>1302494.2939262073</v>
      </c>
      <c r="H12" s="12">
        <f>SUM(F12:G12)</f>
        <v>2433098</v>
      </c>
    </row>
    <row r="13" spans="1:8" ht="17.25" thickTop="1" thickBot="1" x14ac:dyDescent="0.3">
      <c r="B13" s="13" t="s">
        <v>12</v>
      </c>
      <c r="D13" s="14">
        <f>D11-D7</f>
        <v>309385</v>
      </c>
    </row>
    <row r="14" spans="1:8" ht="15.75" thickTop="1" x14ac:dyDescent="0.25">
      <c r="F14" s="84">
        <v>0.46467659998643407</v>
      </c>
      <c r="G14" s="84">
        <v>0.53532340001356593</v>
      </c>
    </row>
    <row r="15" spans="1:8" ht="21" customHeight="1" x14ac:dyDescent="0.25">
      <c r="B15" s="96" t="s">
        <v>13</v>
      </c>
      <c r="C15" s="96"/>
      <c r="D15" s="96"/>
      <c r="F15" s="9"/>
    </row>
    <row r="16" spans="1:8" x14ac:dyDescent="0.25">
      <c r="B16" s="96"/>
      <c r="C16" s="96"/>
      <c r="D16" s="96"/>
      <c r="G16" s="9"/>
    </row>
    <row r="17" spans="2:4" x14ac:dyDescent="0.25">
      <c r="D17" s="9"/>
    </row>
    <row r="18" spans="2:4" x14ac:dyDescent="0.25">
      <c r="B18" s="15"/>
      <c r="D18" s="16"/>
    </row>
    <row r="19" spans="2:4" x14ac:dyDescent="0.25">
      <c r="B19" s="15"/>
      <c r="D19" s="17"/>
    </row>
  </sheetData>
  <mergeCells count="5">
    <mergeCell ref="A1:D1"/>
    <mergeCell ref="A2:D2"/>
    <mergeCell ref="B4:D4"/>
    <mergeCell ref="B10:D10"/>
    <mergeCell ref="B15:D16"/>
  </mergeCells>
  <pageMargins left="0.7" right="0.7" top="0.75" bottom="0.75" header="0.3" footer="0.3"/>
  <pageSetup scale="91" orientation="landscape" r:id="rId1"/>
  <headerFooter>
    <oddFooter>&amp;RCase No. WR-2024-0104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3"/>
  <sheetViews>
    <sheetView zoomScaleNormal="100" workbookViewId="0">
      <selection activeCell="C9" sqref="C9"/>
    </sheetView>
  </sheetViews>
  <sheetFormatPr defaultRowHeight="15" x14ac:dyDescent="0.25"/>
  <cols>
    <col min="1" max="1" width="33.28515625" customWidth="1"/>
    <col min="2" max="2" width="2.140625" customWidth="1"/>
    <col min="3" max="3" width="11.140625" customWidth="1"/>
    <col min="4" max="4" width="2" customWidth="1"/>
    <col min="6" max="6" width="1.85546875" customWidth="1"/>
    <col min="7" max="7" width="15.140625" bestFit="1" customWidth="1"/>
    <col min="8" max="8" width="1.85546875" customWidth="1"/>
    <col min="10" max="10" width="1.85546875" customWidth="1"/>
    <col min="11" max="11" width="14.28515625" bestFit="1" customWidth="1"/>
    <col min="14" max="15" width="11.5703125" bestFit="1" customWidth="1"/>
    <col min="16" max="17" width="14.85546875" bestFit="1" customWidth="1"/>
  </cols>
  <sheetData>
    <row r="1" spans="1:16" ht="21.75" thickBot="1" x14ac:dyDescent="0.4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6" ht="20.25" thickTop="1" thickBot="1" x14ac:dyDescent="0.35">
      <c r="A2" s="94" t="s">
        <v>114</v>
      </c>
      <c r="B2" s="94"/>
      <c r="C2" s="94"/>
      <c r="D2" s="94"/>
      <c r="E2" s="94"/>
      <c r="F2" s="94"/>
      <c r="G2" s="94"/>
      <c r="H2" s="94"/>
      <c r="I2" s="94"/>
      <c r="J2" s="94"/>
      <c r="K2" s="94"/>
      <c r="O2" s="9"/>
      <c r="P2" s="9"/>
    </row>
    <row r="3" spans="1:16" ht="15.75" thickTop="1" x14ac:dyDescent="0.25">
      <c r="O3" s="9"/>
      <c r="P3" s="9"/>
    </row>
    <row r="4" spans="1:16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  <c r="O4" s="9"/>
      <c r="P4" s="9"/>
    </row>
    <row r="5" spans="1:16" x14ac:dyDescent="0.25">
      <c r="O5" s="9"/>
      <c r="P5" s="9"/>
    </row>
    <row r="6" spans="1:16" ht="15.75" thickBot="1" x14ac:dyDescent="0.3">
      <c r="A6" s="97" t="s">
        <v>16</v>
      </c>
      <c r="B6" s="97"/>
      <c r="C6" s="97"/>
      <c r="D6" s="97"/>
      <c r="E6" s="97"/>
      <c r="F6" s="97"/>
      <c r="G6" s="97"/>
      <c r="H6" s="97"/>
      <c r="I6" s="97"/>
      <c r="J6" s="97"/>
      <c r="K6" s="97"/>
      <c r="O6" s="9"/>
    </row>
    <row r="7" spans="1:16" x14ac:dyDescent="0.25">
      <c r="A7" s="18" t="s">
        <v>17</v>
      </c>
      <c r="B7" s="18"/>
      <c r="C7" s="18" t="s">
        <v>18</v>
      </c>
      <c r="D7" s="18"/>
      <c r="E7" s="18" t="s">
        <v>19</v>
      </c>
      <c r="F7" s="18"/>
      <c r="G7" s="18" t="s">
        <v>20</v>
      </c>
      <c r="H7" s="18"/>
      <c r="I7" s="18"/>
      <c r="J7" s="18"/>
      <c r="K7" s="18" t="s">
        <v>21</v>
      </c>
      <c r="O7" s="9"/>
      <c r="P7" s="9"/>
    </row>
    <row r="8" spans="1:16" x14ac:dyDescent="0.25">
      <c r="A8" s="19" t="s">
        <v>22</v>
      </c>
      <c r="B8" s="19"/>
      <c r="C8" s="19" t="s">
        <v>23</v>
      </c>
      <c r="D8" s="19"/>
      <c r="E8" s="19" t="s">
        <v>24</v>
      </c>
      <c r="F8" s="19"/>
      <c r="G8" s="19" t="s">
        <v>25</v>
      </c>
      <c r="H8" s="19"/>
      <c r="I8" s="19" t="s">
        <v>26</v>
      </c>
      <c r="J8" s="19"/>
      <c r="K8" s="19" t="s">
        <v>27</v>
      </c>
      <c r="O8" s="9"/>
      <c r="P8" s="9"/>
    </row>
    <row r="9" spans="1:16" x14ac:dyDescent="0.25">
      <c r="A9" s="77" t="str">
        <f>'Revenues - Proposed Rates'!A8</f>
        <v>1/2"</v>
      </c>
      <c r="C9" s="77">
        <f>'Revenues - Proposed Rates'!C8</f>
        <v>1</v>
      </c>
      <c r="E9" s="52">
        <v>12</v>
      </c>
      <c r="G9" s="21">
        <f>C9*E9</f>
        <v>12</v>
      </c>
      <c r="I9" s="32">
        <f>'Revenues - Proposed Rates'!I8</f>
        <v>15.380247373664957</v>
      </c>
      <c r="K9" s="3">
        <f>G9*I9</f>
        <v>184.56296848397949</v>
      </c>
    </row>
    <row r="10" spans="1:16" x14ac:dyDescent="0.25">
      <c r="A10" s="77" t="str">
        <f>'Revenues - Proposed Rates'!A9</f>
        <v>5/8"</v>
      </c>
      <c r="C10" s="77">
        <f>'Revenues - Proposed Rates'!C9</f>
        <v>459</v>
      </c>
      <c r="E10" s="52">
        <v>12</v>
      </c>
      <c r="G10" s="21">
        <f>C10*E10</f>
        <v>5508</v>
      </c>
      <c r="I10" s="32">
        <f>'Revenues - Proposed Rates'!I9</f>
        <v>15.380247373664957</v>
      </c>
      <c r="K10" s="3">
        <f>G10*I10</f>
        <v>84714.402534146589</v>
      </c>
    </row>
    <row r="11" spans="1:16" x14ac:dyDescent="0.25">
      <c r="A11" s="77" t="str">
        <f>'Revenues - Proposed Rates'!A10</f>
        <v>3/4"</v>
      </c>
      <c r="C11" s="77">
        <f>'Revenues - Proposed Rates'!C10</f>
        <v>4044</v>
      </c>
      <c r="E11" s="52">
        <v>12</v>
      </c>
      <c r="G11" s="21">
        <f>C11*E11</f>
        <v>48528</v>
      </c>
      <c r="I11" s="32">
        <f>'Revenues - Proposed Rates'!I10</f>
        <v>15.380247373664957</v>
      </c>
      <c r="K11" s="3">
        <f t="shared" ref="K11:K18" si="0">G11*I11</f>
        <v>746372.644549213</v>
      </c>
    </row>
    <row r="12" spans="1:16" x14ac:dyDescent="0.25">
      <c r="A12" s="77" t="str">
        <f>'Revenues - Proposed Rates'!A11</f>
        <v>1"</v>
      </c>
      <c r="C12" s="77">
        <f>'Revenues - Proposed Rates'!C11</f>
        <v>218</v>
      </c>
      <c r="E12" s="52">
        <v>12</v>
      </c>
      <c r="G12" s="21">
        <f t="shared" ref="G12:G18" si="1">C12*E12</f>
        <v>2616</v>
      </c>
      <c r="I12" s="32">
        <f>'Revenues - Proposed Rates'!I11</f>
        <v>26.915432903913675</v>
      </c>
      <c r="K12" s="3">
        <f t="shared" si="0"/>
        <v>70410.772476638173</v>
      </c>
      <c r="O12" s="21"/>
    </row>
    <row r="13" spans="1:16" x14ac:dyDescent="0.25">
      <c r="A13" s="77" t="str">
        <f>'Revenues - Proposed Rates'!A12</f>
        <v>1  1/2"</v>
      </c>
      <c r="C13" s="77">
        <f>'Revenues - Proposed Rates'!C12</f>
        <v>10</v>
      </c>
      <c r="E13" s="52">
        <v>12</v>
      </c>
      <c r="G13" s="21">
        <f t="shared" si="1"/>
        <v>120</v>
      </c>
      <c r="I13" s="32">
        <f>'Revenues - Proposed Rates'!I12</f>
        <v>46.140742120994872</v>
      </c>
      <c r="K13" s="3">
        <f t="shared" si="0"/>
        <v>5536.8890545193844</v>
      </c>
      <c r="O13" s="21"/>
    </row>
    <row r="14" spans="1:16" x14ac:dyDescent="0.25">
      <c r="A14" s="77" t="str">
        <f>'Revenues - Proposed Rates'!A13</f>
        <v xml:space="preserve"> 2"</v>
      </c>
      <c r="C14" s="77">
        <f>'Revenues - Proposed Rates'!C13</f>
        <v>72</v>
      </c>
      <c r="E14" s="52">
        <v>12</v>
      </c>
      <c r="G14" s="21">
        <f t="shared" si="1"/>
        <v>864</v>
      </c>
      <c r="I14" s="32">
        <f>'Revenues - Proposed Rates'!I13</f>
        <v>53.830865807827351</v>
      </c>
      <c r="K14" s="3">
        <f t="shared" si="0"/>
        <v>46509.868057962834</v>
      </c>
    </row>
    <row r="15" spans="1:16" x14ac:dyDescent="0.25">
      <c r="A15" s="77" t="str">
        <f>'Revenues - Proposed Rates'!A14</f>
        <v>3"</v>
      </c>
      <c r="C15" s="77">
        <f>'Revenues - Proposed Rates'!C14</f>
        <v>19</v>
      </c>
      <c r="D15" s="53"/>
      <c r="E15" s="54">
        <v>12</v>
      </c>
      <c r="F15" s="53"/>
      <c r="G15" s="21">
        <f t="shared" si="1"/>
        <v>228</v>
      </c>
      <c r="H15" s="53"/>
      <c r="I15" s="32">
        <f>'Revenues - Proposed Rates'!I14</f>
        <v>76.901236868324787</v>
      </c>
      <c r="J15" s="53"/>
      <c r="K15" s="3">
        <f t="shared" si="0"/>
        <v>17533.48200597805</v>
      </c>
    </row>
    <row r="16" spans="1:16" x14ac:dyDescent="0.25">
      <c r="A16" s="77" t="str">
        <f>'Revenues - Proposed Rates'!A15</f>
        <v xml:space="preserve"> 4"</v>
      </c>
      <c r="C16" s="77">
        <f>'Revenues - Proposed Rates'!C15</f>
        <v>7</v>
      </c>
      <c r="D16" s="53"/>
      <c r="E16" s="54">
        <v>12</v>
      </c>
      <c r="F16" s="53"/>
      <c r="G16" s="21">
        <f t="shared" si="1"/>
        <v>84</v>
      </c>
      <c r="H16" s="53"/>
      <c r="I16" s="32">
        <f>'Revenues - Proposed Rates'!I15</f>
        <v>153.80247373664957</v>
      </c>
      <c r="J16" s="53"/>
      <c r="K16" s="3">
        <f t="shared" si="0"/>
        <v>12919.407793878565</v>
      </c>
    </row>
    <row r="17" spans="1:15" x14ac:dyDescent="0.25">
      <c r="A17" s="77" t="str">
        <f>'Revenues - Proposed Rates'!A16</f>
        <v xml:space="preserve"> 6"</v>
      </c>
      <c r="C17" s="77">
        <f>'Revenues - Proposed Rates'!C16</f>
        <v>0</v>
      </c>
      <c r="D17" s="53"/>
      <c r="E17" s="54">
        <v>12</v>
      </c>
      <c r="F17" s="53"/>
      <c r="G17" s="21">
        <f t="shared" si="1"/>
        <v>0</v>
      </c>
      <c r="H17" s="53"/>
      <c r="I17" s="32">
        <f>'Revenues - Proposed Rates'!I16</f>
        <v>307.60494747329915</v>
      </c>
      <c r="J17" s="53"/>
      <c r="K17" s="56">
        <f t="shared" si="0"/>
        <v>0</v>
      </c>
    </row>
    <row r="18" spans="1:15" x14ac:dyDescent="0.25">
      <c r="A18" s="77" t="str">
        <f>'Revenues - Proposed Rates'!A17</f>
        <v>Flat Rate - Unmetered</v>
      </c>
      <c r="C18" s="77">
        <f>'Revenues - Proposed Rates'!C17</f>
        <v>6</v>
      </c>
      <c r="D18" s="53"/>
      <c r="E18" s="52">
        <v>12</v>
      </c>
      <c r="F18" s="53"/>
      <c r="G18" s="21">
        <f t="shared" si="1"/>
        <v>72</v>
      </c>
      <c r="H18" s="53"/>
      <c r="I18" s="32">
        <f>'Revenues - Proposed Rates'!I17</f>
        <v>36.912593696795895</v>
      </c>
      <c r="J18" s="53"/>
      <c r="K18" s="56">
        <f t="shared" si="0"/>
        <v>2657.7067461693046</v>
      </c>
    </row>
    <row r="19" spans="1:15" x14ac:dyDescent="0.25">
      <c r="A19" s="24" t="s">
        <v>20</v>
      </c>
      <c r="B19" s="25"/>
      <c r="C19" s="26">
        <f>SUM(C8:C18)</f>
        <v>4836</v>
      </c>
      <c r="D19" s="25"/>
      <c r="E19" s="25"/>
      <c r="F19" s="25"/>
      <c r="G19" s="27">
        <f>SUM(G8:G18)</f>
        <v>58032</v>
      </c>
      <c r="H19" s="25"/>
      <c r="I19" s="25"/>
      <c r="J19" s="25"/>
      <c r="K19" s="28">
        <f>SUM(K9:K18)</f>
        <v>986839.73618698982</v>
      </c>
    </row>
    <row r="20" spans="1:15" x14ac:dyDescent="0.25">
      <c r="A20" s="6" t="s">
        <v>48</v>
      </c>
    </row>
    <row r="21" spans="1:15" x14ac:dyDescent="0.25">
      <c r="A21" s="6"/>
    </row>
    <row r="22" spans="1:15" x14ac:dyDescent="0.25">
      <c r="A22" s="6"/>
    </row>
    <row r="23" spans="1:15" ht="19.5" thickBot="1" x14ac:dyDescent="0.35">
      <c r="A23" s="95" t="s">
        <v>49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1:15" x14ac:dyDescent="0.25">
      <c r="A24" s="6"/>
      <c r="G24" s="18" t="s">
        <v>50</v>
      </c>
      <c r="H24" s="18"/>
      <c r="I24" s="18"/>
      <c r="J24" s="18"/>
      <c r="K24" s="18" t="s">
        <v>21</v>
      </c>
    </row>
    <row r="25" spans="1:15" x14ac:dyDescent="0.25">
      <c r="A25" s="30"/>
      <c r="B25" s="31"/>
      <c r="C25" s="31"/>
      <c r="D25" s="31"/>
      <c r="E25" s="31"/>
      <c r="F25" s="31"/>
      <c r="G25" s="19" t="s">
        <v>51</v>
      </c>
      <c r="H25" s="19"/>
      <c r="I25" s="19" t="s">
        <v>52</v>
      </c>
      <c r="J25" s="19"/>
      <c r="K25" s="19" t="s">
        <v>27</v>
      </c>
    </row>
    <row r="26" spans="1:15" x14ac:dyDescent="0.25">
      <c r="A26" s="20"/>
      <c r="G26" s="16">
        <f>289524728/1000</f>
        <v>289524.728</v>
      </c>
      <c r="I26" s="32">
        <f>'Revenues - Proposed Rates'!$I$23</f>
        <v>3.9266879608743133</v>
      </c>
      <c r="K26" s="9">
        <f t="shared" ref="K26" si="2">G26*I26</f>
        <v>1136873.2638130102</v>
      </c>
    </row>
    <row r="27" spans="1:15" x14ac:dyDescent="0.25">
      <c r="A27" s="6"/>
      <c r="E27" s="18" t="s">
        <v>106</v>
      </c>
      <c r="G27" s="33">
        <f>SUM(G26:G26)</f>
        <v>289524.728</v>
      </c>
      <c r="H27" s="25"/>
      <c r="I27" s="25"/>
      <c r="J27" s="25"/>
      <c r="K27" s="28">
        <f>SUM(K26:K26)</f>
        <v>1136873.2638130102</v>
      </c>
      <c r="O27" s="29"/>
    </row>
    <row r="28" spans="1:15" x14ac:dyDescent="0.25">
      <c r="A28" s="6" t="s">
        <v>107</v>
      </c>
    </row>
    <row r="29" spans="1:15" ht="19.5" thickBot="1" x14ac:dyDescent="0.35">
      <c r="A29" s="95" t="s">
        <v>56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</row>
    <row r="31" spans="1:15" x14ac:dyDescent="0.25">
      <c r="A31" t="s">
        <v>57</v>
      </c>
      <c r="G31" s="3">
        <v>14411</v>
      </c>
    </row>
    <row r="32" spans="1:15" x14ac:dyDescent="0.25">
      <c r="A32" t="s">
        <v>58</v>
      </c>
      <c r="G32" s="3">
        <v>31694</v>
      </c>
    </row>
    <row r="33" spans="1:17" x14ac:dyDescent="0.25">
      <c r="A33" t="s">
        <v>59</v>
      </c>
      <c r="G33" s="3">
        <v>625</v>
      </c>
    </row>
    <row r="34" spans="1:17" ht="15.75" x14ac:dyDescent="0.25">
      <c r="A34" s="4" t="s">
        <v>60</v>
      </c>
      <c r="G34" s="35">
        <f>SUM(G31:G33)</f>
        <v>46730</v>
      </c>
      <c r="O34" s="16"/>
    </row>
    <row r="36" spans="1:17" ht="19.5" thickBot="1" x14ac:dyDescent="0.35">
      <c r="A36" s="95" t="s">
        <v>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</row>
    <row r="37" spans="1:17" x14ac:dyDescent="0.25">
      <c r="O37" s="29"/>
      <c r="P37" s="29"/>
      <c r="Q37" s="29"/>
    </row>
    <row r="38" spans="1:17" x14ac:dyDescent="0.25">
      <c r="A38" t="s">
        <v>61</v>
      </c>
      <c r="G38" s="9">
        <f>K19</f>
        <v>986839.73618698982</v>
      </c>
      <c r="Q38" s="29"/>
    </row>
    <row r="39" spans="1:17" x14ac:dyDescent="0.25">
      <c r="A39" t="s">
        <v>62</v>
      </c>
      <c r="G39" s="36">
        <f>K27</f>
        <v>1136873.2638130102</v>
      </c>
      <c r="P39" s="34"/>
      <c r="Q39" s="34"/>
    </row>
    <row r="40" spans="1:17" ht="15.75" x14ac:dyDescent="0.25">
      <c r="A40" s="4" t="s">
        <v>63</v>
      </c>
      <c r="G40" s="37">
        <f>SUM(G38:G39)</f>
        <v>2123713</v>
      </c>
    </row>
    <row r="41" spans="1:17" ht="15.75" x14ac:dyDescent="0.25">
      <c r="A41" s="4" t="s">
        <v>56</v>
      </c>
      <c r="G41" s="38">
        <f>G34</f>
        <v>46730</v>
      </c>
    </row>
    <row r="42" spans="1:17" ht="16.5" thickBot="1" x14ac:dyDescent="0.3">
      <c r="A42" s="4" t="s">
        <v>4</v>
      </c>
      <c r="G42" s="39">
        <f>SUM(G40:G41)</f>
        <v>2170443</v>
      </c>
    </row>
    <row r="43" spans="1:17" ht="15.75" thickTop="1" x14ac:dyDescent="0.25"/>
  </sheetData>
  <mergeCells count="7">
    <mergeCell ref="A36:K36"/>
    <mergeCell ref="A1:K1"/>
    <mergeCell ref="A2:K2"/>
    <mergeCell ref="A4:K4"/>
    <mergeCell ref="A6:K6"/>
    <mergeCell ref="A23:K23"/>
    <mergeCell ref="A29:K29"/>
  </mergeCells>
  <pageMargins left="0.7" right="0.7" top="0.75" bottom="0.75" header="0.3" footer="0.3"/>
  <pageSetup scale="89" orientation="portrait" r:id="rId1"/>
  <headerFooter>
    <oddFooter>&amp;RCase No. WR-2024-0104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56"/>
  <sheetViews>
    <sheetView topLeftCell="A10" zoomScaleNormal="100" workbookViewId="0">
      <selection activeCell="I6" sqref="I6"/>
    </sheetView>
  </sheetViews>
  <sheetFormatPr defaultRowHeight="15" x14ac:dyDescent="0.25"/>
  <cols>
    <col min="1" max="1" width="30" customWidth="1"/>
    <col min="2" max="2" width="3.140625" customWidth="1"/>
    <col min="3" max="3" width="12.5703125" bestFit="1" customWidth="1"/>
    <col min="4" max="4" width="3.28515625" customWidth="1"/>
    <col min="5" max="5" width="13.5703125" customWidth="1"/>
    <col min="6" max="6" width="3.42578125" customWidth="1"/>
    <col min="7" max="7" width="12.42578125" customWidth="1"/>
    <col min="8" max="8" width="4.28515625" customWidth="1"/>
    <col min="9" max="9" width="12.7109375" bestFit="1" customWidth="1"/>
  </cols>
  <sheetData>
    <row r="1" spans="1:9" ht="21.75" thickBot="1" x14ac:dyDescent="0.4">
      <c r="A1" s="93" t="str">
        <f>'Income Statement (2)'!A1:D1</f>
        <v>Liberty Utilities (Missouri Water), LLC - Bolivar Water - Year 2</v>
      </c>
      <c r="B1" s="93"/>
      <c r="C1" s="93"/>
      <c r="D1" s="93"/>
      <c r="E1" s="93"/>
      <c r="F1" s="93"/>
      <c r="G1" s="93"/>
      <c r="H1" s="93"/>
      <c r="I1" s="93"/>
    </row>
    <row r="2" spans="1:9" ht="20.25" thickTop="1" thickBot="1" x14ac:dyDescent="0.35">
      <c r="A2" s="94" t="s">
        <v>64</v>
      </c>
      <c r="B2" s="94"/>
      <c r="C2" s="94"/>
      <c r="D2" s="94"/>
      <c r="E2" s="94"/>
      <c r="F2" s="94"/>
      <c r="G2" s="94"/>
      <c r="H2" s="94"/>
      <c r="I2" s="94"/>
    </row>
    <row r="3" spans="1:9" ht="15.75" thickTop="1" x14ac:dyDescent="0.25"/>
    <row r="4" spans="1:9" ht="15.75" x14ac:dyDescent="0.25">
      <c r="A4" s="4" t="s">
        <v>65</v>
      </c>
      <c r="B4" s="4"/>
      <c r="C4" s="4"/>
      <c r="D4" s="4"/>
      <c r="E4" s="4"/>
      <c r="F4" s="4"/>
      <c r="G4" s="4"/>
      <c r="H4" s="4"/>
      <c r="I4" s="38">
        <f>'Revenues - Current Rates (2)'!G40</f>
        <v>2123713</v>
      </c>
    </row>
    <row r="5" spans="1:9" ht="15.75" x14ac:dyDescent="0.25">
      <c r="A5" s="4" t="s">
        <v>66</v>
      </c>
      <c r="B5" s="4"/>
      <c r="C5" s="4"/>
      <c r="D5" s="4"/>
      <c r="E5" s="4"/>
      <c r="F5" s="4"/>
      <c r="G5" s="4"/>
      <c r="H5" s="4"/>
      <c r="I5" s="37">
        <f>'Income Statement (2)'!D13</f>
        <v>309385</v>
      </c>
    </row>
    <row r="6" spans="1:9" ht="15.75" x14ac:dyDescent="0.25">
      <c r="A6" s="4" t="s">
        <v>67</v>
      </c>
      <c r="B6" s="4"/>
      <c r="C6" s="4"/>
      <c r="D6" s="4"/>
      <c r="E6" s="4"/>
      <c r="F6" s="4"/>
      <c r="G6" s="4"/>
      <c r="H6" s="4"/>
      <c r="I6" s="40">
        <f>I5/I4</f>
        <v>0.14568117255015156</v>
      </c>
    </row>
    <row r="8" spans="1:9" ht="19.5" thickBot="1" x14ac:dyDescent="0.35">
      <c r="A8" s="95" t="s">
        <v>68</v>
      </c>
      <c r="B8" s="95"/>
      <c r="C8" s="95"/>
      <c r="D8" s="95"/>
      <c r="E8" s="95"/>
      <c r="F8" s="95"/>
      <c r="G8" s="95"/>
      <c r="H8" s="95"/>
      <c r="I8" s="95"/>
    </row>
    <row r="9" spans="1:9" ht="15.75" x14ac:dyDescent="0.25">
      <c r="C9" s="7" t="s">
        <v>69</v>
      </c>
      <c r="D9" s="7"/>
      <c r="E9" s="7" t="s">
        <v>70</v>
      </c>
      <c r="G9" s="7" t="s">
        <v>69</v>
      </c>
      <c r="H9" s="7"/>
      <c r="I9" s="7" t="s">
        <v>70</v>
      </c>
    </row>
    <row r="10" spans="1:9" ht="15.75" x14ac:dyDescent="0.25">
      <c r="A10" s="7" t="s">
        <v>17</v>
      </c>
      <c r="C10" s="7" t="s">
        <v>7</v>
      </c>
      <c r="D10" s="7"/>
      <c r="E10" s="7" t="s">
        <v>7</v>
      </c>
      <c r="G10" s="7" t="s">
        <v>71</v>
      </c>
      <c r="H10" s="7"/>
      <c r="I10" s="7" t="s">
        <v>71</v>
      </c>
    </row>
    <row r="11" spans="1:9" ht="15.75" x14ac:dyDescent="0.25">
      <c r="A11" s="80" t="s">
        <v>22</v>
      </c>
      <c r="B11" s="80"/>
      <c r="C11" s="80" t="s">
        <v>9</v>
      </c>
      <c r="D11" s="80"/>
      <c r="E11" s="80" t="s">
        <v>9</v>
      </c>
      <c r="F11" s="31"/>
      <c r="G11" s="80" t="s">
        <v>52</v>
      </c>
      <c r="H11" s="80"/>
      <c r="I11" s="80" t="s">
        <v>52</v>
      </c>
    </row>
    <row r="12" spans="1:9" x14ac:dyDescent="0.25">
      <c r="A12" s="23" t="str">
        <f>'Revenues - Current Rates (2)'!A9</f>
        <v>1/2"</v>
      </c>
      <c r="C12" s="23">
        <f>'Revenues - Current Rates (2)'!I9</f>
        <v>15.380247373664957</v>
      </c>
      <c r="E12" s="23">
        <f>I26</f>
        <v>17.620859845171857</v>
      </c>
      <c r="G12" s="23">
        <f>'Revenues - Current Rates (2)'!$I$26</f>
        <v>3.9266879608743133</v>
      </c>
      <c r="I12" s="32">
        <f t="shared" ref="I12:I21" si="0">$E$41</f>
        <v>4.4987324672530473</v>
      </c>
    </row>
    <row r="13" spans="1:9" x14ac:dyDescent="0.25">
      <c r="A13" s="23" t="str">
        <f>'Revenues - Current Rates (2)'!A10</f>
        <v>5/8"</v>
      </c>
      <c r="C13" s="23">
        <f>'Revenues - Current Rates (2)'!I10</f>
        <v>15.380247373664957</v>
      </c>
      <c r="E13" s="23">
        <f t="shared" ref="E13:E21" si="1">I27</f>
        <v>17.620859845171857</v>
      </c>
      <c r="G13" s="23">
        <f>'Revenues - Current Rates (2)'!$I$26</f>
        <v>3.9266879608743133</v>
      </c>
      <c r="I13" s="32">
        <f t="shared" si="0"/>
        <v>4.4987324672530473</v>
      </c>
    </row>
    <row r="14" spans="1:9" x14ac:dyDescent="0.25">
      <c r="A14" s="23" t="str">
        <f>'Revenues - Current Rates (2)'!A11</f>
        <v>3/4"</v>
      </c>
      <c r="C14" s="23">
        <f>'Revenues - Current Rates (2)'!I11</f>
        <v>15.380247373664957</v>
      </c>
      <c r="E14" s="23">
        <f t="shared" si="1"/>
        <v>17.620859845171857</v>
      </c>
      <c r="G14" s="23">
        <f>'Revenues - Current Rates (2)'!$I$26</f>
        <v>3.9266879608743133</v>
      </c>
      <c r="I14" s="32">
        <f t="shared" si="0"/>
        <v>4.4987324672530473</v>
      </c>
    </row>
    <row r="15" spans="1:9" x14ac:dyDescent="0.25">
      <c r="A15" s="23" t="str">
        <f>'Revenues - Current Rates (2)'!A12</f>
        <v>1"</v>
      </c>
      <c r="C15" s="23">
        <f>'Revenues - Current Rates (2)'!I12</f>
        <v>26.915432903913675</v>
      </c>
      <c r="E15" s="23">
        <f t="shared" si="1"/>
        <v>30.836504729050752</v>
      </c>
      <c r="G15" s="23">
        <f>'Revenues - Current Rates (2)'!$I$26</f>
        <v>3.9266879608743133</v>
      </c>
      <c r="I15" s="32">
        <f t="shared" si="0"/>
        <v>4.4987324672530473</v>
      </c>
    </row>
    <row r="16" spans="1:9" x14ac:dyDescent="0.25">
      <c r="A16" s="23" t="str">
        <f>'Revenues - Current Rates (2)'!A13</f>
        <v>1  1/2"</v>
      </c>
      <c r="C16" s="23">
        <f>'Revenues - Current Rates (2)'!I13</f>
        <v>46.140742120994872</v>
      </c>
      <c r="E16" s="23">
        <f t="shared" si="1"/>
        <v>52.862579535515572</v>
      </c>
      <c r="G16" s="23">
        <f>'Revenues - Current Rates (2)'!$I$26</f>
        <v>3.9266879608743133</v>
      </c>
      <c r="I16" s="32">
        <f t="shared" si="0"/>
        <v>4.4987324672530473</v>
      </c>
    </row>
    <row r="17" spans="1:9" x14ac:dyDescent="0.25">
      <c r="A17" s="23" t="str">
        <f>'Revenues - Current Rates (2)'!A14</f>
        <v xml:space="preserve"> 2"</v>
      </c>
      <c r="C17" s="23">
        <f>'Revenues - Current Rates (2)'!I14</f>
        <v>53.830865807827351</v>
      </c>
      <c r="E17" s="23">
        <f t="shared" si="1"/>
        <v>61.673009458101504</v>
      </c>
      <c r="G17" s="23">
        <f>'Revenues - Current Rates (2)'!$I$26</f>
        <v>3.9266879608743133</v>
      </c>
      <c r="I17" s="32">
        <f t="shared" si="0"/>
        <v>4.4987324672530473</v>
      </c>
    </row>
    <row r="18" spans="1:9" x14ac:dyDescent="0.25">
      <c r="A18" s="23" t="str">
        <f>'Revenues - Current Rates (2)'!A15</f>
        <v>3"</v>
      </c>
      <c r="C18" s="23">
        <f>'Revenues - Current Rates (2)'!I15</f>
        <v>76.901236868324787</v>
      </c>
      <c r="E18" s="23">
        <f t="shared" si="1"/>
        <v>88.104299225859279</v>
      </c>
      <c r="G18" s="23">
        <f>'Revenues - Current Rates (2)'!$I$26</f>
        <v>3.9266879608743133</v>
      </c>
      <c r="I18" s="32">
        <f t="shared" si="0"/>
        <v>4.4987324672530473</v>
      </c>
    </row>
    <row r="19" spans="1:9" x14ac:dyDescent="0.25">
      <c r="A19" s="23" t="str">
        <f>'Revenues - Current Rates (2)'!A16</f>
        <v xml:space="preserve"> 4"</v>
      </c>
      <c r="C19" s="23">
        <f>'Revenues - Current Rates (2)'!I16</f>
        <v>153.80247373664957</v>
      </c>
      <c r="E19" s="23">
        <f t="shared" si="1"/>
        <v>176.20859845171856</v>
      </c>
      <c r="G19" s="23">
        <f>'Revenues - Current Rates (2)'!$I$26</f>
        <v>3.9266879608743133</v>
      </c>
      <c r="I19" s="32">
        <f t="shared" si="0"/>
        <v>4.4987324672530473</v>
      </c>
    </row>
    <row r="20" spans="1:9" x14ac:dyDescent="0.25">
      <c r="A20" s="23" t="str">
        <f>'Revenues - Current Rates (2)'!A17</f>
        <v xml:space="preserve"> 6"</v>
      </c>
      <c r="C20" s="23">
        <f>'Revenues - Current Rates (2)'!I17</f>
        <v>307.60494747329915</v>
      </c>
      <c r="E20" s="23">
        <f t="shared" si="1"/>
        <v>352.41719690343712</v>
      </c>
      <c r="G20" s="23">
        <f>'Revenues - Current Rates (2)'!$I$26</f>
        <v>3.9266879608743133</v>
      </c>
      <c r="I20" s="32">
        <f t="shared" si="0"/>
        <v>4.4987324672530473</v>
      </c>
    </row>
    <row r="21" spans="1:9" x14ac:dyDescent="0.25">
      <c r="A21" s="23" t="str">
        <f>'Revenues - Current Rates (2)'!A18</f>
        <v>Flat Rate - Unmetered</v>
      </c>
      <c r="C21" s="23">
        <f>'Revenues - Current Rates (2)'!I18</f>
        <v>36.912593696795895</v>
      </c>
      <c r="E21" s="23">
        <f t="shared" si="1"/>
        <v>42.290063628412454</v>
      </c>
      <c r="G21" s="23">
        <f>'Revenues - Current Rates (2)'!$I$26</f>
        <v>3.9266879608743133</v>
      </c>
      <c r="I21" s="32">
        <f t="shared" si="0"/>
        <v>4.4987324672530473</v>
      </c>
    </row>
    <row r="22" spans="1:9" x14ac:dyDescent="0.25">
      <c r="A22" s="23"/>
      <c r="C22" s="23"/>
      <c r="E22" s="23"/>
      <c r="G22" s="32"/>
    </row>
    <row r="23" spans="1:9" ht="15.75" x14ac:dyDescent="0.25">
      <c r="C23" s="7"/>
      <c r="D23" s="7"/>
      <c r="E23" s="7"/>
      <c r="G23" s="7"/>
      <c r="H23" s="7"/>
      <c r="I23" s="7" t="s">
        <v>70</v>
      </c>
    </row>
    <row r="24" spans="1:9" ht="15.75" x14ac:dyDescent="0.25">
      <c r="A24" s="7" t="s">
        <v>7</v>
      </c>
      <c r="C24" s="7" t="s">
        <v>72</v>
      </c>
      <c r="D24" s="7"/>
      <c r="E24" s="7"/>
      <c r="G24" s="7" t="s">
        <v>7</v>
      </c>
      <c r="H24" s="7"/>
      <c r="I24" s="7" t="s">
        <v>7</v>
      </c>
    </row>
    <row r="25" spans="1:9" ht="15.75" x14ac:dyDescent="0.25">
      <c r="A25" s="80" t="s">
        <v>9</v>
      </c>
      <c r="B25" s="80"/>
      <c r="C25" s="80" t="s">
        <v>23</v>
      </c>
      <c r="D25" s="80"/>
      <c r="E25" s="80" t="s">
        <v>109</v>
      </c>
      <c r="F25" s="31"/>
      <c r="G25" s="80" t="s">
        <v>73</v>
      </c>
      <c r="H25" s="80"/>
      <c r="I25" s="80" t="s">
        <v>9</v>
      </c>
    </row>
    <row r="26" spans="1:9" x14ac:dyDescent="0.25">
      <c r="A26" s="77" t="s">
        <v>74</v>
      </c>
      <c r="C26" s="90">
        <f>'Revenues - Current Rates (2)'!C9</f>
        <v>1</v>
      </c>
      <c r="E26" s="77">
        <v>1</v>
      </c>
      <c r="G26" s="21">
        <f>C26*E26</f>
        <v>1</v>
      </c>
      <c r="I26" s="32">
        <f>E26*$G$38</f>
        <v>17.620859845171857</v>
      </c>
    </row>
    <row r="27" spans="1:9" x14ac:dyDescent="0.25">
      <c r="A27" s="77" t="s">
        <v>75</v>
      </c>
      <c r="C27" s="87">
        <f>SUMIF('Revenues - Current Rates (2)'!$A$10:$A$18,"*"&amp;A27&amp;"*",'Revenues - Current Rates (2)'!$C$10:$C$18)</f>
        <v>459</v>
      </c>
      <c r="E27" s="77">
        <v>1</v>
      </c>
      <c r="G27" s="21">
        <f>C27*E27</f>
        <v>459</v>
      </c>
      <c r="I27" s="32">
        <f>E27*$G$38</f>
        <v>17.620859845171857</v>
      </c>
    </row>
    <row r="28" spans="1:9" x14ac:dyDescent="0.25">
      <c r="A28" s="77" t="s">
        <v>76</v>
      </c>
      <c r="C28" s="87">
        <f>SUMIF('Revenues - Current Rates (2)'!$A$10:$A$18,"*"&amp;A28&amp;"*",'Revenues - Current Rates (2)'!$C$10:$C$18)</f>
        <v>4044</v>
      </c>
      <c r="E28" s="77">
        <v>1</v>
      </c>
      <c r="G28" s="21">
        <f>C28*E28</f>
        <v>4044</v>
      </c>
      <c r="I28" s="32">
        <f t="shared" ref="I28:I35" si="2">E28*$G$38</f>
        <v>17.620859845171857</v>
      </c>
    </row>
    <row r="29" spans="1:9" x14ac:dyDescent="0.25">
      <c r="A29" s="77" t="s">
        <v>77</v>
      </c>
      <c r="C29" s="87">
        <f>SUMIF('Revenues - Current Rates (2)'!$A$10:$A$18,"*"&amp;A29&amp;"*",'Revenues - Current Rates (2)'!$C$10:$C$18)</f>
        <v>218</v>
      </c>
      <c r="E29" s="77">
        <v>1.75</v>
      </c>
      <c r="G29" s="21">
        <f t="shared" ref="G29:G35" si="3">C29*E29</f>
        <v>381.5</v>
      </c>
      <c r="I29" s="32">
        <f t="shared" si="2"/>
        <v>30.836504729050752</v>
      </c>
    </row>
    <row r="30" spans="1:9" x14ac:dyDescent="0.25">
      <c r="A30" s="77" t="s">
        <v>78</v>
      </c>
      <c r="C30" s="90">
        <f>SUMIF('Revenues - Current Rates (2)'!$A$10:$A$18,"*"&amp;A30&amp;"*",'Revenues - Current Rates (2)'!$C$10:$C$18)</f>
        <v>10</v>
      </c>
      <c r="E30" s="77">
        <v>3</v>
      </c>
      <c r="G30" s="21">
        <f t="shared" si="3"/>
        <v>30</v>
      </c>
      <c r="I30" s="32">
        <f t="shared" si="2"/>
        <v>52.862579535515572</v>
      </c>
    </row>
    <row r="31" spans="1:9" x14ac:dyDescent="0.25">
      <c r="A31" s="77" t="s">
        <v>79</v>
      </c>
      <c r="C31" s="87">
        <f>SUMIF('Revenues - Current Rates (2)'!$A$10:$A$18,"*"&amp;A31&amp;"*",'Revenues - Current Rates (2)'!$C$10:$C$18)</f>
        <v>72</v>
      </c>
      <c r="E31" s="77">
        <v>3.5</v>
      </c>
      <c r="G31" s="21">
        <f t="shared" si="3"/>
        <v>252</v>
      </c>
      <c r="I31" s="32">
        <f t="shared" si="2"/>
        <v>61.673009458101504</v>
      </c>
    </row>
    <row r="32" spans="1:9" x14ac:dyDescent="0.25">
      <c r="A32" s="77" t="s">
        <v>80</v>
      </c>
      <c r="C32" s="87">
        <f>SUMIF('Revenues - Current Rates (2)'!$A$10:$A$18,"*"&amp;A32&amp;"*",'Revenues - Current Rates (2)'!$C$10:$C$18)</f>
        <v>19</v>
      </c>
      <c r="E32" s="77">
        <v>5</v>
      </c>
      <c r="G32" s="21">
        <f t="shared" si="3"/>
        <v>95</v>
      </c>
      <c r="I32" s="32">
        <f t="shared" si="2"/>
        <v>88.104299225859279</v>
      </c>
    </row>
    <row r="33" spans="1:10" x14ac:dyDescent="0.25">
      <c r="A33" s="77" t="s">
        <v>81</v>
      </c>
      <c r="C33" s="87">
        <f>SUMIF('Revenues - Current Rates (2)'!$A$10:$A$18,"*"&amp;A33&amp;"*",'Revenues - Current Rates (2)'!$C$10:$C$18)</f>
        <v>7</v>
      </c>
      <c r="E33" s="77">
        <v>10</v>
      </c>
      <c r="G33" s="41">
        <f t="shared" si="3"/>
        <v>70</v>
      </c>
      <c r="I33" s="32">
        <f t="shared" si="2"/>
        <v>176.20859845171856</v>
      </c>
    </row>
    <row r="34" spans="1:10" x14ac:dyDescent="0.25">
      <c r="A34" s="77" t="s">
        <v>82</v>
      </c>
      <c r="C34" s="87">
        <f>SUMIF('Revenues - Current Rates (2)'!$A$10:$A$18,"*"&amp;A34&amp;"*",'Revenues - Current Rates (2)'!$C$10:$C$18)</f>
        <v>0</v>
      </c>
      <c r="E34" s="77">
        <v>20</v>
      </c>
      <c r="G34" s="41">
        <f t="shared" si="3"/>
        <v>0</v>
      </c>
      <c r="I34" s="32">
        <f t="shared" si="2"/>
        <v>352.41719690343712</v>
      </c>
    </row>
    <row r="35" spans="1:10" x14ac:dyDescent="0.25">
      <c r="A35" s="42" t="s">
        <v>83</v>
      </c>
      <c r="B35" s="31"/>
      <c r="C35" s="42">
        <f>SUMIF('Revenues - Current Rates (2)'!$A$10:$A$18,"*"&amp;A35&amp;"*",'Revenues - Current Rates (2)'!$C$10:$C$18)</f>
        <v>6</v>
      </c>
      <c r="D35" s="31"/>
      <c r="E35" s="77">
        <v>2.4</v>
      </c>
      <c r="F35" s="31"/>
      <c r="G35" s="43">
        <f t="shared" si="3"/>
        <v>14.399999999999999</v>
      </c>
      <c r="H35" s="31"/>
      <c r="I35" s="32">
        <f t="shared" si="2"/>
        <v>42.290063628412454</v>
      </c>
    </row>
    <row r="36" spans="1:10" x14ac:dyDescent="0.25">
      <c r="C36" s="44">
        <f>SUM(C26:C35)</f>
        <v>4836</v>
      </c>
      <c r="E36" s="25"/>
      <c r="G36" s="44">
        <f>SUM(G26:G35)</f>
        <v>5346.9</v>
      </c>
      <c r="I36" s="25"/>
    </row>
    <row r="38" spans="1:10" x14ac:dyDescent="0.25">
      <c r="A38" s="45" t="s">
        <v>84</v>
      </c>
      <c r="B38" s="1"/>
      <c r="C38" s="1"/>
      <c r="D38" s="1"/>
      <c r="E38" s="46">
        <f>'Income Statement (2)'!F12</f>
        <v>1130603.7060737927</v>
      </c>
      <c r="F38" s="1"/>
      <c r="G38" s="47">
        <f>E38/12/G36</f>
        <v>17.620859845171857</v>
      </c>
      <c r="H38" s="1"/>
      <c r="I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0" ht="15.75" x14ac:dyDescent="0.25">
      <c r="A40" s="79" t="s">
        <v>8</v>
      </c>
      <c r="B40" s="79"/>
      <c r="C40" s="79" t="s">
        <v>108</v>
      </c>
      <c r="D40" s="79"/>
      <c r="E40" s="79" t="s">
        <v>70</v>
      </c>
      <c r="F40" s="1"/>
      <c r="G40" s="1"/>
      <c r="H40" s="1"/>
      <c r="I40" s="1"/>
    </row>
    <row r="41" spans="1:10" x14ac:dyDescent="0.25">
      <c r="A41" s="46">
        <f>'Income Statement (2)'!G12</f>
        <v>1302494.2939262073</v>
      </c>
      <c r="B41" s="1"/>
      <c r="C41" s="50">
        <v>289524728</v>
      </c>
      <c r="D41" s="1"/>
      <c r="E41" s="51">
        <f>(A41/C41)*1000</f>
        <v>4.4987324672530473</v>
      </c>
      <c r="F41" s="1"/>
      <c r="G41" s="1"/>
      <c r="H41" s="1"/>
      <c r="I41" s="1"/>
    </row>
    <row r="43" spans="1:10" ht="57.75" customHeight="1" x14ac:dyDescent="0.25">
      <c r="A43" s="104" t="s">
        <v>85</v>
      </c>
      <c r="B43" s="104"/>
      <c r="C43" s="104"/>
      <c r="D43" s="104"/>
      <c r="E43" s="104"/>
      <c r="F43" s="104"/>
      <c r="G43" s="104"/>
      <c r="H43" s="104"/>
      <c r="I43" s="104"/>
      <c r="J43" s="104"/>
    </row>
    <row r="44" spans="1:10" x14ac:dyDescent="0.25">
      <c r="A44" s="78"/>
      <c r="B44" s="78"/>
      <c r="C44" s="78"/>
      <c r="D44" s="78"/>
      <c r="E44" s="78"/>
      <c r="F44" s="78"/>
      <c r="G44" s="78"/>
      <c r="H44" s="78"/>
      <c r="I44" s="78"/>
    </row>
    <row r="45" spans="1:10" x14ac:dyDescent="0.25">
      <c r="A45" s="77" t="s">
        <v>110</v>
      </c>
      <c r="B45" s="77"/>
      <c r="C45" s="77"/>
      <c r="D45" s="77"/>
      <c r="E45" s="77"/>
      <c r="F45" s="77"/>
      <c r="G45" s="77"/>
      <c r="H45" s="77"/>
      <c r="I45" s="77"/>
    </row>
    <row r="49" spans="10:14" x14ac:dyDescent="0.25">
      <c r="J49" s="48"/>
      <c r="K49" s="48"/>
      <c r="L49" s="48"/>
      <c r="M49" s="48"/>
      <c r="N49" s="48"/>
    </row>
    <row r="50" spans="10:14" x14ac:dyDescent="0.25">
      <c r="J50" s="48"/>
      <c r="K50" s="48"/>
      <c r="L50" s="48"/>
      <c r="M50" s="48"/>
      <c r="N50" s="48"/>
    </row>
    <row r="51" spans="10:14" x14ac:dyDescent="0.25">
      <c r="J51" s="48"/>
      <c r="K51" s="48"/>
      <c r="L51" s="48"/>
      <c r="M51" s="48"/>
      <c r="N51" s="48"/>
    </row>
    <row r="52" spans="10:14" x14ac:dyDescent="0.25">
      <c r="J52" s="48"/>
      <c r="K52" s="48"/>
      <c r="L52" s="48"/>
      <c r="M52" s="48"/>
      <c r="N52" s="48"/>
    </row>
    <row r="54" spans="10:14" ht="15" customHeight="1" x14ac:dyDescent="0.25">
      <c r="J54" s="78"/>
    </row>
    <row r="55" spans="10:14" x14ac:dyDescent="0.25">
      <c r="J55" s="78"/>
    </row>
    <row r="56" spans="10:14" x14ac:dyDescent="0.25">
      <c r="J56" s="77"/>
    </row>
  </sheetData>
  <mergeCells count="4">
    <mergeCell ref="A1:I1"/>
    <mergeCell ref="A2:I2"/>
    <mergeCell ref="A8:I8"/>
    <mergeCell ref="A43:J43"/>
  </mergeCells>
  <pageMargins left="0.7" right="0.7" top="0.75" bottom="0.75" header="0.3" footer="0.3"/>
  <pageSetup scale="86" orientation="portrait" r:id="rId1"/>
  <headerFooter>
    <oddFooter>&amp;RCase No. WR-2024-0104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42"/>
  <sheetViews>
    <sheetView view="pageLayout" topLeftCell="A28" zoomScaleNormal="100" workbookViewId="0">
      <selection activeCell="E6" sqref="E6"/>
    </sheetView>
  </sheetViews>
  <sheetFormatPr defaultRowHeight="15" x14ac:dyDescent="0.25"/>
  <cols>
    <col min="1" max="1" width="20.42578125" customWidth="1"/>
    <col min="2" max="2" width="2.42578125" customWidth="1"/>
    <col min="3" max="3" width="11.42578125" customWidth="1"/>
    <col min="4" max="4" width="2.28515625" customWidth="1"/>
    <col min="6" max="6" width="2.42578125" customWidth="1"/>
    <col min="7" max="7" width="12.5703125" bestFit="1" customWidth="1"/>
    <col min="8" max="8" width="2.42578125" customWidth="1"/>
    <col min="9" max="9" width="14" bestFit="1" customWidth="1"/>
    <col min="10" max="10" width="2.42578125" customWidth="1"/>
    <col min="11" max="11" width="12.5703125" bestFit="1" customWidth="1"/>
  </cols>
  <sheetData>
    <row r="1" spans="1:11" ht="21.75" thickBot="1" x14ac:dyDescent="0.4">
      <c r="A1" s="93" t="str">
        <f>'Income Statement (2)'!A1:D1</f>
        <v>Liberty Utilities (Missouri Water), LLC - Bolivar Water - Year 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20.25" thickTop="1" thickBot="1" x14ac:dyDescent="0.35">
      <c r="A2" s="94" t="s">
        <v>86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.75" thickTop="1" x14ac:dyDescent="0.25"/>
    <row r="4" spans="1:11" ht="19.5" thickBot="1" x14ac:dyDescent="0.35">
      <c r="A4" s="95" t="s">
        <v>15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6" spans="1:11" ht="15.75" x14ac:dyDescent="0.25">
      <c r="A6" s="7" t="s">
        <v>87</v>
      </c>
      <c r="C6" s="7" t="s">
        <v>88</v>
      </c>
      <c r="D6" s="7"/>
      <c r="E6" s="7" t="s">
        <v>19</v>
      </c>
      <c r="F6" s="7"/>
      <c r="G6" s="7" t="s">
        <v>20</v>
      </c>
      <c r="I6" s="7"/>
      <c r="J6" s="7"/>
      <c r="K6" s="7" t="s">
        <v>21</v>
      </c>
    </row>
    <row r="7" spans="1:11" ht="15.75" x14ac:dyDescent="0.25">
      <c r="A7" s="80" t="s">
        <v>89</v>
      </c>
      <c r="B7" s="31"/>
      <c r="C7" s="80" t="s">
        <v>23</v>
      </c>
      <c r="D7" s="80"/>
      <c r="E7" s="80" t="s">
        <v>24</v>
      </c>
      <c r="F7" s="80"/>
      <c r="G7" s="80" t="s">
        <v>25</v>
      </c>
      <c r="H7" s="31"/>
      <c r="I7" s="80" t="s">
        <v>26</v>
      </c>
      <c r="J7" s="80"/>
      <c r="K7" s="80" t="s">
        <v>27</v>
      </c>
    </row>
    <row r="8" spans="1:11" x14ac:dyDescent="0.25">
      <c r="A8" s="77" t="str">
        <f>'Rate Design (2)'!A26</f>
        <v>1/2"</v>
      </c>
      <c r="C8" s="77">
        <f>'Rate Design (2)'!C26</f>
        <v>1</v>
      </c>
      <c r="E8" s="52">
        <v>12</v>
      </c>
      <c r="G8" s="21">
        <f>C8*E8</f>
        <v>12</v>
      </c>
      <c r="I8" s="32">
        <f>'Rate Design (2)'!I26</f>
        <v>17.620859845171857</v>
      </c>
      <c r="K8" s="3">
        <f>G8*I8</f>
        <v>211.45031814206229</v>
      </c>
    </row>
    <row r="9" spans="1:11" x14ac:dyDescent="0.25">
      <c r="A9" s="77" t="str">
        <f>'Rate Design (2)'!A27</f>
        <v>5/8"</v>
      </c>
      <c r="C9" s="77">
        <f>'Rate Design (2)'!C27</f>
        <v>459</v>
      </c>
      <c r="E9" s="52">
        <v>12</v>
      </c>
      <c r="G9" s="21">
        <f>C9*E9</f>
        <v>5508</v>
      </c>
      <c r="I9" s="32">
        <f>'Rate Design (2)'!I27</f>
        <v>17.620859845171857</v>
      </c>
      <c r="K9" s="3">
        <f t="shared" ref="K9:K17" si="0">G9*I9</f>
        <v>97055.696027206592</v>
      </c>
    </row>
    <row r="10" spans="1:11" x14ac:dyDescent="0.25">
      <c r="A10" s="77" t="str">
        <f>'Rate Design (2)'!A28</f>
        <v>3/4"</v>
      </c>
      <c r="C10" s="77">
        <f>'Rate Design (2)'!C28</f>
        <v>4044</v>
      </c>
      <c r="E10" s="52">
        <v>12</v>
      </c>
      <c r="G10" s="21">
        <f t="shared" ref="G10:G17" si="1">C10*E10</f>
        <v>48528</v>
      </c>
      <c r="I10" s="32">
        <f>'Rate Design (2)'!I28</f>
        <v>17.620859845171857</v>
      </c>
      <c r="K10" s="3">
        <f t="shared" si="0"/>
        <v>855105.0865664999</v>
      </c>
    </row>
    <row r="11" spans="1:11" x14ac:dyDescent="0.25">
      <c r="A11" s="77" t="str">
        <f>'Rate Design (2)'!A29</f>
        <v>1"</v>
      </c>
      <c r="C11" s="77">
        <f>'Rate Design (2)'!C29</f>
        <v>218</v>
      </c>
      <c r="E11" s="52">
        <v>12</v>
      </c>
      <c r="G11" s="21">
        <f t="shared" si="1"/>
        <v>2616</v>
      </c>
      <c r="I11" s="32">
        <f>'Rate Design (2)'!I29</f>
        <v>30.836504729050752</v>
      </c>
      <c r="K11" s="3">
        <f t="shared" si="0"/>
        <v>80668.29637119676</v>
      </c>
    </row>
    <row r="12" spans="1:11" x14ac:dyDescent="0.25">
      <c r="A12" s="77" t="str">
        <f>'Rate Design (2)'!A30</f>
        <v>1  1/2"</v>
      </c>
      <c r="C12" s="77">
        <f>'Rate Design (2)'!C30</f>
        <v>10</v>
      </c>
      <c r="E12" s="52">
        <v>12</v>
      </c>
      <c r="G12" s="21">
        <f t="shared" si="1"/>
        <v>120</v>
      </c>
      <c r="I12" s="32">
        <f>'Rate Design (2)'!I30</f>
        <v>52.862579535515572</v>
      </c>
      <c r="K12" s="3">
        <f t="shared" si="0"/>
        <v>6343.5095442618685</v>
      </c>
    </row>
    <row r="13" spans="1:11" x14ac:dyDescent="0.25">
      <c r="A13" s="77" t="str">
        <f>'Rate Design (2)'!A31</f>
        <v xml:space="preserve"> 2"</v>
      </c>
      <c r="B13" s="53"/>
      <c r="C13" s="77">
        <f>'Rate Design (2)'!C31</f>
        <v>72</v>
      </c>
      <c r="D13" s="53"/>
      <c r="E13" s="54">
        <v>12</v>
      </c>
      <c r="F13" s="53"/>
      <c r="G13" s="21">
        <f t="shared" si="1"/>
        <v>864</v>
      </c>
      <c r="H13" s="53"/>
      <c r="I13" s="32">
        <f>'Rate Design (2)'!I31</f>
        <v>61.673009458101504</v>
      </c>
      <c r="J13" s="53"/>
      <c r="K13" s="3">
        <f t="shared" si="0"/>
        <v>53285.480171799696</v>
      </c>
    </row>
    <row r="14" spans="1:11" x14ac:dyDescent="0.25">
      <c r="A14" s="77" t="str">
        <f>'Rate Design (2)'!A32</f>
        <v>3"</v>
      </c>
      <c r="B14" s="53"/>
      <c r="C14" s="77">
        <f>'Rate Design (2)'!C32</f>
        <v>19</v>
      </c>
      <c r="D14" s="53"/>
      <c r="E14" s="54">
        <v>12</v>
      </c>
      <c r="F14" s="53"/>
      <c r="G14" s="21">
        <f t="shared" si="1"/>
        <v>228</v>
      </c>
      <c r="H14" s="53"/>
      <c r="I14" s="32">
        <f>'Rate Design (2)'!I32</f>
        <v>88.104299225859279</v>
      </c>
      <c r="J14" s="53"/>
      <c r="K14" s="3">
        <f t="shared" si="0"/>
        <v>20087.780223495916</v>
      </c>
    </row>
    <row r="15" spans="1:11" x14ac:dyDescent="0.25">
      <c r="A15" s="77" t="str">
        <f>'Rate Design (2)'!A33</f>
        <v xml:space="preserve"> 4"</v>
      </c>
      <c r="B15" s="53"/>
      <c r="C15" s="77">
        <f>'Rate Design (2)'!C33</f>
        <v>7</v>
      </c>
      <c r="D15" s="53"/>
      <c r="E15" s="54">
        <v>12</v>
      </c>
      <c r="F15" s="53"/>
      <c r="G15" s="21">
        <f t="shared" si="1"/>
        <v>84</v>
      </c>
      <c r="H15" s="53"/>
      <c r="I15" s="55">
        <f>'Rate Design (2)'!I33</f>
        <v>176.20859845171856</v>
      </c>
      <c r="J15" s="53"/>
      <c r="K15" s="56">
        <f t="shared" si="0"/>
        <v>14801.522269944358</v>
      </c>
    </row>
    <row r="16" spans="1:11" x14ac:dyDescent="0.25">
      <c r="A16" s="77" t="str">
        <f>'Rate Design (2)'!A34</f>
        <v xml:space="preserve"> 6"</v>
      </c>
      <c r="B16" s="53"/>
      <c r="C16" s="77">
        <f>'Rate Design (2)'!C34</f>
        <v>0</v>
      </c>
      <c r="D16" s="53"/>
      <c r="E16" s="52">
        <v>12</v>
      </c>
      <c r="F16" s="53"/>
      <c r="G16" s="21">
        <f t="shared" si="1"/>
        <v>0</v>
      </c>
      <c r="H16" s="53"/>
      <c r="I16" s="55">
        <f>'Rate Design (2)'!I34</f>
        <v>352.41719690343712</v>
      </c>
      <c r="J16" s="53"/>
      <c r="K16" s="56">
        <f t="shared" si="0"/>
        <v>0</v>
      </c>
    </row>
    <row r="17" spans="1:11" x14ac:dyDescent="0.25">
      <c r="A17" s="77" t="str">
        <f>'Rate Design (2)'!A35</f>
        <v>Flat Rate - Unmetered</v>
      </c>
      <c r="B17" s="31"/>
      <c r="C17" s="77">
        <f>'Rate Design (2)'!C35</f>
        <v>6</v>
      </c>
      <c r="D17" s="31"/>
      <c r="E17" s="57">
        <v>12</v>
      </c>
      <c r="F17" s="31"/>
      <c r="G17" s="43">
        <f t="shared" si="1"/>
        <v>72</v>
      </c>
      <c r="H17" s="31"/>
      <c r="I17" s="58">
        <f>'Rate Design (2)'!I35</f>
        <v>42.290063628412454</v>
      </c>
      <c r="J17" s="31"/>
      <c r="K17" s="59">
        <f t="shared" si="0"/>
        <v>3044.8845812456966</v>
      </c>
    </row>
    <row r="18" spans="1:11" ht="15.75" x14ac:dyDescent="0.25">
      <c r="A18" s="60" t="s">
        <v>20</v>
      </c>
      <c r="C18" s="24">
        <f>SUM(C9:C15)</f>
        <v>4829</v>
      </c>
      <c r="G18" s="61">
        <f>SUM(G9:G17)</f>
        <v>58020</v>
      </c>
      <c r="K18" s="62">
        <f>SUM(K8:K17)</f>
        <v>1130603.7060737931</v>
      </c>
    </row>
    <row r="19" spans="1:11" ht="15.75" x14ac:dyDescent="0.25">
      <c r="A19" s="63" t="s">
        <v>48</v>
      </c>
      <c r="C19" s="18"/>
      <c r="G19" s="64"/>
      <c r="K19" s="65"/>
    </row>
    <row r="20" spans="1:11" ht="19.5" thickBot="1" x14ac:dyDescent="0.35">
      <c r="A20" s="95" t="s">
        <v>49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x14ac:dyDescent="0.25">
      <c r="A21" s="6"/>
      <c r="G21" s="18"/>
      <c r="H21" s="18"/>
      <c r="I21" s="18"/>
      <c r="J21" s="18"/>
      <c r="K21" s="18" t="s">
        <v>21</v>
      </c>
    </row>
    <row r="22" spans="1:11" x14ac:dyDescent="0.25">
      <c r="A22" s="30"/>
      <c r="B22" s="31"/>
      <c r="C22" s="31"/>
      <c r="D22" s="31"/>
      <c r="E22" s="31"/>
      <c r="F22" s="31"/>
      <c r="G22" s="19" t="s">
        <v>90</v>
      </c>
      <c r="H22" s="19"/>
      <c r="I22" s="19" t="s">
        <v>52</v>
      </c>
      <c r="J22" s="19"/>
      <c r="K22" s="19" t="s">
        <v>27</v>
      </c>
    </row>
    <row r="23" spans="1:11" x14ac:dyDescent="0.25">
      <c r="A23" s="6"/>
      <c r="G23" s="16">
        <f>'Rate Design (2)'!C41/1000</f>
        <v>289524.728</v>
      </c>
      <c r="I23" s="32">
        <f>'Rate Design (2)'!E41</f>
        <v>4.4987324672530473</v>
      </c>
      <c r="K23" s="9">
        <f>G23*I23</f>
        <v>1302494.2939262073</v>
      </c>
    </row>
    <row r="24" spans="1:11" x14ac:dyDescent="0.25">
      <c r="A24" s="6"/>
      <c r="E24" s="18" t="s">
        <v>20</v>
      </c>
      <c r="G24" s="33">
        <f>SUM(G23:G23)</f>
        <v>289524.728</v>
      </c>
      <c r="H24" s="25"/>
      <c r="I24" s="25"/>
      <c r="J24" s="25"/>
      <c r="K24" s="28">
        <f>SUM(K23:K23)</f>
        <v>1302494.2939262073</v>
      </c>
    </row>
    <row r="25" spans="1:11" x14ac:dyDescent="0.25">
      <c r="G25" s="16"/>
    </row>
    <row r="26" spans="1:11" ht="19.5" thickBot="1" x14ac:dyDescent="0.35">
      <c r="A26" s="95" t="s">
        <v>56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</row>
    <row r="28" spans="1:11" ht="15.75" x14ac:dyDescent="0.25">
      <c r="A28" s="4" t="s">
        <v>60</v>
      </c>
      <c r="G28" s="66">
        <f>'Revenues - Current Rates (2)'!G41</f>
        <v>46730</v>
      </c>
    </row>
    <row r="30" spans="1:11" ht="19.5" thickBot="1" x14ac:dyDescent="0.35">
      <c r="A30" s="95" t="s">
        <v>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</row>
    <row r="32" spans="1:11" x14ac:dyDescent="0.25">
      <c r="A32" t="s">
        <v>61</v>
      </c>
      <c r="I32" s="3">
        <f>K18</f>
        <v>1130603.7060737931</v>
      </c>
    </row>
    <row r="33" spans="1:9" x14ac:dyDescent="0.25">
      <c r="A33" t="s">
        <v>62</v>
      </c>
      <c r="I33" s="36">
        <f>K24</f>
        <v>1302494.2939262073</v>
      </c>
    </row>
    <row r="34" spans="1:9" ht="15.75" x14ac:dyDescent="0.25">
      <c r="A34" s="4" t="s">
        <v>63</v>
      </c>
      <c r="I34" s="38">
        <f>SUM(I32:I33)</f>
        <v>2433098.0000000005</v>
      </c>
    </row>
    <row r="35" spans="1:9" ht="15.75" x14ac:dyDescent="0.25">
      <c r="A35" s="4" t="s">
        <v>56</v>
      </c>
      <c r="I35" s="38">
        <f>G28</f>
        <v>46730</v>
      </c>
    </row>
    <row r="36" spans="1:9" ht="16.5" thickBot="1" x14ac:dyDescent="0.3">
      <c r="A36" s="4" t="s">
        <v>91</v>
      </c>
      <c r="I36" s="39">
        <f>SUM(I34:I35)</f>
        <v>2479828.0000000005</v>
      </c>
    </row>
    <row r="37" spans="1:9" ht="15.75" thickTop="1" x14ac:dyDescent="0.25"/>
    <row r="38" spans="1:9" x14ac:dyDescent="0.25">
      <c r="A38" s="100" t="s">
        <v>92</v>
      </c>
      <c r="B38" s="100"/>
      <c r="C38" s="100"/>
      <c r="D38" s="100"/>
      <c r="E38" s="100"/>
      <c r="F38" s="100"/>
      <c r="G38" s="100"/>
    </row>
    <row r="39" spans="1:9" x14ac:dyDescent="0.25">
      <c r="A39" s="6" t="s">
        <v>91</v>
      </c>
      <c r="G39" s="9">
        <f>I36</f>
        <v>2479828.0000000005</v>
      </c>
    </row>
    <row r="40" spans="1:9" x14ac:dyDescent="0.25">
      <c r="A40" s="6" t="s">
        <v>93</v>
      </c>
      <c r="G40" s="9">
        <f>'Revenues - Current Rates (2)'!G42</f>
        <v>2170443</v>
      </c>
    </row>
    <row r="41" spans="1:9" x14ac:dyDescent="0.25">
      <c r="A41" s="6" t="s">
        <v>94</v>
      </c>
      <c r="G41" s="67">
        <f>G39-G40</f>
        <v>309385.00000000047</v>
      </c>
    </row>
    <row r="42" spans="1:9" x14ac:dyDescent="0.25">
      <c r="A42" s="6" t="s">
        <v>95</v>
      </c>
      <c r="G42" s="68">
        <f>'Income Statement (2)'!D13</f>
        <v>309385</v>
      </c>
    </row>
  </sheetData>
  <mergeCells count="7">
    <mergeCell ref="A38:G38"/>
    <mergeCell ref="A1:K1"/>
    <mergeCell ref="A2:K2"/>
    <mergeCell ref="A4:K4"/>
    <mergeCell ref="A20:K20"/>
    <mergeCell ref="A26:K26"/>
    <mergeCell ref="A30:K30"/>
  </mergeCells>
  <pageMargins left="0.7" right="0.7" top="0.75" bottom="0.75" header="0.3" footer="0.3"/>
  <pageSetup scale="98" orientation="portrait" r:id="rId1"/>
  <headerFooter>
    <oddFooter>&amp;RCase No. WR-2024-0104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Income Statement</vt:lpstr>
      <vt:lpstr>Revenues - Current Rates</vt:lpstr>
      <vt:lpstr>Rate Design</vt:lpstr>
      <vt:lpstr>Revenues - Proposed Rates</vt:lpstr>
      <vt:lpstr>Bill Comparison</vt:lpstr>
      <vt:lpstr>Income Statement (2)</vt:lpstr>
      <vt:lpstr>Revenues - Current Rates (2)</vt:lpstr>
      <vt:lpstr>Rate Design (2)</vt:lpstr>
      <vt:lpstr>Revenues - Proposed Rates (2)</vt:lpstr>
      <vt:lpstr>Bill Comparison (2)</vt:lpstr>
      <vt:lpstr>Income Statement (3)</vt:lpstr>
      <vt:lpstr>Revenues - Current Rates (3)</vt:lpstr>
      <vt:lpstr>Rate Design (3)</vt:lpstr>
      <vt:lpstr>Revenues - Proposed Rates (3)</vt:lpstr>
      <vt:lpstr>Bill Comparison (3)</vt:lpstr>
      <vt:lpstr>Income Statement (4)</vt:lpstr>
      <vt:lpstr>Revenues - Current Rates (4)</vt:lpstr>
      <vt:lpstr>Rate Design (4)</vt:lpstr>
      <vt:lpstr>Revenues - Proposed Rates (4)</vt:lpstr>
      <vt:lpstr>Bill Comparison (4)</vt:lpstr>
      <vt:lpstr>'Revenues - Proposed Rates'!Print_Area</vt:lpstr>
      <vt:lpstr>'Revenues - Proposed Rates (2)'!Print_Area</vt:lpstr>
      <vt:lpstr>'Revenues - Proposed Rates (3)'!Print_Area</vt:lpstr>
      <vt:lpstr>'Revenues - Proposed Rates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Marek, Melanie</dc:creator>
  <cp:lastModifiedBy>Vaught, Dianna</cp:lastModifiedBy>
  <cp:lastPrinted>2024-11-15T15:59:25Z</cp:lastPrinted>
  <dcterms:created xsi:type="dcterms:W3CDTF">2024-10-17T12:24:43Z</dcterms:created>
  <dcterms:modified xsi:type="dcterms:W3CDTF">2025-01-10T16:00:56Z</dcterms:modified>
</cp:coreProperties>
</file>